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80b7bf98eeca3b/Fantasy/Database/"/>
    </mc:Choice>
  </mc:AlternateContent>
  <xr:revisionPtr revIDLastSave="5605" documentId="11_E60897F41BE170836B02CE998F75CCDC64E183C8" xr6:coauthVersionLast="47" xr6:coauthVersionMax="47" xr10:uidLastSave="{17E75B4F-D02E-42E8-A888-F728F01F49EB}"/>
  <bookViews>
    <workbookView xWindow="28680" yWindow="-120" windowWidth="29040" windowHeight="15840" firstSheet="2" xr2:uid="{00000000-000D-0000-FFFF-FFFF00000000}"/>
  </bookViews>
  <sheets>
    <sheet name="Credits" sheetId="20" r:id="rId1"/>
    <sheet name="Scores" sheetId="17" r:id="rId2"/>
    <sheet name="Scores Ranked" sheetId="19" r:id="rId3"/>
    <sheet name="All Data" sheetId="3" r:id="rId4"/>
    <sheet name="NFL QB Data By Year" sheetId="1" r:id="rId5"/>
    <sheet name="College Data By Year" sheetId="4" r:id="rId6"/>
    <sheet name="Equations" sheetId="16" r:id="rId7"/>
    <sheet name="Scratch Pivot Table" sheetId="18" r:id="rId8"/>
  </sheets>
  <externalReferences>
    <externalReference r:id="rId9"/>
  </externalReferences>
  <definedNames>
    <definedName name="_xlnm._FilterDatabase" localSheetId="3" hidden="1">'All Data'!$A$2:$F$158</definedName>
    <definedName name="_xlnm._FilterDatabase" localSheetId="4" hidden="1">'NFL QB Data By Year'!$B$3:$Q$3</definedName>
    <definedName name="_xlnm._FilterDatabase" localSheetId="1" hidden="1">Scores!$E$1:$R$1</definedName>
    <definedName name="_xlnm._FilterDatabase" localSheetId="2" hidden="1">'Scores Ranked'!$A$1:$C$1</definedName>
  </definedNames>
  <calcPr calcId="191028"/>
  <pivotCaches>
    <pivotCache cacheId="448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3" l="1"/>
  <c r="I16" i="3"/>
  <c r="K16" i="3"/>
  <c r="V158" i="3"/>
  <c r="U158" i="3"/>
  <c r="T158" i="3"/>
  <c r="S158" i="3"/>
  <c r="R158" i="3"/>
  <c r="Q158" i="3"/>
  <c r="V156" i="3"/>
  <c r="U156" i="3"/>
  <c r="T156" i="3"/>
  <c r="S156" i="3"/>
  <c r="R156" i="3"/>
  <c r="Q156" i="3"/>
  <c r="V146" i="3"/>
  <c r="U146" i="3"/>
  <c r="T146" i="3"/>
  <c r="S146" i="3"/>
  <c r="R146" i="3"/>
  <c r="Q146" i="3"/>
  <c r="U143" i="3"/>
  <c r="T143" i="3"/>
  <c r="S143" i="3"/>
  <c r="R143" i="3"/>
  <c r="Q143" i="3"/>
  <c r="V151" i="3"/>
  <c r="U151" i="3"/>
  <c r="T151" i="3"/>
  <c r="S151" i="3"/>
  <c r="R151" i="3"/>
  <c r="Q151" i="3"/>
  <c r="V140" i="3"/>
  <c r="U140" i="3"/>
  <c r="T140" i="3"/>
  <c r="S140" i="3"/>
  <c r="R140" i="3"/>
  <c r="Q140" i="3"/>
  <c r="V139" i="3"/>
  <c r="U139" i="3"/>
  <c r="T139" i="3"/>
  <c r="R139" i="3"/>
  <c r="Q139" i="3"/>
  <c r="Q137" i="3"/>
  <c r="V137" i="3"/>
  <c r="U137" i="3"/>
  <c r="T137" i="3"/>
  <c r="S137" i="3"/>
  <c r="R137" i="3"/>
  <c r="Q136" i="3"/>
  <c r="W136" i="3"/>
  <c r="V136" i="3"/>
  <c r="U136" i="3"/>
  <c r="T136" i="3"/>
  <c r="S136" i="3"/>
  <c r="R136" i="3"/>
  <c r="G99" i="17"/>
  <c r="AN3" i="3"/>
  <c r="AM3" i="3"/>
  <c r="AD3" i="3"/>
  <c r="Q153" i="3"/>
  <c r="V153" i="3"/>
  <c r="U153" i="3"/>
  <c r="T153" i="3"/>
  <c r="S153" i="3"/>
  <c r="R153" i="3"/>
  <c r="Q152" i="3"/>
  <c r="V152" i="3"/>
  <c r="U152" i="3"/>
  <c r="T152" i="3"/>
  <c r="S152" i="3"/>
  <c r="R152" i="3"/>
  <c r="Q155" i="3"/>
  <c r="V155" i="3"/>
  <c r="U155" i="3"/>
  <c r="T155" i="3"/>
  <c r="S155" i="3"/>
  <c r="R155" i="3"/>
  <c r="Q141" i="3"/>
  <c r="V141" i="3"/>
  <c r="U141" i="3"/>
  <c r="T141" i="3"/>
  <c r="S141" i="3"/>
  <c r="R141" i="3"/>
  <c r="Q147" i="3"/>
  <c r="V147" i="3"/>
  <c r="U147" i="3"/>
  <c r="T147" i="3"/>
  <c r="R147" i="3"/>
  <c r="Q138" i="3"/>
  <c r="V138" i="3"/>
  <c r="U138" i="3"/>
  <c r="T138" i="3"/>
  <c r="S138" i="3"/>
  <c r="R138" i="3"/>
  <c r="Q148" i="3"/>
  <c r="U148" i="3"/>
  <c r="T148" i="3"/>
  <c r="S148" i="3"/>
  <c r="R148" i="3"/>
  <c r="Q144" i="3"/>
  <c r="V144" i="3"/>
  <c r="U144" i="3"/>
  <c r="T144" i="3"/>
  <c r="S144" i="3"/>
  <c r="R144" i="3"/>
  <c r="Q150" i="3"/>
  <c r="U150" i="3"/>
  <c r="T150" i="3"/>
  <c r="S150" i="3"/>
  <c r="R150" i="3"/>
  <c r="Q145" i="3"/>
  <c r="U145" i="3"/>
  <c r="T145" i="3"/>
  <c r="S145" i="3"/>
  <c r="R145" i="3"/>
  <c r="Q142" i="3"/>
  <c r="V142" i="3"/>
  <c r="U142" i="3"/>
  <c r="T142" i="3"/>
  <c r="R142" i="3"/>
  <c r="Q135" i="3"/>
  <c r="U135" i="3"/>
  <c r="T135" i="3"/>
  <c r="S135" i="3"/>
  <c r="R135" i="3"/>
  <c r="E146" i="17"/>
  <c r="E152" i="17"/>
  <c r="E141" i="17"/>
  <c r="E153" i="17"/>
  <c r="E147" i="17"/>
  <c r="E145" i="17"/>
  <c r="E137" i="17"/>
  <c r="E149" i="17"/>
  <c r="E138" i="17"/>
  <c r="E136" i="17"/>
  <c r="E150" i="17"/>
  <c r="E140" i="17"/>
  <c r="E139" i="17"/>
  <c r="E155" i="17"/>
  <c r="E134" i="17"/>
  <c r="E148" i="17"/>
  <c r="E144" i="17"/>
  <c r="E142" i="17"/>
  <c r="E156" i="17"/>
  <c r="E143" i="17"/>
  <c r="E151" i="17"/>
  <c r="E157" i="17"/>
  <c r="E154" i="17"/>
  <c r="X158" i="3"/>
  <c r="AD158" i="3"/>
  <c r="H154" i="17" s="1"/>
  <c r="AE158" i="3"/>
  <c r="I154" i="17" s="1"/>
  <c r="AF158" i="3"/>
  <c r="J154" i="17" s="1"/>
  <c r="AG158" i="3"/>
  <c r="K154" i="17" s="1"/>
  <c r="AH158" i="3"/>
  <c r="L154" i="17" s="1"/>
  <c r="AI158" i="3"/>
  <c r="M154" i="17" s="1"/>
  <c r="AJ158" i="3"/>
  <c r="N154" i="17" s="1"/>
  <c r="AK158" i="3"/>
  <c r="O154" i="17" s="1"/>
  <c r="AL158" i="3"/>
  <c r="P154" i="17" s="1"/>
  <c r="AM158" i="3"/>
  <c r="Q154" i="17" s="1"/>
  <c r="AN158" i="3"/>
  <c r="R154" i="17" s="1"/>
  <c r="Q157" i="3"/>
  <c r="R157" i="3"/>
  <c r="S157" i="3"/>
  <c r="T157" i="3"/>
  <c r="U157" i="3"/>
  <c r="V157" i="3"/>
  <c r="W157" i="3"/>
  <c r="X157" i="3"/>
  <c r="AD157" i="3"/>
  <c r="H157" i="17" s="1"/>
  <c r="AE157" i="3"/>
  <c r="I157" i="17" s="1"/>
  <c r="AF157" i="3"/>
  <c r="J157" i="17" s="1"/>
  <c r="AG157" i="3"/>
  <c r="K157" i="17" s="1"/>
  <c r="AH157" i="3"/>
  <c r="L157" i="17" s="1"/>
  <c r="AI157" i="3"/>
  <c r="M157" i="17" s="1"/>
  <c r="AJ157" i="3"/>
  <c r="N157" i="17" s="1"/>
  <c r="AK157" i="3"/>
  <c r="O157" i="17" s="1"/>
  <c r="AL157" i="3"/>
  <c r="P157" i="17" s="1"/>
  <c r="AM157" i="3"/>
  <c r="Q157" i="17" s="1"/>
  <c r="AN157" i="3"/>
  <c r="R157" i="17" s="1"/>
  <c r="X156" i="3"/>
  <c r="AD156" i="3"/>
  <c r="H151" i="17" s="1"/>
  <c r="AE156" i="3"/>
  <c r="I151" i="17" s="1"/>
  <c r="AF156" i="3"/>
  <c r="J151" i="17" s="1"/>
  <c r="AG156" i="3"/>
  <c r="K151" i="17" s="1"/>
  <c r="AH156" i="3"/>
  <c r="L151" i="17" s="1"/>
  <c r="AI156" i="3"/>
  <c r="M151" i="17" s="1"/>
  <c r="AJ156" i="3"/>
  <c r="N151" i="17" s="1"/>
  <c r="AK156" i="3"/>
  <c r="O151" i="17" s="1"/>
  <c r="AL156" i="3"/>
  <c r="P151" i="17" s="1"/>
  <c r="AM156" i="3"/>
  <c r="Q151" i="17" s="1"/>
  <c r="AN156" i="3"/>
  <c r="R151" i="17" s="1"/>
  <c r="X155" i="3"/>
  <c r="AD155" i="3"/>
  <c r="H143" i="17" s="1"/>
  <c r="AE155" i="3"/>
  <c r="I143" i="17" s="1"/>
  <c r="AF155" i="3"/>
  <c r="J143" i="17" s="1"/>
  <c r="AG155" i="3"/>
  <c r="K143" i="17" s="1"/>
  <c r="AH155" i="3"/>
  <c r="L143" i="17" s="1"/>
  <c r="AI155" i="3"/>
  <c r="M143" i="17" s="1"/>
  <c r="AJ155" i="3"/>
  <c r="N143" i="17" s="1"/>
  <c r="AK155" i="3"/>
  <c r="O143" i="17" s="1"/>
  <c r="AL155" i="3"/>
  <c r="P143" i="17" s="1"/>
  <c r="AM155" i="3"/>
  <c r="Q143" i="17" s="1"/>
  <c r="AN155" i="3"/>
  <c r="R143" i="17" s="1"/>
  <c r="Q154" i="3"/>
  <c r="R154" i="3"/>
  <c r="S154" i="3"/>
  <c r="T154" i="3"/>
  <c r="U154" i="3"/>
  <c r="V154" i="3"/>
  <c r="W154" i="3"/>
  <c r="X154" i="3"/>
  <c r="AD154" i="3"/>
  <c r="H156" i="17" s="1"/>
  <c r="AE154" i="3"/>
  <c r="I156" i="17" s="1"/>
  <c r="AF154" i="3"/>
  <c r="J156" i="17" s="1"/>
  <c r="AG154" i="3"/>
  <c r="K156" i="17" s="1"/>
  <c r="AH154" i="3"/>
  <c r="L156" i="17" s="1"/>
  <c r="AI154" i="3"/>
  <c r="M156" i="17" s="1"/>
  <c r="AJ154" i="3"/>
  <c r="N156" i="17" s="1"/>
  <c r="AK154" i="3"/>
  <c r="O156" i="17" s="1"/>
  <c r="AL154" i="3"/>
  <c r="P156" i="17" s="1"/>
  <c r="AM154" i="3"/>
  <c r="Q156" i="17" s="1"/>
  <c r="AN154" i="3"/>
  <c r="R156" i="17" s="1"/>
  <c r="X153" i="3"/>
  <c r="AD153" i="3"/>
  <c r="H142" i="17" s="1"/>
  <c r="AE153" i="3"/>
  <c r="I142" i="17" s="1"/>
  <c r="AF153" i="3"/>
  <c r="J142" i="17" s="1"/>
  <c r="AG153" i="3"/>
  <c r="K142" i="17" s="1"/>
  <c r="AH153" i="3"/>
  <c r="L142" i="17" s="1"/>
  <c r="AI153" i="3"/>
  <c r="M142" i="17" s="1"/>
  <c r="AJ153" i="3"/>
  <c r="N142" i="17" s="1"/>
  <c r="AK153" i="3"/>
  <c r="O142" i="17" s="1"/>
  <c r="AL153" i="3"/>
  <c r="P142" i="17" s="1"/>
  <c r="AM153" i="3"/>
  <c r="Q142" i="17" s="1"/>
  <c r="AN153" i="3"/>
  <c r="R142" i="17" s="1"/>
  <c r="X152" i="3"/>
  <c r="AD152" i="3"/>
  <c r="H144" i="17" s="1"/>
  <c r="AE152" i="3"/>
  <c r="I144" i="17" s="1"/>
  <c r="AF152" i="3"/>
  <c r="J144" i="17" s="1"/>
  <c r="AG152" i="3"/>
  <c r="K144" i="17" s="1"/>
  <c r="AH152" i="3"/>
  <c r="L144" i="17" s="1"/>
  <c r="AI152" i="3"/>
  <c r="M144" i="17" s="1"/>
  <c r="AJ152" i="3"/>
  <c r="N144" i="17" s="1"/>
  <c r="AK152" i="3"/>
  <c r="O144" i="17" s="1"/>
  <c r="AL152" i="3"/>
  <c r="P144" i="17" s="1"/>
  <c r="AM152" i="3"/>
  <c r="Q144" i="17" s="1"/>
  <c r="AN152" i="3"/>
  <c r="R144" i="17" s="1"/>
  <c r="X151" i="3"/>
  <c r="AD151" i="3"/>
  <c r="H148" i="17" s="1"/>
  <c r="AE151" i="3"/>
  <c r="I148" i="17" s="1"/>
  <c r="AF151" i="3"/>
  <c r="J148" i="17" s="1"/>
  <c r="AG151" i="3"/>
  <c r="K148" i="17" s="1"/>
  <c r="AH151" i="3"/>
  <c r="L148" i="17" s="1"/>
  <c r="AI151" i="3"/>
  <c r="M148" i="17" s="1"/>
  <c r="AJ151" i="3"/>
  <c r="N148" i="17" s="1"/>
  <c r="AK151" i="3"/>
  <c r="O148" i="17" s="1"/>
  <c r="AL151" i="3"/>
  <c r="P148" i="17" s="1"/>
  <c r="AM151" i="3"/>
  <c r="Q148" i="17" s="1"/>
  <c r="AN151" i="3"/>
  <c r="R148" i="17" s="1"/>
  <c r="X150" i="3"/>
  <c r="AD150" i="3"/>
  <c r="H134" i="17" s="1"/>
  <c r="AE150" i="3"/>
  <c r="I134" i="17" s="1"/>
  <c r="AF150" i="3"/>
  <c r="J134" i="17" s="1"/>
  <c r="AG150" i="3"/>
  <c r="K134" i="17" s="1"/>
  <c r="AH150" i="3"/>
  <c r="L134" i="17" s="1"/>
  <c r="AI150" i="3"/>
  <c r="M134" i="17" s="1"/>
  <c r="AJ150" i="3"/>
  <c r="N134" i="17" s="1"/>
  <c r="AK150" i="3"/>
  <c r="O134" i="17" s="1"/>
  <c r="AL150" i="3"/>
  <c r="P134" i="17" s="1"/>
  <c r="AM150" i="3"/>
  <c r="Q134" i="17" s="1"/>
  <c r="AN150" i="3"/>
  <c r="R134" i="17" s="1"/>
  <c r="Q149" i="3"/>
  <c r="R149" i="3"/>
  <c r="S149" i="3"/>
  <c r="T149" i="3"/>
  <c r="U149" i="3"/>
  <c r="V149" i="3"/>
  <c r="W149" i="3"/>
  <c r="X149" i="3"/>
  <c r="AD149" i="3"/>
  <c r="H155" i="17" s="1"/>
  <c r="AE149" i="3"/>
  <c r="I155" i="17" s="1"/>
  <c r="AF149" i="3"/>
  <c r="J155" i="17" s="1"/>
  <c r="AG149" i="3"/>
  <c r="K155" i="17" s="1"/>
  <c r="AH149" i="3"/>
  <c r="L155" i="17" s="1"/>
  <c r="AI149" i="3"/>
  <c r="M155" i="17" s="1"/>
  <c r="AJ149" i="3"/>
  <c r="N155" i="17" s="1"/>
  <c r="AK149" i="3"/>
  <c r="O155" i="17" s="1"/>
  <c r="AL149" i="3"/>
  <c r="P155" i="17" s="1"/>
  <c r="AM149" i="3"/>
  <c r="Q155" i="17" s="1"/>
  <c r="AN149" i="3"/>
  <c r="R155" i="17" s="1"/>
  <c r="X148" i="3"/>
  <c r="AD148" i="3"/>
  <c r="H139" i="17" s="1"/>
  <c r="AE148" i="3"/>
  <c r="I139" i="17" s="1"/>
  <c r="AF148" i="3"/>
  <c r="J139" i="17" s="1"/>
  <c r="AG148" i="3"/>
  <c r="K139" i="17" s="1"/>
  <c r="AH148" i="3"/>
  <c r="L139" i="17" s="1"/>
  <c r="AI148" i="3"/>
  <c r="M139" i="17" s="1"/>
  <c r="AJ148" i="3"/>
  <c r="N139" i="17" s="1"/>
  <c r="AK148" i="3"/>
  <c r="O139" i="17" s="1"/>
  <c r="AL148" i="3"/>
  <c r="P139" i="17" s="1"/>
  <c r="AM148" i="3"/>
  <c r="Q139" i="17" s="1"/>
  <c r="AN148" i="3"/>
  <c r="R139" i="17" s="1"/>
  <c r="X147" i="3"/>
  <c r="AD147" i="3"/>
  <c r="H140" i="17" s="1"/>
  <c r="AE147" i="3"/>
  <c r="I140" i="17" s="1"/>
  <c r="AF147" i="3"/>
  <c r="J140" i="17" s="1"/>
  <c r="AG147" i="3"/>
  <c r="K140" i="17" s="1"/>
  <c r="AH147" i="3"/>
  <c r="L140" i="17" s="1"/>
  <c r="AI147" i="3"/>
  <c r="M140" i="17" s="1"/>
  <c r="AJ147" i="3"/>
  <c r="N140" i="17" s="1"/>
  <c r="AK147" i="3"/>
  <c r="O140" i="17" s="1"/>
  <c r="AL147" i="3"/>
  <c r="P140" i="17" s="1"/>
  <c r="AM147" i="3"/>
  <c r="Q140" i="17" s="1"/>
  <c r="AN147" i="3"/>
  <c r="R140" i="17" s="1"/>
  <c r="X146" i="3"/>
  <c r="AD146" i="3"/>
  <c r="H150" i="17" s="1"/>
  <c r="AE146" i="3"/>
  <c r="I150" i="17" s="1"/>
  <c r="AF146" i="3"/>
  <c r="J150" i="17" s="1"/>
  <c r="AG146" i="3"/>
  <c r="K150" i="17" s="1"/>
  <c r="AH146" i="3"/>
  <c r="L150" i="17" s="1"/>
  <c r="AI146" i="3"/>
  <c r="M150" i="17" s="1"/>
  <c r="AJ146" i="3"/>
  <c r="N150" i="17" s="1"/>
  <c r="AK146" i="3"/>
  <c r="O150" i="17" s="1"/>
  <c r="AL146" i="3"/>
  <c r="P150" i="17" s="1"/>
  <c r="AM146" i="3"/>
  <c r="Q150" i="17" s="1"/>
  <c r="AN146" i="3"/>
  <c r="R150" i="17" s="1"/>
  <c r="X145" i="3"/>
  <c r="AD145" i="3"/>
  <c r="H136" i="17" s="1"/>
  <c r="AE145" i="3"/>
  <c r="I136" i="17" s="1"/>
  <c r="AF145" i="3"/>
  <c r="J136" i="17" s="1"/>
  <c r="AG145" i="3"/>
  <c r="K136" i="17" s="1"/>
  <c r="AH145" i="3"/>
  <c r="L136" i="17" s="1"/>
  <c r="AI145" i="3"/>
  <c r="M136" i="17" s="1"/>
  <c r="AJ145" i="3"/>
  <c r="N136" i="17" s="1"/>
  <c r="AK145" i="3"/>
  <c r="O136" i="17" s="1"/>
  <c r="AL145" i="3"/>
  <c r="P136" i="17" s="1"/>
  <c r="AM145" i="3"/>
  <c r="Q136" i="17" s="1"/>
  <c r="AN145" i="3"/>
  <c r="R136" i="17" s="1"/>
  <c r="X144" i="3"/>
  <c r="AD144" i="3"/>
  <c r="H138" i="17" s="1"/>
  <c r="AE144" i="3"/>
  <c r="I138" i="17" s="1"/>
  <c r="AF144" i="3"/>
  <c r="J138" i="17" s="1"/>
  <c r="AG144" i="3"/>
  <c r="K138" i="17" s="1"/>
  <c r="AH144" i="3"/>
  <c r="L138" i="17" s="1"/>
  <c r="AI144" i="3"/>
  <c r="M138" i="17" s="1"/>
  <c r="AJ144" i="3"/>
  <c r="N138" i="17" s="1"/>
  <c r="AK144" i="3"/>
  <c r="O138" i="17" s="1"/>
  <c r="AL144" i="3"/>
  <c r="P138" i="17" s="1"/>
  <c r="AM144" i="3"/>
  <c r="Q138" i="17" s="1"/>
  <c r="AN144" i="3"/>
  <c r="R138" i="17" s="1"/>
  <c r="X143" i="3"/>
  <c r="AD143" i="3"/>
  <c r="H149" i="17" s="1"/>
  <c r="AE143" i="3"/>
  <c r="I149" i="17" s="1"/>
  <c r="AF143" i="3"/>
  <c r="J149" i="17" s="1"/>
  <c r="AG143" i="3"/>
  <c r="K149" i="17" s="1"/>
  <c r="AH143" i="3"/>
  <c r="L149" i="17" s="1"/>
  <c r="AI143" i="3"/>
  <c r="M149" i="17" s="1"/>
  <c r="AJ143" i="3"/>
  <c r="N149" i="17" s="1"/>
  <c r="AK143" i="3"/>
  <c r="O149" i="17" s="1"/>
  <c r="AL143" i="3"/>
  <c r="P149" i="17" s="1"/>
  <c r="AM143" i="3"/>
  <c r="Q149" i="17" s="1"/>
  <c r="AN143" i="3"/>
  <c r="R149" i="17" s="1"/>
  <c r="X142" i="3"/>
  <c r="AD142" i="3"/>
  <c r="H137" i="17" s="1"/>
  <c r="AE142" i="3"/>
  <c r="I137" i="17" s="1"/>
  <c r="AF142" i="3"/>
  <c r="J137" i="17" s="1"/>
  <c r="AG142" i="3"/>
  <c r="K137" i="17" s="1"/>
  <c r="AH142" i="3"/>
  <c r="L137" i="17" s="1"/>
  <c r="AI142" i="3"/>
  <c r="M137" i="17" s="1"/>
  <c r="AJ142" i="3"/>
  <c r="N137" i="17" s="1"/>
  <c r="AK142" i="3"/>
  <c r="O137" i="17" s="1"/>
  <c r="AL142" i="3"/>
  <c r="P137" i="17" s="1"/>
  <c r="AM142" i="3"/>
  <c r="Q137" i="17" s="1"/>
  <c r="AN142" i="3"/>
  <c r="R137" i="17" s="1"/>
  <c r="X141" i="3"/>
  <c r="AD141" i="3"/>
  <c r="H145" i="17" s="1"/>
  <c r="AE141" i="3"/>
  <c r="I145" i="17" s="1"/>
  <c r="AF141" i="3"/>
  <c r="J145" i="17" s="1"/>
  <c r="AG141" i="3"/>
  <c r="K145" i="17" s="1"/>
  <c r="AH141" i="3"/>
  <c r="L145" i="17" s="1"/>
  <c r="AI141" i="3"/>
  <c r="M145" i="17" s="1"/>
  <c r="AJ141" i="3"/>
  <c r="N145" i="17" s="1"/>
  <c r="AK141" i="3"/>
  <c r="O145" i="17" s="1"/>
  <c r="AL141" i="3"/>
  <c r="P145" i="17" s="1"/>
  <c r="AM141" i="3"/>
  <c r="Q145" i="17" s="1"/>
  <c r="AN141" i="3"/>
  <c r="R145" i="17" s="1"/>
  <c r="X140" i="3"/>
  <c r="AD140" i="3"/>
  <c r="H147" i="17" s="1"/>
  <c r="AE140" i="3"/>
  <c r="I147" i="17" s="1"/>
  <c r="AF140" i="3"/>
  <c r="J147" i="17" s="1"/>
  <c r="AG140" i="3"/>
  <c r="K147" i="17" s="1"/>
  <c r="AH140" i="3"/>
  <c r="L147" i="17" s="1"/>
  <c r="AI140" i="3"/>
  <c r="M147" i="17" s="1"/>
  <c r="AJ140" i="3"/>
  <c r="N147" i="17" s="1"/>
  <c r="AK140" i="3"/>
  <c r="O147" i="17" s="1"/>
  <c r="AL140" i="3"/>
  <c r="P147" i="17" s="1"/>
  <c r="AM140" i="3"/>
  <c r="Q147" i="17" s="1"/>
  <c r="AN140" i="3"/>
  <c r="R147" i="17" s="1"/>
  <c r="X139" i="3"/>
  <c r="AD139" i="3"/>
  <c r="H153" i="17" s="1"/>
  <c r="AE139" i="3"/>
  <c r="I153" i="17" s="1"/>
  <c r="AF139" i="3"/>
  <c r="J153" i="17" s="1"/>
  <c r="AG139" i="3"/>
  <c r="K153" i="17" s="1"/>
  <c r="AH139" i="3"/>
  <c r="L153" i="17" s="1"/>
  <c r="AI139" i="3"/>
  <c r="M153" i="17" s="1"/>
  <c r="AJ139" i="3"/>
  <c r="N153" i="17" s="1"/>
  <c r="AK139" i="3"/>
  <c r="O153" i="17" s="1"/>
  <c r="AL139" i="3"/>
  <c r="P153" i="17" s="1"/>
  <c r="AM139" i="3"/>
  <c r="Q153" i="17" s="1"/>
  <c r="AN139" i="3"/>
  <c r="R153" i="17" s="1"/>
  <c r="X138" i="3"/>
  <c r="AD138" i="3"/>
  <c r="H141" i="17" s="1"/>
  <c r="AE138" i="3"/>
  <c r="I141" i="17" s="1"/>
  <c r="AF138" i="3"/>
  <c r="J141" i="17" s="1"/>
  <c r="AG138" i="3"/>
  <c r="K141" i="17" s="1"/>
  <c r="AH138" i="3"/>
  <c r="L141" i="17" s="1"/>
  <c r="AI138" i="3"/>
  <c r="M141" i="17" s="1"/>
  <c r="AJ138" i="3"/>
  <c r="N141" i="17" s="1"/>
  <c r="AK138" i="3"/>
  <c r="O141" i="17" s="1"/>
  <c r="AL138" i="3"/>
  <c r="P141" i="17" s="1"/>
  <c r="AM138" i="3"/>
  <c r="Q141" i="17" s="1"/>
  <c r="AN138" i="3"/>
  <c r="R141" i="17" s="1"/>
  <c r="X137" i="3"/>
  <c r="AD137" i="3"/>
  <c r="H152" i="17" s="1"/>
  <c r="AE137" i="3"/>
  <c r="I152" i="17" s="1"/>
  <c r="AF137" i="3"/>
  <c r="J152" i="17" s="1"/>
  <c r="AG137" i="3"/>
  <c r="K152" i="17" s="1"/>
  <c r="AH137" i="3"/>
  <c r="L152" i="17" s="1"/>
  <c r="AI137" i="3"/>
  <c r="M152" i="17" s="1"/>
  <c r="AJ137" i="3"/>
  <c r="N152" i="17" s="1"/>
  <c r="AK137" i="3"/>
  <c r="O152" i="17" s="1"/>
  <c r="AL137" i="3"/>
  <c r="P152" i="17" s="1"/>
  <c r="AM137" i="3"/>
  <c r="Q152" i="17" s="1"/>
  <c r="AN137" i="3"/>
  <c r="R152" i="17" s="1"/>
  <c r="X136" i="3"/>
  <c r="AD136" i="3"/>
  <c r="H146" i="17" s="1"/>
  <c r="AE136" i="3"/>
  <c r="I146" i="17" s="1"/>
  <c r="AF136" i="3"/>
  <c r="J146" i="17" s="1"/>
  <c r="AG136" i="3"/>
  <c r="K146" i="17" s="1"/>
  <c r="AH136" i="3"/>
  <c r="L146" i="17" s="1"/>
  <c r="AI136" i="3"/>
  <c r="M146" i="17" s="1"/>
  <c r="AJ136" i="3"/>
  <c r="N146" i="17" s="1"/>
  <c r="AK136" i="3"/>
  <c r="O146" i="17" s="1"/>
  <c r="AL136" i="3"/>
  <c r="P146" i="17" s="1"/>
  <c r="AM136" i="3"/>
  <c r="Q146" i="17" s="1"/>
  <c r="AN136" i="3"/>
  <c r="R146" i="17" s="1"/>
  <c r="X135" i="3"/>
  <c r="AD135" i="3"/>
  <c r="AE135" i="3"/>
  <c r="AF135" i="3"/>
  <c r="AG135" i="3"/>
  <c r="AH135" i="3"/>
  <c r="AI135" i="3"/>
  <c r="AJ135" i="3"/>
  <c r="AK135" i="3"/>
  <c r="AL135" i="3"/>
  <c r="AM135" i="3"/>
  <c r="AN135" i="3"/>
  <c r="Q130" i="3"/>
  <c r="U130" i="3"/>
  <c r="T130" i="3"/>
  <c r="R130" i="3"/>
  <c r="Q134" i="3"/>
  <c r="U134" i="3"/>
  <c r="T134" i="3"/>
  <c r="R134" i="3"/>
  <c r="Q133" i="3"/>
  <c r="U133" i="3"/>
  <c r="T133" i="3"/>
  <c r="R133" i="3"/>
  <c r="Q132" i="3"/>
  <c r="V132" i="3"/>
  <c r="U132" i="3"/>
  <c r="T132" i="3"/>
  <c r="R132" i="3"/>
  <c r="Q131" i="3"/>
  <c r="U131" i="3"/>
  <c r="T131" i="3"/>
  <c r="S131" i="3"/>
  <c r="R131" i="3"/>
  <c r="Q129" i="3"/>
  <c r="U129" i="3"/>
  <c r="T129" i="3"/>
  <c r="S129" i="3"/>
  <c r="R129" i="3"/>
  <c r="Q128" i="3"/>
  <c r="V128" i="3"/>
  <c r="U128" i="3"/>
  <c r="T128" i="3"/>
  <c r="S128" i="3"/>
  <c r="R128" i="3"/>
  <c r="Q127" i="3"/>
  <c r="U127" i="3"/>
  <c r="T127" i="3"/>
  <c r="S127" i="3"/>
  <c r="R127" i="3"/>
  <c r="Q126" i="3"/>
  <c r="U126" i="3"/>
  <c r="T126" i="3"/>
  <c r="S126" i="3"/>
  <c r="R126" i="3"/>
  <c r="Q125" i="3"/>
  <c r="V125" i="3"/>
  <c r="U125" i="3"/>
  <c r="T125" i="3"/>
  <c r="R125" i="3"/>
  <c r="Q124" i="3"/>
  <c r="U124" i="3"/>
  <c r="T124" i="3"/>
  <c r="R124" i="3"/>
  <c r="Q123" i="3"/>
  <c r="U123" i="3"/>
  <c r="T123" i="3"/>
  <c r="S123" i="3"/>
  <c r="R123" i="3"/>
  <c r="Q122" i="3"/>
  <c r="U122" i="3"/>
  <c r="T122" i="3"/>
  <c r="R122" i="3"/>
  <c r="Q121" i="3"/>
  <c r="U121" i="3"/>
  <c r="T121" i="3"/>
  <c r="R121" i="3"/>
  <c r="Q120" i="3"/>
  <c r="U120" i="3"/>
  <c r="T120" i="3"/>
  <c r="R120" i="3"/>
  <c r="Q119" i="3"/>
  <c r="V119" i="3"/>
  <c r="U119" i="3"/>
  <c r="T119" i="3"/>
  <c r="S119" i="3"/>
  <c r="R119" i="3"/>
  <c r="Q118" i="3"/>
  <c r="U118" i="3"/>
  <c r="T118" i="3"/>
  <c r="S118" i="3"/>
  <c r="R118" i="3"/>
  <c r="Q117" i="3"/>
  <c r="R117" i="3"/>
  <c r="S117" i="3"/>
  <c r="T117" i="3"/>
  <c r="U117" i="3"/>
  <c r="Q116" i="3"/>
  <c r="T116" i="3"/>
  <c r="S116" i="3"/>
  <c r="R116" i="3"/>
  <c r="U116" i="3"/>
  <c r="Q115" i="3"/>
  <c r="U115" i="3"/>
  <c r="T115" i="3"/>
  <c r="R115" i="3"/>
  <c r="E135" i="17"/>
  <c r="H135" i="17"/>
  <c r="I135" i="17"/>
  <c r="J135" i="17"/>
  <c r="K135" i="17"/>
  <c r="L135" i="17"/>
  <c r="M135" i="17"/>
  <c r="N135" i="17"/>
  <c r="O135" i="17"/>
  <c r="P135" i="17"/>
  <c r="Q135" i="17"/>
  <c r="R135" i="17"/>
  <c r="X134" i="3"/>
  <c r="AD134" i="3"/>
  <c r="AE134" i="3"/>
  <c r="AF134" i="3"/>
  <c r="AG134" i="3"/>
  <c r="AH134" i="3"/>
  <c r="AI134" i="3"/>
  <c r="AJ134" i="3"/>
  <c r="AK134" i="3"/>
  <c r="AL134" i="3"/>
  <c r="AM134" i="3"/>
  <c r="AN134" i="3"/>
  <c r="X133" i="3"/>
  <c r="AD133" i="3"/>
  <c r="AE133" i="3"/>
  <c r="AF133" i="3"/>
  <c r="AG133" i="3"/>
  <c r="AH133" i="3"/>
  <c r="AI133" i="3"/>
  <c r="AJ133" i="3"/>
  <c r="AK133" i="3"/>
  <c r="AL133" i="3"/>
  <c r="AM133" i="3"/>
  <c r="AN133" i="3"/>
  <c r="X132" i="3"/>
  <c r="AD132" i="3"/>
  <c r="AE132" i="3"/>
  <c r="AF132" i="3"/>
  <c r="AG132" i="3"/>
  <c r="AH132" i="3"/>
  <c r="AI132" i="3"/>
  <c r="AJ132" i="3"/>
  <c r="AK132" i="3"/>
  <c r="AL132" i="3"/>
  <c r="AM132" i="3"/>
  <c r="AN132" i="3"/>
  <c r="X131" i="3"/>
  <c r="AD131" i="3"/>
  <c r="AE131" i="3"/>
  <c r="AF131" i="3"/>
  <c r="AG131" i="3"/>
  <c r="AH131" i="3"/>
  <c r="AI131" i="3"/>
  <c r="AJ131" i="3"/>
  <c r="AK131" i="3"/>
  <c r="AL131" i="3"/>
  <c r="AM131" i="3"/>
  <c r="AN131" i="3"/>
  <c r="X130" i="3"/>
  <c r="AD130" i="3"/>
  <c r="AE130" i="3"/>
  <c r="AF130" i="3"/>
  <c r="AG130" i="3"/>
  <c r="AH130" i="3"/>
  <c r="AI130" i="3"/>
  <c r="AJ130" i="3"/>
  <c r="AK130" i="3"/>
  <c r="AL130" i="3"/>
  <c r="AM130" i="3"/>
  <c r="AN130" i="3"/>
  <c r="X129" i="3"/>
  <c r="AD129" i="3"/>
  <c r="AE129" i="3"/>
  <c r="AF129" i="3"/>
  <c r="AG129" i="3"/>
  <c r="AH129" i="3"/>
  <c r="AI129" i="3"/>
  <c r="AJ129" i="3"/>
  <c r="AK129" i="3"/>
  <c r="AL129" i="3"/>
  <c r="AM129" i="3"/>
  <c r="AN129" i="3"/>
  <c r="X128" i="3"/>
  <c r="AD128" i="3"/>
  <c r="AE128" i="3"/>
  <c r="AF128" i="3"/>
  <c r="AG128" i="3"/>
  <c r="AH128" i="3"/>
  <c r="AI128" i="3"/>
  <c r="AJ128" i="3"/>
  <c r="AK128" i="3"/>
  <c r="AL128" i="3"/>
  <c r="AM128" i="3"/>
  <c r="AN128" i="3"/>
  <c r="X127" i="3"/>
  <c r="AD127" i="3"/>
  <c r="AE127" i="3"/>
  <c r="AF127" i="3"/>
  <c r="AG127" i="3"/>
  <c r="AH127" i="3"/>
  <c r="AI127" i="3"/>
  <c r="AJ127" i="3"/>
  <c r="AK127" i="3"/>
  <c r="AL127" i="3"/>
  <c r="AM127" i="3"/>
  <c r="AN127" i="3"/>
  <c r="X126" i="3"/>
  <c r="AD126" i="3"/>
  <c r="AE126" i="3"/>
  <c r="AF126" i="3"/>
  <c r="AG126" i="3"/>
  <c r="AH126" i="3"/>
  <c r="AI126" i="3"/>
  <c r="AJ126" i="3"/>
  <c r="AK126" i="3"/>
  <c r="AL126" i="3"/>
  <c r="AM126" i="3"/>
  <c r="AN126" i="3"/>
  <c r="X125" i="3"/>
  <c r="AD125" i="3"/>
  <c r="AE125" i="3"/>
  <c r="AF125" i="3"/>
  <c r="AG125" i="3"/>
  <c r="AH125" i="3"/>
  <c r="AI125" i="3"/>
  <c r="AJ125" i="3"/>
  <c r="AK125" i="3"/>
  <c r="AL125" i="3"/>
  <c r="AM125" i="3"/>
  <c r="AN125" i="3"/>
  <c r="X124" i="3"/>
  <c r="AD124" i="3"/>
  <c r="AE124" i="3"/>
  <c r="AF124" i="3"/>
  <c r="AG124" i="3"/>
  <c r="AH124" i="3"/>
  <c r="AI124" i="3"/>
  <c r="AJ124" i="3"/>
  <c r="AK124" i="3"/>
  <c r="AL124" i="3"/>
  <c r="AM124" i="3"/>
  <c r="AN124" i="3"/>
  <c r="X123" i="3"/>
  <c r="AD123" i="3"/>
  <c r="AE123" i="3"/>
  <c r="AF123" i="3"/>
  <c r="AG123" i="3"/>
  <c r="AH123" i="3"/>
  <c r="AI123" i="3"/>
  <c r="AJ123" i="3"/>
  <c r="AK123" i="3"/>
  <c r="AL123" i="3"/>
  <c r="AM123" i="3"/>
  <c r="AN123" i="3"/>
  <c r="X122" i="3"/>
  <c r="AD122" i="3"/>
  <c r="AE122" i="3"/>
  <c r="AF122" i="3"/>
  <c r="AG122" i="3"/>
  <c r="AH122" i="3"/>
  <c r="AI122" i="3"/>
  <c r="AJ122" i="3"/>
  <c r="AK122" i="3"/>
  <c r="AL122" i="3"/>
  <c r="AM122" i="3"/>
  <c r="AN122" i="3"/>
  <c r="X121" i="3"/>
  <c r="AD121" i="3"/>
  <c r="AE121" i="3"/>
  <c r="AF121" i="3"/>
  <c r="AG121" i="3"/>
  <c r="AH121" i="3"/>
  <c r="AI121" i="3"/>
  <c r="AJ121" i="3"/>
  <c r="AK121" i="3"/>
  <c r="AL121" i="3"/>
  <c r="AM121" i="3"/>
  <c r="AN121" i="3"/>
  <c r="X120" i="3"/>
  <c r="AD120" i="3"/>
  <c r="AE120" i="3"/>
  <c r="AF120" i="3"/>
  <c r="AG120" i="3"/>
  <c r="AH120" i="3"/>
  <c r="AI120" i="3"/>
  <c r="AJ120" i="3"/>
  <c r="AK120" i="3"/>
  <c r="AL120" i="3"/>
  <c r="AM120" i="3"/>
  <c r="AN120" i="3"/>
  <c r="X119" i="3"/>
  <c r="AD119" i="3"/>
  <c r="AE119" i="3"/>
  <c r="AF119" i="3"/>
  <c r="AG119" i="3"/>
  <c r="AH119" i="3"/>
  <c r="AI119" i="3"/>
  <c r="AJ119" i="3"/>
  <c r="AK119" i="3"/>
  <c r="AL119" i="3"/>
  <c r="AM119" i="3"/>
  <c r="AN119" i="3"/>
  <c r="X118" i="3"/>
  <c r="AD118" i="3"/>
  <c r="AE118" i="3"/>
  <c r="AF118" i="3"/>
  <c r="AG118" i="3"/>
  <c r="AH118" i="3"/>
  <c r="AI118" i="3"/>
  <c r="AJ118" i="3"/>
  <c r="AK118" i="3"/>
  <c r="AL118" i="3"/>
  <c r="AM118" i="3"/>
  <c r="AN118" i="3"/>
  <c r="X117" i="3"/>
  <c r="AD117" i="3"/>
  <c r="AE117" i="3"/>
  <c r="AF117" i="3"/>
  <c r="AG117" i="3"/>
  <c r="AH117" i="3"/>
  <c r="AI117" i="3"/>
  <c r="AJ117" i="3"/>
  <c r="AK117" i="3"/>
  <c r="AL117" i="3"/>
  <c r="AM117" i="3"/>
  <c r="AN117" i="3"/>
  <c r="X116" i="3"/>
  <c r="AD116" i="3"/>
  <c r="AE116" i="3"/>
  <c r="AF116" i="3"/>
  <c r="AG116" i="3"/>
  <c r="AH116" i="3"/>
  <c r="AI116" i="3"/>
  <c r="AJ116" i="3"/>
  <c r="AK116" i="3"/>
  <c r="AL116" i="3"/>
  <c r="AM116" i="3"/>
  <c r="AN116" i="3"/>
  <c r="X115" i="3"/>
  <c r="AD115" i="3"/>
  <c r="AE115" i="3"/>
  <c r="AF115" i="3"/>
  <c r="AG115" i="3"/>
  <c r="AH115" i="3"/>
  <c r="AI115" i="3"/>
  <c r="AJ115" i="3"/>
  <c r="AK115" i="3"/>
  <c r="AL115" i="3"/>
  <c r="AM115" i="3"/>
  <c r="AN115" i="3"/>
  <c r="Q114" i="3"/>
  <c r="U114" i="3"/>
  <c r="T114" i="3"/>
  <c r="R114" i="3"/>
  <c r="Q113" i="3"/>
  <c r="U113" i="3"/>
  <c r="T113" i="3"/>
  <c r="R113" i="3"/>
  <c r="Q112" i="3"/>
  <c r="T112" i="3"/>
  <c r="R112" i="3"/>
  <c r="U112" i="3"/>
  <c r="Q111" i="3"/>
  <c r="U111" i="3"/>
  <c r="T111" i="3"/>
  <c r="S111" i="3"/>
  <c r="R111" i="3"/>
  <c r="Q110" i="3"/>
  <c r="U110" i="3"/>
  <c r="T110" i="3"/>
  <c r="R110" i="3"/>
  <c r="Q109" i="3"/>
  <c r="V109" i="3"/>
  <c r="U109" i="3"/>
  <c r="T109" i="3"/>
  <c r="S109" i="3"/>
  <c r="R109" i="3"/>
  <c r="Q108" i="3"/>
  <c r="U108" i="3"/>
  <c r="T108" i="3"/>
  <c r="R108" i="3"/>
  <c r="Q107" i="3"/>
  <c r="T107" i="3"/>
  <c r="R107" i="3"/>
  <c r="U107" i="3"/>
  <c r="Q105" i="3"/>
  <c r="U105" i="3"/>
  <c r="T105" i="3"/>
  <c r="R105" i="3"/>
  <c r="R106" i="3"/>
  <c r="Q104" i="3"/>
  <c r="U104" i="3"/>
  <c r="T104" i="3"/>
  <c r="S104" i="3"/>
  <c r="R104" i="3"/>
  <c r="Q103" i="3"/>
  <c r="V103" i="3"/>
  <c r="U103" i="3"/>
  <c r="T103" i="3"/>
  <c r="S103" i="3"/>
  <c r="R103" i="3"/>
  <c r="Q102" i="3"/>
  <c r="V102" i="3"/>
  <c r="U102" i="3"/>
  <c r="T102" i="3"/>
  <c r="R102" i="3"/>
  <c r="Q101" i="3"/>
  <c r="U101" i="3"/>
  <c r="T101" i="3"/>
  <c r="R101" i="3"/>
  <c r="Q100" i="3"/>
  <c r="U100" i="3"/>
  <c r="T100" i="3"/>
  <c r="R100" i="3"/>
  <c r="X114" i="3"/>
  <c r="AD114" i="3"/>
  <c r="AE114" i="3"/>
  <c r="AF114" i="3"/>
  <c r="AG114" i="3"/>
  <c r="AH114" i="3"/>
  <c r="AI114" i="3"/>
  <c r="AJ114" i="3"/>
  <c r="AK114" i="3"/>
  <c r="AL114" i="3"/>
  <c r="AM114" i="3"/>
  <c r="AN114" i="3"/>
  <c r="X113" i="3"/>
  <c r="AD113" i="3"/>
  <c r="AE113" i="3"/>
  <c r="AF113" i="3"/>
  <c r="AG113" i="3"/>
  <c r="AH113" i="3"/>
  <c r="AI113" i="3"/>
  <c r="AJ113" i="3"/>
  <c r="AK113" i="3"/>
  <c r="AL113" i="3"/>
  <c r="AM113" i="3"/>
  <c r="AN113" i="3"/>
  <c r="X112" i="3"/>
  <c r="AD112" i="3"/>
  <c r="AE112" i="3"/>
  <c r="AF112" i="3"/>
  <c r="AG112" i="3"/>
  <c r="AH112" i="3"/>
  <c r="AI112" i="3"/>
  <c r="AJ112" i="3"/>
  <c r="AK112" i="3"/>
  <c r="AL112" i="3"/>
  <c r="AM112" i="3"/>
  <c r="AN112" i="3"/>
  <c r="X111" i="3"/>
  <c r="AD111" i="3"/>
  <c r="AE111" i="3"/>
  <c r="AF111" i="3"/>
  <c r="AG111" i="3"/>
  <c r="AH111" i="3"/>
  <c r="AI111" i="3"/>
  <c r="AJ111" i="3"/>
  <c r="AK111" i="3"/>
  <c r="AL111" i="3"/>
  <c r="AM111" i="3"/>
  <c r="AN111" i="3"/>
  <c r="X110" i="3"/>
  <c r="AD110" i="3"/>
  <c r="AE110" i="3"/>
  <c r="AF110" i="3"/>
  <c r="AG110" i="3"/>
  <c r="AH110" i="3"/>
  <c r="AI110" i="3"/>
  <c r="AJ110" i="3"/>
  <c r="AK110" i="3"/>
  <c r="AL110" i="3"/>
  <c r="AM110" i="3"/>
  <c r="AN110" i="3"/>
  <c r="X109" i="3"/>
  <c r="AD109" i="3"/>
  <c r="AE109" i="3"/>
  <c r="AF109" i="3"/>
  <c r="AG109" i="3"/>
  <c r="AH109" i="3"/>
  <c r="AI109" i="3"/>
  <c r="AJ109" i="3"/>
  <c r="AK109" i="3"/>
  <c r="AL109" i="3"/>
  <c r="AM109" i="3"/>
  <c r="AN109" i="3"/>
  <c r="X108" i="3"/>
  <c r="AD108" i="3"/>
  <c r="AE108" i="3"/>
  <c r="AF108" i="3"/>
  <c r="AG108" i="3"/>
  <c r="AH108" i="3"/>
  <c r="AI108" i="3"/>
  <c r="AJ108" i="3"/>
  <c r="AK108" i="3"/>
  <c r="AL108" i="3"/>
  <c r="AM108" i="3"/>
  <c r="AN108" i="3"/>
  <c r="X100" i="3"/>
  <c r="X101" i="3"/>
  <c r="X102" i="3"/>
  <c r="X103" i="3"/>
  <c r="X104" i="3"/>
  <c r="X105" i="3"/>
  <c r="X106" i="3"/>
  <c r="X107" i="3"/>
  <c r="AD100" i="3"/>
  <c r="AD101" i="3"/>
  <c r="AD102" i="3"/>
  <c r="AD103" i="3"/>
  <c r="AD104" i="3"/>
  <c r="AD105" i="3"/>
  <c r="AD106" i="3"/>
  <c r="AD107" i="3"/>
  <c r="AE100" i="3"/>
  <c r="AE101" i="3"/>
  <c r="AE102" i="3"/>
  <c r="AE103" i="3"/>
  <c r="AE104" i="3"/>
  <c r="AE105" i="3"/>
  <c r="AE106" i="3"/>
  <c r="AE107" i="3"/>
  <c r="AF100" i="3"/>
  <c r="AF101" i="3"/>
  <c r="AF102" i="3"/>
  <c r="AF103" i="3"/>
  <c r="AF104" i="3"/>
  <c r="AF105" i="3"/>
  <c r="AF106" i="3"/>
  <c r="AF107" i="3"/>
  <c r="AG100" i="3"/>
  <c r="AG101" i="3"/>
  <c r="AG102" i="3"/>
  <c r="AG103" i="3"/>
  <c r="AG104" i="3"/>
  <c r="AG105" i="3"/>
  <c r="AG106" i="3"/>
  <c r="AG107" i="3"/>
  <c r="AH100" i="3"/>
  <c r="AH101" i="3"/>
  <c r="AH102" i="3"/>
  <c r="AH103" i="3"/>
  <c r="AH104" i="3"/>
  <c r="AH105" i="3"/>
  <c r="AH106" i="3"/>
  <c r="AH107" i="3"/>
  <c r="AI100" i="3"/>
  <c r="AI101" i="3"/>
  <c r="AI102" i="3"/>
  <c r="AI103" i="3"/>
  <c r="AI104" i="3"/>
  <c r="AI105" i="3"/>
  <c r="AI106" i="3"/>
  <c r="AI107" i="3"/>
  <c r="AJ100" i="3"/>
  <c r="AJ101" i="3"/>
  <c r="AJ102" i="3"/>
  <c r="AJ103" i="3"/>
  <c r="AJ104" i="3"/>
  <c r="AJ105" i="3"/>
  <c r="AJ106" i="3"/>
  <c r="AJ107" i="3"/>
  <c r="AK100" i="3"/>
  <c r="AK101" i="3"/>
  <c r="AK102" i="3"/>
  <c r="AK103" i="3"/>
  <c r="AK104" i="3"/>
  <c r="AK105" i="3"/>
  <c r="AK106" i="3"/>
  <c r="AK107" i="3"/>
  <c r="AL100" i="3"/>
  <c r="AL101" i="3"/>
  <c r="AL102" i="3"/>
  <c r="AL103" i="3"/>
  <c r="AL104" i="3"/>
  <c r="AL105" i="3"/>
  <c r="AL106" i="3"/>
  <c r="AL107" i="3"/>
  <c r="AM100" i="3"/>
  <c r="AM101" i="3"/>
  <c r="AM102" i="3"/>
  <c r="AM103" i="3"/>
  <c r="AM104" i="3"/>
  <c r="AM105" i="3"/>
  <c r="AM106" i="3"/>
  <c r="AM107" i="3"/>
  <c r="AN100" i="3"/>
  <c r="AN101" i="3"/>
  <c r="AN102" i="3"/>
  <c r="AN103" i="3"/>
  <c r="AN104" i="3"/>
  <c r="AN105" i="3"/>
  <c r="AN106" i="3"/>
  <c r="AN107" i="3"/>
  <c r="Q3" i="3"/>
  <c r="AF3" i="3" s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R3" i="3"/>
  <c r="AG3" i="3" s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X99" i="3"/>
  <c r="AD99" i="3"/>
  <c r="AE99" i="3"/>
  <c r="AF99" i="3"/>
  <c r="AG99" i="3"/>
  <c r="AH99" i="3"/>
  <c r="AI99" i="3"/>
  <c r="AJ99" i="3"/>
  <c r="AK99" i="3"/>
  <c r="AL99" i="3"/>
  <c r="AM99" i="3"/>
  <c r="AN99" i="3"/>
  <c r="B30" i="17"/>
  <c r="B29" i="17"/>
  <c r="A30" i="17"/>
  <c r="A29" i="17"/>
  <c r="B28" i="17"/>
  <c r="A28" i="17"/>
  <c r="B24" i="17"/>
  <c r="A24" i="17"/>
  <c r="A23" i="17"/>
  <c r="B23" i="17"/>
  <c r="B22" i="17"/>
  <c r="A22" i="17"/>
  <c r="B21" i="17"/>
  <c r="A21" i="17"/>
  <c r="B20" i="17"/>
  <c r="A20" i="17"/>
  <c r="A19" i="17"/>
  <c r="B19" i="17"/>
  <c r="B18" i="17"/>
  <c r="A18" i="17"/>
  <c r="B17" i="17"/>
  <c r="A17" i="17"/>
  <c r="B16" i="17"/>
  <c r="A16" i="17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G11" i="16"/>
  <c r="G10" i="16"/>
  <c r="G9" i="16"/>
  <c r="G6" i="16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L97" i="4"/>
  <c r="F97" i="4"/>
  <c r="H97" i="4" s="1"/>
  <c r="L93" i="4"/>
  <c r="F93" i="4"/>
  <c r="H93" i="4" s="1"/>
  <c r="M91" i="4"/>
  <c r="L91" i="4"/>
  <c r="G97" i="4"/>
  <c r="H91" i="4"/>
  <c r="G91" i="4"/>
  <c r="F91" i="4"/>
  <c r="M79" i="4"/>
  <c r="L79" i="4"/>
  <c r="H79" i="4"/>
  <c r="G79" i="4"/>
  <c r="F79" i="4"/>
  <c r="L76" i="4"/>
  <c r="H76" i="4"/>
  <c r="G76" i="4"/>
  <c r="F76" i="4"/>
  <c r="L73" i="4"/>
  <c r="H73" i="4"/>
  <c r="G73" i="4"/>
  <c r="F73" i="4"/>
  <c r="L71" i="4"/>
  <c r="F71" i="4"/>
  <c r="G71" i="4" s="1"/>
  <c r="W82" i="3" s="1"/>
  <c r="L70" i="4"/>
  <c r="H70" i="4"/>
  <c r="G70" i="4"/>
  <c r="F70" i="4"/>
  <c r="H66" i="4"/>
  <c r="L66" i="4"/>
  <c r="G66" i="4"/>
  <c r="F66" i="4"/>
  <c r="L57" i="4"/>
  <c r="G57" i="4"/>
  <c r="L94" i="4"/>
  <c r="L92" i="4"/>
  <c r="L90" i="4"/>
  <c r="L89" i="4"/>
  <c r="L88" i="4"/>
  <c r="L85" i="4"/>
  <c r="L84" i="4"/>
  <c r="L83" i="4"/>
  <c r="L82" i="4"/>
  <c r="L81" i="4"/>
  <c r="L77" i="4"/>
  <c r="L75" i="4"/>
  <c r="L74" i="4"/>
  <c r="L72" i="4"/>
  <c r="L69" i="4"/>
  <c r="L68" i="4"/>
  <c r="L67" i="4"/>
  <c r="L64" i="4"/>
  <c r="L63" i="4"/>
  <c r="L62" i="4"/>
  <c r="L61" i="4"/>
  <c r="L60" i="4"/>
  <c r="L59" i="4"/>
  <c r="L56" i="4"/>
  <c r="L55" i="4"/>
  <c r="L54" i="4"/>
  <c r="L53" i="4"/>
  <c r="L52" i="4"/>
  <c r="L51" i="4"/>
  <c r="L50" i="4"/>
  <c r="L49" i="4"/>
  <c r="L47" i="4"/>
  <c r="L46" i="4"/>
  <c r="L45" i="4"/>
  <c r="L96" i="4"/>
  <c r="M96" i="4"/>
  <c r="L95" i="4"/>
  <c r="M95" i="4"/>
  <c r="M92" i="4"/>
  <c r="M89" i="4"/>
  <c r="M88" i="4"/>
  <c r="L87" i="4"/>
  <c r="M87" i="4"/>
  <c r="L86" i="4"/>
  <c r="M86" i="4"/>
  <c r="M85" i="4"/>
  <c r="M84" i="4"/>
  <c r="M83" i="4"/>
  <c r="M82" i="4"/>
  <c r="M81" i="4"/>
  <c r="L78" i="4"/>
  <c r="M78" i="4"/>
  <c r="M77" i="4"/>
  <c r="M69" i="4"/>
  <c r="M68" i="4"/>
  <c r="M67" i="4"/>
  <c r="L65" i="4"/>
  <c r="M65" i="4"/>
  <c r="M64" i="4"/>
  <c r="M63" i="4"/>
  <c r="M62" i="4"/>
  <c r="M61" i="4"/>
  <c r="M59" i="4"/>
  <c r="L58" i="4"/>
  <c r="M58" i="4"/>
  <c r="M56" i="4"/>
  <c r="M55" i="4"/>
  <c r="M54" i="4"/>
  <c r="M53" i="4"/>
  <c r="M52" i="4"/>
  <c r="M51" i="4"/>
  <c r="M50" i="4"/>
  <c r="M49" i="4"/>
  <c r="L48" i="4"/>
  <c r="M48" i="4"/>
  <c r="M47" i="4"/>
  <c r="M46" i="4"/>
  <c r="M45" i="4"/>
  <c r="M44" i="4"/>
  <c r="L44" i="4"/>
  <c r="J44" i="4"/>
  <c r="I44" i="4"/>
  <c r="E44" i="4"/>
  <c r="B44" i="4"/>
  <c r="C44" i="4"/>
  <c r="L43" i="4"/>
  <c r="M43" i="4"/>
  <c r="L42" i="4"/>
  <c r="L41" i="4"/>
  <c r="L40" i="4"/>
  <c r="L39" i="4"/>
  <c r="L36" i="4"/>
  <c r="L35" i="4"/>
  <c r="L34" i="4"/>
  <c r="L33" i="4"/>
  <c r="L31" i="4"/>
  <c r="L30" i="4"/>
  <c r="L29" i="4"/>
  <c r="L28" i="4"/>
  <c r="L27" i="4"/>
  <c r="L18" i="4"/>
  <c r="L20" i="4"/>
  <c r="L19" i="4"/>
  <c r="L17" i="4"/>
  <c r="L16" i="4"/>
  <c r="L14" i="4"/>
  <c r="L15" i="4"/>
  <c r="L26" i="4"/>
  <c r="L25" i="4"/>
  <c r="L23" i="4"/>
  <c r="L22" i="4"/>
  <c r="M42" i="4"/>
  <c r="M40" i="4"/>
  <c r="M39" i="4"/>
  <c r="L38" i="4"/>
  <c r="M38" i="4"/>
  <c r="L37" i="4"/>
  <c r="M37" i="4"/>
  <c r="M36" i="4"/>
  <c r="M35" i="4"/>
  <c r="M34" i="4"/>
  <c r="M33" i="4"/>
  <c r="L32" i="4"/>
  <c r="M32" i="4"/>
  <c r="M31" i="4"/>
  <c r="M30" i="4"/>
  <c r="M29" i="4"/>
  <c r="M28" i="4"/>
  <c r="M27" i="4"/>
  <c r="M25" i="4"/>
  <c r="L24" i="4"/>
  <c r="M24" i="4"/>
  <c r="L21" i="4"/>
  <c r="M21" i="4"/>
  <c r="L13" i="4"/>
  <c r="L12" i="4"/>
  <c r="L11" i="4"/>
  <c r="L10" i="4"/>
  <c r="M20" i="4"/>
  <c r="M19" i="4"/>
  <c r="M18" i="4"/>
  <c r="M17" i="4"/>
  <c r="M16" i="4"/>
  <c r="M14" i="4"/>
  <c r="M13" i="4"/>
  <c r="M12" i="4"/>
  <c r="M11" i="4"/>
  <c r="L9" i="4"/>
  <c r="L8" i="4"/>
  <c r="L7" i="4"/>
  <c r="M80" i="4"/>
  <c r="L80" i="4"/>
  <c r="M6" i="4"/>
  <c r="L6" i="4"/>
  <c r="W3" i="3"/>
  <c r="AL3" i="3" s="1"/>
  <c r="W4" i="3"/>
  <c r="W5" i="3"/>
  <c r="W6" i="3"/>
  <c r="W7" i="3"/>
  <c r="W30" i="3"/>
  <c r="W8" i="3"/>
  <c r="W44" i="3"/>
  <c r="W9" i="3"/>
  <c r="W10" i="3"/>
  <c r="W11" i="3"/>
  <c r="W12" i="3"/>
  <c r="W13" i="3"/>
  <c r="W14" i="3"/>
  <c r="W15" i="3"/>
  <c r="W19" i="3"/>
  <c r="W58" i="3"/>
  <c r="W53" i="3"/>
  <c r="W22" i="3"/>
  <c r="W23" i="3"/>
  <c r="W20" i="3"/>
  <c r="W16" i="3"/>
  <c r="W45" i="3"/>
  <c r="W24" i="3"/>
  <c r="W17" i="3"/>
  <c r="W38" i="3"/>
  <c r="W18" i="3"/>
  <c r="W25" i="3"/>
  <c r="W39" i="3"/>
  <c r="W31" i="3"/>
  <c r="W32" i="3"/>
  <c r="W33" i="3"/>
  <c r="W46" i="3"/>
  <c r="W47" i="3"/>
  <c r="W59" i="3"/>
  <c r="W40" i="3"/>
  <c r="W26" i="3"/>
  <c r="W48" i="3"/>
  <c r="W34" i="3"/>
  <c r="W35" i="3"/>
  <c r="W60" i="3"/>
  <c r="W27" i="3"/>
  <c r="W61" i="3"/>
  <c r="W62" i="3"/>
  <c r="W54" i="3"/>
  <c r="W36" i="3"/>
  <c r="W43" i="3"/>
  <c r="W50" i="3"/>
  <c r="W21" i="3"/>
  <c r="W42" i="3"/>
  <c r="W85" i="3"/>
  <c r="W49" i="3"/>
  <c r="W28" i="3"/>
  <c r="W72" i="3"/>
  <c r="W71" i="3"/>
  <c r="W78" i="3"/>
  <c r="W29" i="3"/>
  <c r="W89" i="3"/>
  <c r="W56" i="3"/>
  <c r="W79" i="3"/>
  <c r="W98" i="3"/>
  <c r="W80" i="3"/>
  <c r="W97" i="3"/>
  <c r="W95" i="3"/>
  <c r="W67" i="3"/>
  <c r="W93" i="3"/>
  <c r="W64" i="3"/>
  <c r="W69" i="3"/>
  <c r="W41" i="3"/>
  <c r="W63" i="3"/>
  <c r="W66" i="3"/>
  <c r="W83" i="3"/>
  <c r="W92" i="3"/>
  <c r="W94" i="3"/>
  <c r="W90" i="3"/>
  <c r="W51" i="3"/>
  <c r="W88" i="3"/>
  <c r="W65" i="3"/>
  <c r="W91" i="3"/>
  <c r="W77" i="3"/>
  <c r="W86" i="3"/>
  <c r="W74" i="3"/>
  <c r="W84" i="3"/>
  <c r="W55" i="3"/>
  <c r="W96" i="3"/>
  <c r="W73" i="3"/>
  <c r="W68" i="3"/>
  <c r="W70" i="3"/>
  <c r="W75" i="3"/>
  <c r="W87" i="3"/>
  <c r="W81" i="3"/>
  <c r="W57" i="3"/>
  <c r="W52" i="3"/>
  <c r="W37" i="3"/>
  <c r="V3" i="3"/>
  <c r="AK3" i="3" s="1"/>
  <c r="V4" i="3"/>
  <c r="V5" i="3"/>
  <c r="V6" i="3"/>
  <c r="V7" i="3"/>
  <c r="V30" i="3"/>
  <c r="V8" i="3"/>
  <c r="V44" i="3"/>
  <c r="V9" i="3"/>
  <c r="V10" i="3"/>
  <c r="V11" i="3"/>
  <c r="V12" i="3"/>
  <c r="V13" i="3"/>
  <c r="V14" i="3"/>
  <c r="V15" i="3"/>
  <c r="V19" i="3"/>
  <c r="V58" i="3"/>
  <c r="V53" i="3"/>
  <c r="V22" i="3"/>
  <c r="V23" i="3"/>
  <c r="V20" i="3"/>
  <c r="V16" i="3"/>
  <c r="V45" i="3"/>
  <c r="V24" i="3"/>
  <c r="V17" i="3"/>
  <c r="V38" i="3"/>
  <c r="V18" i="3"/>
  <c r="V25" i="3"/>
  <c r="V39" i="3"/>
  <c r="V31" i="3"/>
  <c r="V32" i="3"/>
  <c r="V33" i="3"/>
  <c r="V46" i="3"/>
  <c r="V47" i="3"/>
  <c r="V59" i="3"/>
  <c r="V40" i="3"/>
  <c r="V26" i="3"/>
  <c r="V48" i="3"/>
  <c r="V34" i="3"/>
  <c r="V35" i="3"/>
  <c r="V60" i="3"/>
  <c r="V27" i="3"/>
  <c r="V61" i="3"/>
  <c r="V62" i="3"/>
  <c r="V54" i="3"/>
  <c r="V36" i="3"/>
  <c r="V43" i="3"/>
  <c r="V50" i="3"/>
  <c r="V21" i="3"/>
  <c r="V42" i="3"/>
  <c r="V85" i="3"/>
  <c r="V49" i="3"/>
  <c r="V28" i="3"/>
  <c r="V72" i="3"/>
  <c r="V71" i="3"/>
  <c r="V78" i="3"/>
  <c r="V29" i="3"/>
  <c r="V89" i="3"/>
  <c r="V56" i="3"/>
  <c r="V79" i="3"/>
  <c r="V98" i="3"/>
  <c r="V80" i="3"/>
  <c r="V97" i="3"/>
  <c r="V95" i="3"/>
  <c r="V67" i="3"/>
  <c r="V93" i="3"/>
  <c r="V64" i="3"/>
  <c r="V69" i="3"/>
  <c r="V41" i="3"/>
  <c r="V82" i="3"/>
  <c r="V63" i="3"/>
  <c r="V66" i="3"/>
  <c r="V83" i="3"/>
  <c r="V92" i="3"/>
  <c r="V94" i="3"/>
  <c r="V90" i="3"/>
  <c r="V51" i="3"/>
  <c r="V88" i="3"/>
  <c r="V65" i="3"/>
  <c r="V91" i="3"/>
  <c r="V77" i="3"/>
  <c r="V86" i="3"/>
  <c r="V74" i="3"/>
  <c r="V84" i="3"/>
  <c r="V55" i="3"/>
  <c r="V96" i="3"/>
  <c r="V73" i="3"/>
  <c r="V68" i="3"/>
  <c r="V70" i="3"/>
  <c r="V75" i="3"/>
  <c r="V87" i="3"/>
  <c r="V76" i="3"/>
  <c r="V81" i="3"/>
  <c r="V57" i="3"/>
  <c r="V52" i="3"/>
  <c r="V37" i="3"/>
  <c r="M5" i="4"/>
  <c r="L5" i="4"/>
  <c r="AI3" i="3"/>
  <c r="X3" i="3"/>
  <c r="X4" i="3"/>
  <c r="X5" i="3"/>
  <c r="X6" i="3"/>
  <c r="X7" i="3"/>
  <c r="X30" i="3"/>
  <c r="X8" i="3"/>
  <c r="X44" i="3"/>
  <c r="X9" i="3"/>
  <c r="X10" i="3"/>
  <c r="X11" i="3"/>
  <c r="X12" i="3"/>
  <c r="X13" i="3"/>
  <c r="X14" i="3"/>
  <c r="X15" i="3"/>
  <c r="X19" i="3"/>
  <c r="X58" i="3"/>
  <c r="X53" i="3"/>
  <c r="X22" i="3"/>
  <c r="X23" i="3"/>
  <c r="X20" i="3"/>
  <c r="X16" i="3"/>
  <c r="X45" i="3"/>
  <c r="X24" i="3"/>
  <c r="X17" i="3"/>
  <c r="X38" i="3"/>
  <c r="X18" i="3"/>
  <c r="X25" i="3"/>
  <c r="X39" i="3"/>
  <c r="X31" i="3"/>
  <c r="X32" i="3"/>
  <c r="X33" i="3"/>
  <c r="X46" i="3"/>
  <c r="X47" i="3"/>
  <c r="X59" i="3"/>
  <c r="X40" i="3"/>
  <c r="X26" i="3"/>
  <c r="X48" i="3"/>
  <c r="X34" i="3"/>
  <c r="X35" i="3"/>
  <c r="X60" i="3"/>
  <c r="X27" i="3"/>
  <c r="X61" i="3"/>
  <c r="X62" i="3"/>
  <c r="X54" i="3"/>
  <c r="X36" i="3"/>
  <c r="X43" i="3"/>
  <c r="X50" i="3"/>
  <c r="X21" i="3"/>
  <c r="X42" i="3"/>
  <c r="X85" i="3"/>
  <c r="X49" i="3"/>
  <c r="X28" i="3"/>
  <c r="X72" i="3"/>
  <c r="X71" i="3"/>
  <c r="X78" i="3"/>
  <c r="X29" i="3"/>
  <c r="X89" i="3"/>
  <c r="X56" i="3"/>
  <c r="X79" i="3"/>
  <c r="X98" i="3"/>
  <c r="X80" i="3"/>
  <c r="X97" i="3"/>
  <c r="X95" i="3"/>
  <c r="X67" i="3"/>
  <c r="X93" i="3"/>
  <c r="X64" i="3"/>
  <c r="X69" i="3"/>
  <c r="X41" i="3"/>
  <c r="X82" i="3"/>
  <c r="X63" i="3"/>
  <c r="X66" i="3"/>
  <c r="X83" i="3"/>
  <c r="X92" i="3"/>
  <c r="X94" i="3"/>
  <c r="X90" i="3"/>
  <c r="X51" i="3"/>
  <c r="X88" i="3"/>
  <c r="X65" i="3"/>
  <c r="X91" i="3"/>
  <c r="X77" i="3"/>
  <c r="X86" i="3"/>
  <c r="X74" i="3"/>
  <c r="X84" i="3"/>
  <c r="X55" i="3"/>
  <c r="X96" i="3"/>
  <c r="X73" i="3"/>
  <c r="X68" i="3"/>
  <c r="X70" i="3"/>
  <c r="X75" i="3"/>
  <c r="X87" i="3"/>
  <c r="X76" i="3"/>
  <c r="X81" i="3"/>
  <c r="X57" i="3"/>
  <c r="X52" i="3"/>
  <c r="X37" i="3"/>
  <c r="L4" i="4"/>
  <c r="L3" i="4"/>
  <c r="C11" i="1"/>
  <c r="B4" i="1"/>
  <c r="B5" i="1"/>
  <c r="B6" i="1"/>
  <c r="B7" i="1"/>
  <c r="E7" i="1" s="1"/>
  <c r="B8" i="1"/>
  <c r="B9" i="1"/>
  <c r="B10" i="1"/>
  <c r="E10" i="1" s="1"/>
  <c r="B11" i="1"/>
  <c r="E11" i="1" s="1"/>
  <c r="B12" i="1"/>
  <c r="B13" i="1"/>
  <c r="B14" i="1"/>
  <c r="B15" i="1"/>
  <c r="E15" i="1" s="1"/>
  <c r="B16" i="1"/>
  <c r="B17" i="1"/>
  <c r="B18" i="1"/>
  <c r="B19" i="1"/>
  <c r="E19" i="1" s="1"/>
  <c r="B20" i="1"/>
  <c r="B21" i="1"/>
  <c r="B22" i="1"/>
  <c r="E22" i="1" s="1"/>
  <c r="B23" i="1"/>
  <c r="E23" i="1" s="1"/>
  <c r="B24" i="1"/>
  <c r="B25" i="1"/>
  <c r="B26" i="1"/>
  <c r="B27" i="1"/>
  <c r="E27" i="1" s="1"/>
  <c r="B28" i="1"/>
  <c r="B29" i="1"/>
  <c r="B30" i="1"/>
  <c r="B31" i="1"/>
  <c r="E31" i="1" s="1"/>
  <c r="B32" i="1"/>
  <c r="B33" i="1"/>
  <c r="B34" i="1"/>
  <c r="E34" i="1" s="1"/>
  <c r="B35" i="1"/>
  <c r="E35" i="1" s="1"/>
  <c r="B36" i="1"/>
  <c r="B37" i="1"/>
  <c r="B38" i="1"/>
  <c r="E38" i="1" s="1"/>
  <c r="B39" i="1"/>
  <c r="E39" i="1" s="1"/>
  <c r="B40" i="1"/>
  <c r="B41" i="1"/>
  <c r="B42" i="1"/>
  <c r="B43" i="1"/>
  <c r="E43" i="1" s="1"/>
  <c r="B44" i="1"/>
  <c r="B45" i="1"/>
  <c r="B46" i="1"/>
  <c r="E46" i="1" s="1"/>
  <c r="B47" i="1"/>
  <c r="E47" i="1" s="1"/>
  <c r="B48" i="1"/>
  <c r="B49" i="1"/>
  <c r="B50" i="1"/>
  <c r="E50" i="1" s="1"/>
  <c r="B51" i="1"/>
  <c r="E51" i="1" s="1"/>
  <c r="B52" i="1"/>
  <c r="B53" i="1"/>
  <c r="B54" i="1"/>
  <c r="B55" i="1"/>
  <c r="E55" i="1" s="1"/>
  <c r="B56" i="1"/>
  <c r="B57" i="1"/>
  <c r="B58" i="1"/>
  <c r="B59" i="1"/>
  <c r="E59" i="1" s="1"/>
  <c r="B60" i="1"/>
  <c r="B61" i="1"/>
  <c r="B62" i="1"/>
  <c r="E62" i="1" s="1"/>
  <c r="B63" i="1"/>
  <c r="E63" i="1" s="1"/>
  <c r="B64" i="1"/>
  <c r="B65" i="1"/>
  <c r="B66" i="1"/>
  <c r="E66" i="1" s="1"/>
  <c r="B67" i="1"/>
  <c r="E67" i="1" s="1"/>
  <c r="B68" i="1"/>
  <c r="B69" i="1"/>
  <c r="B70" i="1"/>
  <c r="B71" i="1"/>
  <c r="E71" i="1" s="1"/>
  <c r="B72" i="1"/>
  <c r="B73" i="1"/>
  <c r="B74" i="1"/>
  <c r="B75" i="1"/>
  <c r="E75" i="1" s="1"/>
  <c r="B76" i="1"/>
  <c r="B77" i="1"/>
  <c r="B78" i="1"/>
  <c r="E78" i="1" s="1"/>
  <c r="B79" i="1"/>
  <c r="E79" i="1" s="1"/>
  <c r="B80" i="1"/>
  <c r="B81" i="1"/>
  <c r="B82" i="1"/>
  <c r="E82" i="1" s="1"/>
  <c r="B83" i="1"/>
  <c r="E83" i="1" s="1"/>
  <c r="B84" i="1"/>
  <c r="B85" i="1"/>
  <c r="B86" i="1"/>
  <c r="B87" i="1"/>
  <c r="E87" i="1" s="1"/>
  <c r="B88" i="1"/>
  <c r="B89" i="1"/>
  <c r="B90" i="1"/>
  <c r="E90" i="1" s="1"/>
  <c r="B91" i="1"/>
  <c r="E91" i="1" s="1"/>
  <c r="B92" i="1"/>
  <c r="B93" i="1"/>
  <c r="B94" i="1"/>
  <c r="E94" i="1" s="1"/>
  <c r="B95" i="1"/>
  <c r="E95" i="1" s="1"/>
  <c r="B96" i="1"/>
  <c r="B97" i="1"/>
  <c r="B98" i="1"/>
  <c r="B99" i="1"/>
  <c r="E99" i="1" s="1"/>
  <c r="B100" i="1"/>
  <c r="B101" i="1"/>
  <c r="B102" i="1"/>
  <c r="B103" i="1"/>
  <c r="E103" i="1" s="1"/>
  <c r="B104" i="1"/>
  <c r="B105" i="1"/>
  <c r="B106" i="1"/>
  <c r="E106" i="1" s="1"/>
  <c r="B107" i="1"/>
  <c r="E107" i="1" s="1"/>
  <c r="B108" i="1"/>
  <c r="B109" i="1"/>
  <c r="B110" i="1"/>
  <c r="E110" i="1" s="1"/>
  <c r="B111" i="1"/>
  <c r="E111" i="1" s="1"/>
  <c r="B112" i="1"/>
  <c r="B113" i="1"/>
  <c r="B114" i="1"/>
  <c r="B115" i="1"/>
  <c r="E115" i="1" s="1"/>
  <c r="B116" i="1"/>
  <c r="B117" i="1"/>
  <c r="B118" i="1"/>
  <c r="E118" i="1" s="1"/>
  <c r="B119" i="1"/>
  <c r="E119" i="1" s="1"/>
  <c r="B120" i="1"/>
  <c r="B121" i="1"/>
  <c r="B122" i="1"/>
  <c r="E122" i="1" s="1"/>
  <c r="B123" i="1"/>
  <c r="E123" i="1" s="1"/>
  <c r="B124" i="1"/>
  <c r="B125" i="1"/>
  <c r="B126" i="1"/>
  <c r="B127" i="1"/>
  <c r="E127" i="1" s="1"/>
  <c r="B128" i="1"/>
  <c r="B129" i="1"/>
  <c r="B130" i="1"/>
  <c r="B131" i="1"/>
  <c r="E131" i="1" s="1"/>
  <c r="B132" i="1"/>
  <c r="B133" i="1"/>
  <c r="B134" i="1"/>
  <c r="E134" i="1" s="1"/>
  <c r="B135" i="1"/>
  <c r="E135" i="1" s="1"/>
  <c r="B136" i="1"/>
  <c r="B137" i="1"/>
  <c r="B138" i="1"/>
  <c r="E138" i="1" s="1"/>
  <c r="B139" i="1"/>
  <c r="E139" i="1" s="1"/>
  <c r="B140" i="1"/>
  <c r="B141" i="1"/>
  <c r="B142" i="1"/>
  <c r="B143" i="1"/>
  <c r="E143" i="1" s="1"/>
  <c r="B144" i="1"/>
  <c r="B145" i="1"/>
  <c r="B146" i="1"/>
  <c r="B147" i="1"/>
  <c r="E147" i="1" s="1"/>
  <c r="B148" i="1"/>
  <c r="B149" i="1"/>
  <c r="B150" i="1"/>
  <c r="E150" i="1" s="1"/>
  <c r="B151" i="1"/>
  <c r="E151" i="1" s="1"/>
  <c r="B152" i="1"/>
  <c r="B153" i="1"/>
  <c r="B154" i="1"/>
  <c r="B155" i="1"/>
  <c r="E155" i="1" s="1"/>
  <c r="B156" i="1"/>
  <c r="B157" i="1"/>
  <c r="B158" i="1"/>
  <c r="B159" i="1"/>
  <c r="E159" i="1" s="1"/>
  <c r="B160" i="1"/>
  <c r="B161" i="1"/>
  <c r="B162" i="1"/>
  <c r="E162" i="1" s="1"/>
  <c r="B163" i="1"/>
  <c r="E163" i="1" s="1"/>
  <c r="B164" i="1"/>
  <c r="B165" i="1"/>
  <c r="B166" i="1"/>
  <c r="E166" i="1" s="1"/>
  <c r="B167" i="1"/>
  <c r="E167" i="1" s="1"/>
  <c r="B168" i="1"/>
  <c r="B169" i="1"/>
  <c r="B170" i="1"/>
  <c r="B171" i="1"/>
  <c r="E171" i="1" s="1"/>
  <c r="B172" i="1"/>
  <c r="B173" i="1"/>
  <c r="B174" i="1"/>
  <c r="E174" i="1" s="1"/>
  <c r="B175" i="1"/>
  <c r="B176" i="1"/>
  <c r="B177" i="1"/>
  <c r="B178" i="1"/>
  <c r="E178" i="1" s="1"/>
  <c r="B179" i="1"/>
  <c r="B180" i="1"/>
  <c r="B181" i="1"/>
  <c r="B182" i="1"/>
  <c r="E182" i="1" s="1"/>
  <c r="B183" i="1"/>
  <c r="B184" i="1"/>
  <c r="B185" i="1"/>
  <c r="B186" i="1"/>
  <c r="E186" i="1" s="1"/>
  <c r="B187" i="1"/>
  <c r="B188" i="1"/>
  <c r="B189" i="1"/>
  <c r="B190" i="1"/>
  <c r="E190" i="1" s="1"/>
  <c r="B191" i="1"/>
  <c r="B192" i="1"/>
  <c r="B193" i="1"/>
  <c r="B194" i="1"/>
  <c r="E194" i="1" s="1"/>
  <c r="B195" i="1"/>
  <c r="B196" i="1"/>
  <c r="B197" i="1"/>
  <c r="B198" i="1"/>
  <c r="E198" i="1" s="1"/>
  <c r="B199" i="1"/>
  <c r="B200" i="1"/>
  <c r="B201" i="1"/>
  <c r="B202" i="1"/>
  <c r="E202" i="1" s="1"/>
  <c r="B203" i="1"/>
  <c r="B204" i="1"/>
  <c r="B205" i="1"/>
  <c r="B206" i="1"/>
  <c r="E206" i="1" s="1"/>
  <c r="B207" i="1"/>
  <c r="B208" i="1"/>
  <c r="B209" i="1"/>
  <c r="B210" i="1"/>
  <c r="E210" i="1" s="1"/>
  <c r="B211" i="1"/>
  <c r="B212" i="1"/>
  <c r="B213" i="1"/>
  <c r="B214" i="1"/>
  <c r="E214" i="1" s="1"/>
  <c r="B215" i="1"/>
  <c r="B216" i="1"/>
  <c r="B217" i="1"/>
  <c r="B218" i="1"/>
  <c r="E218" i="1" s="1"/>
  <c r="B219" i="1"/>
  <c r="E219" i="1" s="1"/>
  <c r="B220" i="1"/>
  <c r="B221" i="1"/>
  <c r="B222" i="1"/>
  <c r="B223" i="1"/>
  <c r="E223" i="1" s="1"/>
  <c r="B224" i="1"/>
  <c r="B225" i="1"/>
  <c r="B226" i="1"/>
  <c r="B227" i="1"/>
  <c r="E227" i="1" s="1"/>
  <c r="B228" i="1"/>
  <c r="B229" i="1"/>
  <c r="B230" i="1"/>
  <c r="E230" i="1" s="1"/>
  <c r="B231" i="1"/>
  <c r="E231" i="1" s="1"/>
  <c r="B232" i="1"/>
  <c r="B233" i="1"/>
  <c r="B234" i="1"/>
  <c r="E234" i="1" s="1"/>
  <c r="B235" i="1"/>
  <c r="E235" i="1" s="1"/>
  <c r="B236" i="1"/>
  <c r="B237" i="1"/>
  <c r="B238" i="1"/>
  <c r="E238" i="1" s="1"/>
  <c r="B239" i="1"/>
  <c r="E239" i="1" s="1"/>
  <c r="B240" i="1"/>
  <c r="B241" i="1"/>
  <c r="B242" i="1"/>
  <c r="E242" i="1" s="1"/>
  <c r="B243" i="1"/>
  <c r="E243" i="1" s="1"/>
  <c r="B244" i="1"/>
  <c r="B245" i="1"/>
  <c r="B246" i="1"/>
  <c r="E246" i="1" s="1"/>
  <c r="B247" i="1"/>
  <c r="E247" i="1" s="1"/>
  <c r="B248" i="1"/>
  <c r="B249" i="1"/>
  <c r="B250" i="1"/>
  <c r="B251" i="1"/>
  <c r="E251" i="1" s="1"/>
  <c r="B252" i="1"/>
  <c r="B253" i="1"/>
  <c r="B254" i="1"/>
  <c r="B255" i="1"/>
  <c r="E255" i="1" s="1"/>
  <c r="B256" i="1"/>
  <c r="B257" i="1"/>
  <c r="B258" i="1"/>
  <c r="E258" i="1" s="1"/>
  <c r="B259" i="1"/>
  <c r="E259" i="1" s="1"/>
  <c r="B260" i="1"/>
  <c r="B261" i="1"/>
  <c r="B262" i="1"/>
  <c r="E262" i="1" s="1"/>
  <c r="B263" i="1"/>
  <c r="E263" i="1" s="1"/>
  <c r="B264" i="1"/>
  <c r="B265" i="1"/>
  <c r="B266" i="1"/>
  <c r="B267" i="1"/>
  <c r="E267" i="1" s="1"/>
  <c r="B268" i="1"/>
  <c r="B269" i="1"/>
  <c r="B270" i="1"/>
  <c r="B271" i="1"/>
  <c r="E271" i="1" s="1"/>
  <c r="B272" i="1"/>
  <c r="B273" i="1"/>
  <c r="B274" i="1"/>
  <c r="E274" i="1" s="1"/>
  <c r="B275" i="1"/>
  <c r="E275" i="1" s="1"/>
  <c r="B276" i="1"/>
  <c r="B277" i="1"/>
  <c r="B278" i="1"/>
  <c r="E278" i="1" s="1"/>
  <c r="B279" i="1"/>
  <c r="E279" i="1" s="1"/>
  <c r="B280" i="1"/>
  <c r="B281" i="1"/>
  <c r="B282" i="1"/>
  <c r="B283" i="1"/>
  <c r="E283" i="1" s="1"/>
  <c r="B284" i="1"/>
  <c r="B285" i="1"/>
  <c r="B286" i="1"/>
  <c r="E286" i="1" s="1"/>
  <c r="B287" i="1"/>
  <c r="E287" i="1" s="1"/>
  <c r="B288" i="1"/>
  <c r="B289" i="1"/>
  <c r="B290" i="1"/>
  <c r="E290" i="1" s="1"/>
  <c r="B291" i="1"/>
  <c r="E291" i="1" s="1"/>
  <c r="B292" i="1"/>
  <c r="B293" i="1"/>
  <c r="B294" i="1"/>
  <c r="B295" i="1"/>
  <c r="E295" i="1" s="1"/>
  <c r="B296" i="1"/>
  <c r="B297" i="1"/>
  <c r="B298" i="1"/>
  <c r="B299" i="1"/>
  <c r="E299" i="1" s="1"/>
  <c r="B300" i="1"/>
  <c r="B301" i="1"/>
  <c r="B302" i="1"/>
  <c r="E302" i="1" s="1"/>
  <c r="B303" i="1"/>
  <c r="E303" i="1" s="1"/>
  <c r="B304" i="1"/>
  <c r="B305" i="1"/>
  <c r="B306" i="1"/>
  <c r="B307" i="1"/>
  <c r="E307" i="1" s="1"/>
  <c r="B308" i="1"/>
  <c r="B309" i="1"/>
  <c r="B310" i="1"/>
  <c r="B311" i="1"/>
  <c r="E311" i="1" s="1"/>
  <c r="B312" i="1"/>
  <c r="B313" i="1"/>
  <c r="B314" i="1"/>
  <c r="E314" i="1" s="1"/>
  <c r="B315" i="1"/>
  <c r="E315" i="1" s="1"/>
  <c r="B316" i="1"/>
  <c r="B317" i="1"/>
  <c r="B318" i="1"/>
  <c r="E318" i="1" s="1"/>
  <c r="B319" i="1"/>
  <c r="E319" i="1" s="1"/>
  <c r="B320" i="1"/>
  <c r="B321" i="1"/>
  <c r="B322" i="1"/>
  <c r="B323" i="1"/>
  <c r="E323" i="1" s="1"/>
  <c r="B324" i="1"/>
  <c r="B325" i="1"/>
  <c r="B326" i="1"/>
  <c r="B327" i="1"/>
  <c r="E327" i="1" s="1"/>
  <c r="B328" i="1"/>
  <c r="B329" i="1"/>
  <c r="B330" i="1"/>
  <c r="E330" i="1" s="1"/>
  <c r="B331" i="1"/>
  <c r="E331" i="1" s="1"/>
  <c r="B332" i="1"/>
  <c r="B333" i="1"/>
  <c r="B334" i="1"/>
  <c r="E334" i="1" s="1"/>
  <c r="B335" i="1"/>
  <c r="E335" i="1" s="1"/>
  <c r="B336" i="1"/>
  <c r="B337" i="1"/>
  <c r="B338" i="1"/>
  <c r="B339" i="1"/>
  <c r="E339" i="1" s="1"/>
  <c r="B340" i="1"/>
  <c r="B341" i="1"/>
  <c r="B342" i="1"/>
  <c r="B343" i="1"/>
  <c r="E343" i="1" s="1"/>
  <c r="B344" i="1"/>
  <c r="B345" i="1"/>
  <c r="B346" i="1"/>
  <c r="E346" i="1" s="1"/>
  <c r="B347" i="1"/>
  <c r="E347" i="1" s="1"/>
  <c r="B348" i="1"/>
  <c r="B349" i="1"/>
  <c r="B350" i="1"/>
  <c r="B351" i="1"/>
  <c r="E351" i="1" s="1"/>
  <c r="B352" i="1"/>
  <c r="B353" i="1"/>
  <c r="B354" i="1"/>
  <c r="B355" i="1"/>
  <c r="E355" i="1" s="1"/>
  <c r="B356" i="1"/>
  <c r="B357" i="1"/>
  <c r="B358" i="1"/>
  <c r="E358" i="1" s="1"/>
  <c r="B359" i="1"/>
  <c r="E359" i="1" s="1"/>
  <c r="B360" i="1"/>
  <c r="B361" i="1"/>
  <c r="B362" i="1"/>
  <c r="E362" i="1" s="1"/>
  <c r="B363" i="1"/>
  <c r="E363" i="1" s="1"/>
  <c r="B364" i="1"/>
  <c r="B365" i="1"/>
  <c r="B366" i="1"/>
  <c r="B367" i="1"/>
  <c r="E367" i="1" s="1"/>
  <c r="B368" i="1"/>
  <c r="B369" i="1"/>
  <c r="B370" i="1"/>
  <c r="B371" i="1"/>
  <c r="E371" i="1" s="1"/>
  <c r="B372" i="1"/>
  <c r="B373" i="1"/>
  <c r="B374" i="1"/>
  <c r="E374" i="1" s="1"/>
  <c r="B375" i="1"/>
  <c r="E375" i="1" s="1"/>
  <c r="B376" i="1"/>
  <c r="B377" i="1"/>
  <c r="B378" i="1"/>
  <c r="E378" i="1" s="1"/>
  <c r="B379" i="1"/>
  <c r="E379" i="1" s="1"/>
  <c r="B380" i="1"/>
  <c r="B381" i="1"/>
  <c r="B382" i="1"/>
  <c r="B383" i="1"/>
  <c r="E383" i="1" s="1"/>
  <c r="B384" i="1"/>
  <c r="B385" i="1"/>
  <c r="B386" i="1"/>
  <c r="B387" i="1"/>
  <c r="E387" i="1" s="1"/>
  <c r="B388" i="1"/>
  <c r="B389" i="1"/>
  <c r="B390" i="1"/>
  <c r="E390" i="1" s="1"/>
  <c r="B391" i="1"/>
  <c r="E391" i="1" s="1"/>
  <c r="B392" i="1"/>
  <c r="B393" i="1"/>
  <c r="B394" i="1"/>
  <c r="E394" i="1" s="1"/>
  <c r="B395" i="1"/>
  <c r="E395" i="1" s="1"/>
  <c r="B396" i="1"/>
  <c r="B397" i="1"/>
  <c r="B398" i="1"/>
  <c r="B399" i="1"/>
  <c r="E399" i="1" s="1"/>
  <c r="B400" i="1"/>
  <c r="B401" i="1"/>
  <c r="B402" i="1"/>
  <c r="B403" i="1"/>
  <c r="E403" i="1" s="1"/>
  <c r="B404" i="1"/>
  <c r="B405" i="1"/>
  <c r="B406" i="1"/>
  <c r="E406" i="1" s="1"/>
  <c r="B407" i="1"/>
  <c r="E407" i="1" s="1"/>
  <c r="B408" i="1"/>
  <c r="B409" i="1"/>
  <c r="B410" i="1"/>
  <c r="E410" i="1" s="1"/>
  <c r="B411" i="1"/>
  <c r="E411" i="1" s="1"/>
  <c r="B412" i="1"/>
  <c r="B413" i="1"/>
  <c r="B414" i="1"/>
  <c r="B415" i="1"/>
  <c r="E415" i="1" s="1"/>
  <c r="B416" i="1"/>
  <c r="B417" i="1"/>
  <c r="B418" i="1"/>
  <c r="B419" i="1"/>
  <c r="E419" i="1" s="1"/>
  <c r="B420" i="1"/>
  <c r="B421" i="1"/>
  <c r="B422" i="1"/>
  <c r="E422" i="1" s="1"/>
  <c r="B423" i="1"/>
  <c r="E423" i="1" s="1"/>
  <c r="B424" i="1"/>
  <c r="B425" i="1"/>
  <c r="B426" i="1"/>
  <c r="E426" i="1" s="1"/>
  <c r="B427" i="1"/>
  <c r="E427" i="1" s="1"/>
  <c r="B428" i="1"/>
  <c r="B429" i="1"/>
  <c r="B430" i="1"/>
  <c r="B431" i="1"/>
  <c r="E431" i="1" s="1"/>
  <c r="B432" i="1"/>
  <c r="B433" i="1"/>
  <c r="B434" i="1"/>
  <c r="E434" i="1" s="1"/>
  <c r="B435" i="1"/>
  <c r="E435" i="1" s="1"/>
  <c r="B436" i="1"/>
  <c r="B437" i="1"/>
  <c r="B438" i="1"/>
  <c r="B439" i="1"/>
  <c r="E439" i="1" s="1"/>
  <c r="B440" i="1"/>
  <c r="B441" i="1"/>
  <c r="B442" i="1"/>
  <c r="E442" i="1" s="1"/>
  <c r="B443" i="1"/>
  <c r="E443" i="1" s="1"/>
  <c r="B444" i="1"/>
  <c r="B445" i="1"/>
  <c r="B446" i="1"/>
  <c r="B447" i="1"/>
  <c r="E447" i="1" s="1"/>
  <c r="B448" i="1"/>
  <c r="B449" i="1"/>
  <c r="B450" i="1"/>
  <c r="E450" i="1" s="1"/>
  <c r="B451" i="1"/>
  <c r="E451" i="1" s="1"/>
  <c r="B452" i="1"/>
  <c r="B453" i="1"/>
  <c r="B454" i="1"/>
  <c r="B455" i="1"/>
  <c r="E455" i="1" s="1"/>
  <c r="B456" i="1"/>
  <c r="B457" i="1"/>
  <c r="B458" i="1"/>
  <c r="E458" i="1" s="1"/>
  <c r="B459" i="1"/>
  <c r="B460" i="1"/>
  <c r="B461" i="1"/>
  <c r="B462" i="1"/>
  <c r="E462" i="1" s="1"/>
  <c r="B463" i="1"/>
  <c r="E463" i="1" s="1"/>
  <c r="B464" i="1"/>
  <c r="B465" i="1"/>
  <c r="B466" i="1"/>
  <c r="B467" i="1"/>
  <c r="E467" i="1" s="1"/>
  <c r="B468" i="1"/>
  <c r="B469" i="1"/>
  <c r="B470" i="1"/>
  <c r="E470" i="1" s="1"/>
  <c r="B471" i="1"/>
  <c r="E471" i="1" s="1"/>
  <c r="B472" i="1"/>
  <c r="B473" i="1"/>
  <c r="B474" i="1"/>
  <c r="B475" i="1"/>
  <c r="E475" i="1" s="1"/>
  <c r="B476" i="1"/>
  <c r="B477" i="1"/>
  <c r="B478" i="1"/>
  <c r="E478" i="1" s="1"/>
  <c r="B479" i="1"/>
  <c r="E479" i="1" s="1"/>
  <c r="B480" i="1"/>
  <c r="B481" i="1"/>
  <c r="B482" i="1"/>
  <c r="B483" i="1"/>
  <c r="E483" i="1" s="1"/>
  <c r="B484" i="1"/>
  <c r="B485" i="1"/>
  <c r="B486" i="1"/>
  <c r="E486" i="1" s="1"/>
  <c r="B487" i="1"/>
  <c r="E487" i="1" s="1"/>
  <c r="B488" i="1"/>
  <c r="B489" i="1"/>
  <c r="B490" i="1"/>
  <c r="B491" i="1"/>
  <c r="E491" i="1" s="1"/>
  <c r="B492" i="1"/>
  <c r="B493" i="1"/>
  <c r="B494" i="1"/>
  <c r="E494" i="1" s="1"/>
  <c r="B495" i="1"/>
  <c r="E495" i="1" s="1"/>
  <c r="B496" i="1"/>
  <c r="B497" i="1"/>
  <c r="B498" i="1"/>
  <c r="B499" i="1"/>
  <c r="E499" i="1" s="1"/>
  <c r="B500" i="1"/>
  <c r="B501" i="1"/>
  <c r="B502" i="1"/>
  <c r="E502" i="1" s="1"/>
  <c r="B503" i="1"/>
  <c r="E503" i="1" s="1"/>
  <c r="B504" i="1"/>
  <c r="B505" i="1"/>
  <c r="B506" i="1"/>
  <c r="B507" i="1"/>
  <c r="E507" i="1" s="1"/>
  <c r="B508" i="1"/>
  <c r="B509" i="1"/>
  <c r="B510" i="1"/>
  <c r="E510" i="1" s="1"/>
  <c r="B511" i="1"/>
  <c r="E511" i="1" s="1"/>
  <c r="B512" i="1"/>
  <c r="B513" i="1"/>
  <c r="B514" i="1"/>
  <c r="B515" i="1"/>
  <c r="E515" i="1" s="1"/>
  <c r="B516" i="1"/>
  <c r="B517" i="1"/>
  <c r="B518" i="1"/>
  <c r="E518" i="1" s="1"/>
  <c r="B519" i="1"/>
  <c r="E519" i="1" s="1"/>
  <c r="B520" i="1"/>
  <c r="B521" i="1"/>
  <c r="B522" i="1"/>
  <c r="B523" i="1"/>
  <c r="B524" i="1"/>
  <c r="B525" i="1"/>
  <c r="B526" i="1"/>
  <c r="E526" i="1" s="1"/>
  <c r="B527" i="1"/>
  <c r="E527" i="1" s="1"/>
  <c r="B528" i="1"/>
  <c r="B529" i="1"/>
  <c r="B530" i="1"/>
  <c r="B531" i="1"/>
  <c r="E531" i="1" s="1"/>
  <c r="B532" i="1"/>
  <c r="B533" i="1"/>
  <c r="B534" i="1"/>
  <c r="E534" i="1" s="1"/>
  <c r="B535" i="1"/>
  <c r="E535" i="1" s="1"/>
  <c r="B536" i="1"/>
  <c r="B537" i="1"/>
  <c r="B538" i="1"/>
  <c r="B539" i="1"/>
  <c r="E539" i="1" s="1"/>
  <c r="B540" i="1"/>
  <c r="B541" i="1"/>
  <c r="B542" i="1"/>
  <c r="E542" i="1" s="1"/>
  <c r="B543" i="1"/>
  <c r="E543" i="1" s="1"/>
  <c r="B544" i="1"/>
  <c r="B545" i="1"/>
  <c r="B546" i="1"/>
  <c r="B547" i="1"/>
  <c r="E547" i="1" s="1"/>
  <c r="B548" i="1"/>
  <c r="B549" i="1"/>
  <c r="B550" i="1"/>
  <c r="E550" i="1" s="1"/>
  <c r="B551" i="1"/>
  <c r="E551" i="1" s="1"/>
  <c r="B552" i="1"/>
  <c r="B553" i="1"/>
  <c r="B554" i="1"/>
  <c r="B555" i="1"/>
  <c r="E555" i="1" s="1"/>
  <c r="B556" i="1"/>
  <c r="B557" i="1"/>
  <c r="B558" i="1"/>
  <c r="E558" i="1" s="1"/>
  <c r="B559" i="1"/>
  <c r="E559" i="1" s="1"/>
  <c r="B560" i="1"/>
  <c r="B561" i="1"/>
  <c r="B562" i="1"/>
  <c r="B563" i="1"/>
  <c r="E563" i="1" s="1"/>
  <c r="B564" i="1"/>
  <c r="B565" i="1"/>
  <c r="B566" i="1"/>
  <c r="E566" i="1" s="1"/>
  <c r="B567" i="1"/>
  <c r="E567" i="1" s="1"/>
  <c r="B568" i="1"/>
  <c r="B569" i="1"/>
  <c r="B570" i="1"/>
  <c r="B571" i="1"/>
  <c r="E571" i="1" s="1"/>
  <c r="B572" i="1"/>
  <c r="B573" i="1"/>
  <c r="B574" i="1"/>
  <c r="E574" i="1" s="1"/>
  <c r="B575" i="1"/>
  <c r="E575" i="1" s="1"/>
  <c r="B576" i="1"/>
  <c r="B577" i="1"/>
  <c r="B578" i="1"/>
  <c r="B579" i="1"/>
  <c r="E579" i="1" s="1"/>
  <c r="B580" i="1"/>
  <c r="B581" i="1"/>
  <c r="B582" i="1"/>
  <c r="E582" i="1" s="1"/>
  <c r="B583" i="1"/>
  <c r="E583" i="1" s="1"/>
  <c r="B584" i="1"/>
  <c r="B585" i="1"/>
  <c r="B586" i="1"/>
  <c r="B587" i="1"/>
  <c r="B588" i="1"/>
  <c r="B589" i="1"/>
  <c r="B590" i="1"/>
  <c r="B591" i="1"/>
  <c r="E591" i="1" s="1"/>
  <c r="B592" i="1"/>
  <c r="B593" i="1"/>
  <c r="B594" i="1"/>
  <c r="E594" i="1" s="1"/>
  <c r="B595" i="1"/>
  <c r="E595" i="1" s="1"/>
  <c r="B596" i="1"/>
  <c r="B597" i="1"/>
  <c r="B598" i="1"/>
  <c r="B599" i="1"/>
  <c r="E599" i="1" s="1"/>
  <c r="B600" i="1"/>
  <c r="B601" i="1"/>
  <c r="B602" i="1"/>
  <c r="E602" i="1" s="1"/>
  <c r="B603" i="1"/>
  <c r="E603" i="1" s="1"/>
  <c r="B604" i="1"/>
  <c r="B605" i="1"/>
  <c r="B606" i="1"/>
  <c r="B607" i="1"/>
  <c r="E607" i="1" s="1"/>
  <c r="B608" i="1"/>
  <c r="B609" i="1"/>
  <c r="B610" i="1"/>
  <c r="E610" i="1" s="1"/>
  <c r="B611" i="1"/>
  <c r="E611" i="1" s="1"/>
  <c r="B612" i="1"/>
  <c r="B613" i="1"/>
  <c r="B614" i="1"/>
  <c r="B615" i="1"/>
  <c r="E615" i="1" s="1"/>
  <c r="B616" i="1"/>
  <c r="B617" i="1"/>
  <c r="B618" i="1"/>
  <c r="E618" i="1" s="1"/>
  <c r="B619" i="1"/>
  <c r="E619" i="1" s="1"/>
  <c r="B620" i="1"/>
  <c r="B621" i="1"/>
  <c r="B622" i="1"/>
  <c r="B623" i="1"/>
  <c r="E623" i="1" s="1"/>
  <c r="B624" i="1"/>
  <c r="B625" i="1"/>
  <c r="B626" i="1"/>
  <c r="E626" i="1" s="1"/>
  <c r="B627" i="1"/>
  <c r="E627" i="1" s="1"/>
  <c r="B628" i="1"/>
  <c r="B629" i="1"/>
  <c r="B630" i="1"/>
  <c r="B631" i="1"/>
  <c r="E631" i="1" s="1"/>
  <c r="B632" i="1"/>
  <c r="B633" i="1"/>
  <c r="B634" i="1"/>
  <c r="E634" i="1" s="1"/>
  <c r="B635" i="1"/>
  <c r="E635" i="1" s="1"/>
  <c r="B636" i="1"/>
  <c r="B637" i="1"/>
  <c r="B638" i="1"/>
  <c r="B639" i="1"/>
  <c r="E639" i="1" s="1"/>
  <c r="B640" i="1"/>
  <c r="B641" i="1"/>
  <c r="B642" i="1"/>
  <c r="E642" i="1" s="1"/>
  <c r="B643" i="1"/>
  <c r="E643" i="1" s="1"/>
  <c r="B644" i="1"/>
  <c r="B645" i="1"/>
  <c r="B646" i="1"/>
  <c r="B647" i="1"/>
  <c r="E647" i="1" s="1"/>
  <c r="B648" i="1"/>
  <c r="B649" i="1"/>
  <c r="B650" i="1"/>
  <c r="E650" i="1" s="1"/>
  <c r="B651" i="1"/>
  <c r="B652" i="1"/>
  <c r="B653" i="1"/>
  <c r="B654" i="1"/>
  <c r="B655" i="1"/>
  <c r="E655" i="1" s="1"/>
  <c r="B656" i="1"/>
  <c r="B657" i="1"/>
  <c r="B658" i="1"/>
  <c r="E658" i="1" s="1"/>
  <c r="B659" i="1"/>
  <c r="E659" i="1" s="1"/>
  <c r="B660" i="1"/>
  <c r="B661" i="1"/>
  <c r="B662" i="1"/>
  <c r="B663" i="1"/>
  <c r="E663" i="1" s="1"/>
  <c r="B664" i="1"/>
  <c r="B665" i="1"/>
  <c r="B666" i="1"/>
  <c r="E666" i="1" s="1"/>
  <c r="B667" i="1"/>
  <c r="E667" i="1" s="1"/>
  <c r="B668" i="1"/>
  <c r="B669" i="1"/>
  <c r="B670" i="1"/>
  <c r="B671" i="1"/>
  <c r="E671" i="1" s="1"/>
  <c r="B672" i="1"/>
  <c r="B673" i="1"/>
  <c r="B674" i="1"/>
  <c r="E674" i="1" s="1"/>
  <c r="B675" i="1"/>
  <c r="E675" i="1" s="1"/>
  <c r="B676" i="1"/>
  <c r="B677" i="1"/>
  <c r="B678" i="1"/>
  <c r="B679" i="1"/>
  <c r="E679" i="1" s="1"/>
  <c r="B680" i="1"/>
  <c r="B681" i="1"/>
  <c r="B682" i="1"/>
  <c r="E682" i="1" s="1"/>
  <c r="B683" i="1"/>
  <c r="E683" i="1" s="1"/>
  <c r="B684" i="1"/>
  <c r="B685" i="1"/>
  <c r="B686" i="1"/>
  <c r="B687" i="1"/>
  <c r="E687" i="1" s="1"/>
  <c r="B688" i="1"/>
  <c r="B689" i="1"/>
  <c r="B690" i="1"/>
  <c r="E690" i="1" s="1"/>
  <c r="B691" i="1"/>
  <c r="E691" i="1" s="1"/>
  <c r="B692" i="1"/>
  <c r="B693" i="1"/>
  <c r="B694" i="1"/>
  <c r="B695" i="1"/>
  <c r="E695" i="1" s="1"/>
  <c r="B696" i="1"/>
  <c r="B697" i="1"/>
  <c r="B698" i="1"/>
  <c r="E698" i="1" s="1"/>
  <c r="B699" i="1"/>
  <c r="E699" i="1" s="1"/>
  <c r="B700" i="1"/>
  <c r="B701" i="1"/>
  <c r="B702" i="1"/>
  <c r="B703" i="1"/>
  <c r="E703" i="1" s="1"/>
  <c r="B704" i="1"/>
  <c r="B705" i="1"/>
  <c r="B706" i="1"/>
  <c r="E706" i="1" s="1"/>
  <c r="B707" i="1"/>
  <c r="E707" i="1" s="1"/>
  <c r="B708" i="1"/>
  <c r="B709" i="1"/>
  <c r="B710" i="1"/>
  <c r="B711" i="1"/>
  <c r="E711" i="1" s="1"/>
  <c r="B712" i="1"/>
  <c r="B713" i="1"/>
  <c r="B714" i="1"/>
  <c r="E714" i="1" s="1"/>
  <c r="B715" i="1"/>
  <c r="B716" i="1"/>
  <c r="B717" i="1"/>
  <c r="B718" i="1"/>
  <c r="E718" i="1" s="1"/>
  <c r="B719" i="1"/>
  <c r="E719" i="1" s="1"/>
  <c r="B720" i="1"/>
  <c r="B721" i="1"/>
  <c r="B722" i="1"/>
  <c r="B723" i="1"/>
  <c r="E723" i="1" s="1"/>
  <c r="B724" i="1"/>
  <c r="B725" i="1"/>
  <c r="B726" i="1"/>
  <c r="E726" i="1" s="1"/>
  <c r="B727" i="1"/>
  <c r="E727" i="1" s="1"/>
  <c r="B728" i="1"/>
  <c r="B729" i="1"/>
  <c r="B730" i="1"/>
  <c r="B731" i="1"/>
  <c r="E731" i="1" s="1"/>
  <c r="B732" i="1"/>
  <c r="B733" i="1"/>
  <c r="B734" i="1"/>
  <c r="E734" i="1" s="1"/>
  <c r="B735" i="1"/>
  <c r="E735" i="1" s="1"/>
  <c r="B736" i="1"/>
  <c r="B737" i="1"/>
  <c r="B738" i="1"/>
  <c r="B739" i="1"/>
  <c r="E739" i="1" s="1"/>
  <c r="B740" i="1"/>
  <c r="B741" i="1"/>
  <c r="B742" i="1"/>
  <c r="E742" i="1" s="1"/>
  <c r="B743" i="1"/>
  <c r="E743" i="1" s="1"/>
  <c r="B744" i="1"/>
  <c r="B745" i="1"/>
  <c r="B746" i="1"/>
  <c r="B747" i="1"/>
  <c r="E747" i="1" s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E25" i="1"/>
  <c r="E89" i="1"/>
  <c r="E153" i="1"/>
  <c r="E217" i="1"/>
  <c r="E281" i="1"/>
  <c r="E344" i="1"/>
  <c r="E432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4" i="1"/>
  <c r="C4" i="1"/>
  <c r="D4" i="1"/>
  <c r="F4" i="1"/>
  <c r="G4" i="1"/>
  <c r="H4" i="1"/>
  <c r="I4" i="1"/>
  <c r="J4" i="1"/>
  <c r="K4" i="1"/>
  <c r="L4" i="1"/>
  <c r="M4" i="1"/>
  <c r="N4" i="1"/>
  <c r="O4" i="1"/>
  <c r="P4" i="1"/>
  <c r="Q4" i="1"/>
  <c r="E5" i="1"/>
  <c r="C5" i="1"/>
  <c r="D5" i="1"/>
  <c r="F5" i="1"/>
  <c r="G5" i="1"/>
  <c r="H5" i="1"/>
  <c r="I5" i="1"/>
  <c r="J5" i="1"/>
  <c r="K5" i="1"/>
  <c r="L5" i="1"/>
  <c r="M5" i="1"/>
  <c r="N5" i="1"/>
  <c r="O5" i="1"/>
  <c r="P5" i="1"/>
  <c r="Q5" i="1"/>
  <c r="E6" i="1"/>
  <c r="C6" i="1"/>
  <c r="D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F7" i="1"/>
  <c r="G7" i="1"/>
  <c r="H7" i="1"/>
  <c r="I7" i="1"/>
  <c r="J7" i="1"/>
  <c r="K7" i="1"/>
  <c r="L7" i="1"/>
  <c r="M7" i="1"/>
  <c r="N7" i="1"/>
  <c r="O7" i="1"/>
  <c r="P7" i="1"/>
  <c r="Q7" i="1"/>
  <c r="E8" i="1"/>
  <c r="C8" i="1"/>
  <c r="D8" i="1"/>
  <c r="F8" i="1"/>
  <c r="G8" i="1"/>
  <c r="H8" i="1"/>
  <c r="I8" i="1"/>
  <c r="J8" i="1"/>
  <c r="K8" i="1"/>
  <c r="L8" i="1"/>
  <c r="M8" i="1"/>
  <c r="N8" i="1"/>
  <c r="O8" i="1"/>
  <c r="P8" i="1"/>
  <c r="Q8" i="1"/>
  <c r="E9" i="1"/>
  <c r="C9" i="1"/>
  <c r="D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F10" i="1"/>
  <c r="G10" i="1"/>
  <c r="H10" i="1"/>
  <c r="I10" i="1"/>
  <c r="J10" i="1"/>
  <c r="K10" i="1"/>
  <c r="L10" i="1"/>
  <c r="M10" i="1"/>
  <c r="N10" i="1"/>
  <c r="O10" i="1"/>
  <c r="P10" i="1"/>
  <c r="Q10" i="1"/>
  <c r="D11" i="1"/>
  <c r="F11" i="1"/>
  <c r="G11" i="1"/>
  <c r="H11" i="1"/>
  <c r="I11" i="1"/>
  <c r="J11" i="1"/>
  <c r="K11" i="1"/>
  <c r="L11" i="1"/>
  <c r="M11" i="1"/>
  <c r="N11" i="1"/>
  <c r="O11" i="1"/>
  <c r="P11" i="1"/>
  <c r="Q11" i="1"/>
  <c r="E12" i="1"/>
  <c r="C12" i="1"/>
  <c r="D12" i="1"/>
  <c r="F12" i="1"/>
  <c r="G12" i="1"/>
  <c r="H12" i="1"/>
  <c r="I12" i="1"/>
  <c r="J12" i="1"/>
  <c r="K12" i="1"/>
  <c r="L12" i="1"/>
  <c r="M12" i="1"/>
  <c r="N12" i="1"/>
  <c r="O12" i="1"/>
  <c r="P12" i="1"/>
  <c r="Q12" i="1"/>
  <c r="E13" i="1"/>
  <c r="C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E14" i="1"/>
  <c r="C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F15" i="1"/>
  <c r="G15" i="1"/>
  <c r="H15" i="1"/>
  <c r="I15" i="1"/>
  <c r="J15" i="1"/>
  <c r="K15" i="1"/>
  <c r="L15" i="1"/>
  <c r="M15" i="1"/>
  <c r="N15" i="1"/>
  <c r="O15" i="1"/>
  <c r="P15" i="1"/>
  <c r="Q15" i="1"/>
  <c r="E16" i="1"/>
  <c r="C16" i="1"/>
  <c r="D16" i="1"/>
  <c r="F16" i="1"/>
  <c r="G16" i="1"/>
  <c r="H16" i="1"/>
  <c r="I16" i="1"/>
  <c r="J16" i="1"/>
  <c r="K16" i="1"/>
  <c r="L16" i="1"/>
  <c r="M16" i="1"/>
  <c r="N16" i="1"/>
  <c r="O16" i="1"/>
  <c r="P16" i="1"/>
  <c r="Q16" i="1"/>
  <c r="E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E18" i="1"/>
  <c r="C18" i="1"/>
  <c r="D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E20" i="1"/>
  <c r="C20" i="1"/>
  <c r="D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C21" i="1"/>
  <c r="D21" i="1"/>
  <c r="F21" i="1"/>
  <c r="G21" i="1"/>
  <c r="H21" i="1"/>
  <c r="I21" i="1"/>
  <c r="J21" i="1"/>
  <c r="K21" i="1"/>
  <c r="L21" i="1"/>
  <c r="M21" i="1"/>
  <c r="N21" i="1"/>
  <c r="O21" i="1"/>
  <c r="P21" i="1"/>
  <c r="Q21" i="1"/>
  <c r="C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C23" i="1"/>
  <c r="D23" i="1"/>
  <c r="F23" i="1"/>
  <c r="G23" i="1"/>
  <c r="H23" i="1"/>
  <c r="I23" i="1"/>
  <c r="J23" i="1"/>
  <c r="K23" i="1"/>
  <c r="L23" i="1"/>
  <c r="M23" i="1"/>
  <c r="N23" i="1"/>
  <c r="O23" i="1"/>
  <c r="P23" i="1"/>
  <c r="Q23" i="1"/>
  <c r="E24" i="1"/>
  <c r="C24" i="1"/>
  <c r="D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F25" i="1"/>
  <c r="G25" i="1"/>
  <c r="H25" i="1"/>
  <c r="I25" i="1"/>
  <c r="J25" i="1"/>
  <c r="K25" i="1"/>
  <c r="L25" i="1"/>
  <c r="M25" i="1"/>
  <c r="N25" i="1"/>
  <c r="O25" i="1"/>
  <c r="P25" i="1"/>
  <c r="Q25" i="1"/>
  <c r="E26" i="1"/>
  <c r="C26" i="1"/>
  <c r="D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F27" i="1"/>
  <c r="G27" i="1"/>
  <c r="H27" i="1"/>
  <c r="I27" i="1"/>
  <c r="J27" i="1"/>
  <c r="K27" i="1"/>
  <c r="L27" i="1"/>
  <c r="M27" i="1"/>
  <c r="N27" i="1"/>
  <c r="O27" i="1"/>
  <c r="P27" i="1"/>
  <c r="Q27" i="1"/>
  <c r="E28" i="1"/>
  <c r="C28" i="1"/>
  <c r="D28" i="1"/>
  <c r="F28" i="1"/>
  <c r="G28" i="1"/>
  <c r="H28" i="1"/>
  <c r="I28" i="1"/>
  <c r="J28" i="1"/>
  <c r="K28" i="1"/>
  <c r="L28" i="1"/>
  <c r="M28" i="1"/>
  <c r="N28" i="1"/>
  <c r="O28" i="1"/>
  <c r="P28" i="1"/>
  <c r="Q28" i="1"/>
  <c r="E29" i="1"/>
  <c r="C29" i="1"/>
  <c r="D29" i="1"/>
  <c r="F29" i="1"/>
  <c r="G29" i="1"/>
  <c r="H29" i="1"/>
  <c r="I29" i="1"/>
  <c r="J29" i="1"/>
  <c r="K29" i="1"/>
  <c r="L29" i="1"/>
  <c r="M29" i="1"/>
  <c r="N29" i="1"/>
  <c r="O29" i="1"/>
  <c r="P29" i="1"/>
  <c r="Q29" i="1"/>
  <c r="E30" i="1"/>
  <c r="C30" i="1"/>
  <c r="D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F31" i="1"/>
  <c r="G31" i="1"/>
  <c r="H31" i="1"/>
  <c r="I31" i="1"/>
  <c r="J31" i="1"/>
  <c r="K31" i="1"/>
  <c r="L31" i="1"/>
  <c r="M31" i="1"/>
  <c r="N31" i="1"/>
  <c r="O31" i="1"/>
  <c r="P31" i="1"/>
  <c r="Q31" i="1"/>
  <c r="E32" i="1"/>
  <c r="C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E33" i="1"/>
  <c r="C33" i="1"/>
  <c r="D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F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F35" i="1"/>
  <c r="G35" i="1"/>
  <c r="H35" i="1"/>
  <c r="I35" i="1"/>
  <c r="J35" i="1"/>
  <c r="K35" i="1"/>
  <c r="L35" i="1"/>
  <c r="M35" i="1"/>
  <c r="N35" i="1"/>
  <c r="O35" i="1"/>
  <c r="P35" i="1"/>
  <c r="Q35" i="1"/>
  <c r="E36" i="1"/>
  <c r="C36" i="1"/>
  <c r="D36" i="1"/>
  <c r="F36" i="1"/>
  <c r="G36" i="1"/>
  <c r="H36" i="1"/>
  <c r="I36" i="1"/>
  <c r="J36" i="1"/>
  <c r="K36" i="1"/>
  <c r="L36" i="1"/>
  <c r="M36" i="1"/>
  <c r="N36" i="1"/>
  <c r="O36" i="1"/>
  <c r="P36" i="1"/>
  <c r="Q36" i="1"/>
  <c r="E37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F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F39" i="1"/>
  <c r="G39" i="1"/>
  <c r="H39" i="1"/>
  <c r="I39" i="1"/>
  <c r="J39" i="1"/>
  <c r="K39" i="1"/>
  <c r="L39" i="1"/>
  <c r="M39" i="1"/>
  <c r="N39" i="1"/>
  <c r="O39" i="1"/>
  <c r="P39" i="1"/>
  <c r="Q39" i="1"/>
  <c r="E40" i="1"/>
  <c r="C40" i="1"/>
  <c r="D40" i="1"/>
  <c r="F40" i="1"/>
  <c r="G40" i="1"/>
  <c r="H40" i="1"/>
  <c r="I40" i="1"/>
  <c r="J40" i="1"/>
  <c r="K40" i="1"/>
  <c r="L40" i="1"/>
  <c r="M40" i="1"/>
  <c r="N40" i="1"/>
  <c r="O40" i="1"/>
  <c r="P40" i="1"/>
  <c r="Q40" i="1"/>
  <c r="E41" i="1"/>
  <c r="C41" i="1"/>
  <c r="D41" i="1"/>
  <c r="F41" i="1"/>
  <c r="G41" i="1"/>
  <c r="H41" i="1"/>
  <c r="I41" i="1"/>
  <c r="J41" i="1"/>
  <c r="K41" i="1"/>
  <c r="L41" i="1"/>
  <c r="M41" i="1"/>
  <c r="N41" i="1"/>
  <c r="O41" i="1"/>
  <c r="P41" i="1"/>
  <c r="Q41" i="1"/>
  <c r="E42" i="1"/>
  <c r="C42" i="1"/>
  <c r="D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F43" i="1"/>
  <c r="G43" i="1"/>
  <c r="H43" i="1"/>
  <c r="I43" i="1"/>
  <c r="J43" i="1"/>
  <c r="K43" i="1"/>
  <c r="L43" i="1"/>
  <c r="M43" i="1"/>
  <c r="N43" i="1"/>
  <c r="O43" i="1"/>
  <c r="P43" i="1"/>
  <c r="Q43" i="1"/>
  <c r="E44" i="1"/>
  <c r="C44" i="1"/>
  <c r="D44" i="1"/>
  <c r="F44" i="1"/>
  <c r="G44" i="1"/>
  <c r="H44" i="1"/>
  <c r="I44" i="1"/>
  <c r="J44" i="1"/>
  <c r="K44" i="1"/>
  <c r="L44" i="1"/>
  <c r="M44" i="1"/>
  <c r="N44" i="1"/>
  <c r="O44" i="1"/>
  <c r="P44" i="1"/>
  <c r="Q44" i="1"/>
  <c r="E45" i="1"/>
  <c r="C45" i="1"/>
  <c r="D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F47" i="1"/>
  <c r="G47" i="1"/>
  <c r="H47" i="1"/>
  <c r="I47" i="1"/>
  <c r="J47" i="1"/>
  <c r="K47" i="1"/>
  <c r="L47" i="1"/>
  <c r="M47" i="1"/>
  <c r="N47" i="1"/>
  <c r="O47" i="1"/>
  <c r="P47" i="1"/>
  <c r="Q47" i="1"/>
  <c r="E48" i="1"/>
  <c r="C48" i="1"/>
  <c r="D48" i="1"/>
  <c r="F48" i="1"/>
  <c r="G48" i="1"/>
  <c r="H48" i="1"/>
  <c r="I48" i="1"/>
  <c r="J48" i="1"/>
  <c r="K48" i="1"/>
  <c r="L48" i="1"/>
  <c r="M48" i="1"/>
  <c r="N48" i="1"/>
  <c r="O48" i="1"/>
  <c r="P48" i="1"/>
  <c r="Q48" i="1"/>
  <c r="E49" i="1"/>
  <c r="C49" i="1"/>
  <c r="D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F51" i="1"/>
  <c r="G51" i="1"/>
  <c r="H51" i="1"/>
  <c r="I51" i="1"/>
  <c r="J51" i="1"/>
  <c r="K51" i="1"/>
  <c r="L51" i="1"/>
  <c r="M51" i="1"/>
  <c r="N51" i="1"/>
  <c r="O51" i="1"/>
  <c r="P51" i="1"/>
  <c r="Q51" i="1"/>
  <c r="E52" i="1"/>
  <c r="C52" i="1"/>
  <c r="D52" i="1"/>
  <c r="F52" i="1"/>
  <c r="G52" i="1"/>
  <c r="H52" i="1"/>
  <c r="I52" i="1"/>
  <c r="J52" i="1"/>
  <c r="K52" i="1"/>
  <c r="L52" i="1"/>
  <c r="M52" i="1"/>
  <c r="N52" i="1"/>
  <c r="O52" i="1"/>
  <c r="P52" i="1"/>
  <c r="Q52" i="1"/>
  <c r="E53" i="1"/>
  <c r="C53" i="1"/>
  <c r="D53" i="1"/>
  <c r="F53" i="1"/>
  <c r="G53" i="1"/>
  <c r="H53" i="1"/>
  <c r="I53" i="1"/>
  <c r="J53" i="1"/>
  <c r="K53" i="1"/>
  <c r="L53" i="1"/>
  <c r="M53" i="1"/>
  <c r="N53" i="1"/>
  <c r="O53" i="1"/>
  <c r="P53" i="1"/>
  <c r="Q53" i="1"/>
  <c r="E54" i="1"/>
  <c r="C54" i="1"/>
  <c r="D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F55" i="1"/>
  <c r="G55" i="1"/>
  <c r="H55" i="1"/>
  <c r="I55" i="1"/>
  <c r="J55" i="1"/>
  <c r="K55" i="1"/>
  <c r="L55" i="1"/>
  <c r="M55" i="1"/>
  <c r="N55" i="1"/>
  <c r="O55" i="1"/>
  <c r="P55" i="1"/>
  <c r="Q55" i="1"/>
  <c r="E56" i="1"/>
  <c r="C56" i="1"/>
  <c r="D56" i="1"/>
  <c r="F56" i="1"/>
  <c r="G56" i="1"/>
  <c r="H56" i="1"/>
  <c r="I56" i="1"/>
  <c r="J56" i="1"/>
  <c r="K56" i="1"/>
  <c r="L56" i="1"/>
  <c r="M56" i="1"/>
  <c r="N56" i="1"/>
  <c r="O56" i="1"/>
  <c r="P56" i="1"/>
  <c r="Q56" i="1"/>
  <c r="E57" i="1"/>
  <c r="C57" i="1"/>
  <c r="D57" i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C58" i="1"/>
  <c r="D58" i="1"/>
  <c r="F58" i="1"/>
  <c r="G58" i="1"/>
  <c r="H58" i="1"/>
  <c r="I58" i="1"/>
  <c r="J58" i="1"/>
  <c r="K58" i="1"/>
  <c r="L58" i="1"/>
  <c r="M58" i="1"/>
  <c r="N58" i="1"/>
  <c r="O58" i="1"/>
  <c r="P58" i="1"/>
  <c r="Q58" i="1"/>
  <c r="C59" i="1"/>
  <c r="D59" i="1"/>
  <c r="F59" i="1"/>
  <c r="G59" i="1"/>
  <c r="H59" i="1"/>
  <c r="I59" i="1"/>
  <c r="J59" i="1"/>
  <c r="K59" i="1"/>
  <c r="L59" i="1"/>
  <c r="M59" i="1"/>
  <c r="N59" i="1"/>
  <c r="O59" i="1"/>
  <c r="P59" i="1"/>
  <c r="Q59" i="1"/>
  <c r="E60" i="1"/>
  <c r="C60" i="1"/>
  <c r="D60" i="1"/>
  <c r="F60" i="1"/>
  <c r="G60" i="1"/>
  <c r="H60" i="1"/>
  <c r="I60" i="1"/>
  <c r="J60" i="1"/>
  <c r="K60" i="1"/>
  <c r="L60" i="1"/>
  <c r="M60" i="1"/>
  <c r="N60" i="1"/>
  <c r="O60" i="1"/>
  <c r="P60" i="1"/>
  <c r="Q60" i="1"/>
  <c r="E61" i="1"/>
  <c r="C61" i="1"/>
  <c r="D61" i="1"/>
  <c r="F61" i="1"/>
  <c r="G61" i="1"/>
  <c r="H61" i="1"/>
  <c r="I61" i="1"/>
  <c r="J61" i="1"/>
  <c r="K61" i="1"/>
  <c r="L61" i="1"/>
  <c r="M61" i="1"/>
  <c r="N61" i="1"/>
  <c r="O61" i="1"/>
  <c r="P61" i="1"/>
  <c r="Q61" i="1"/>
  <c r="C62" i="1"/>
  <c r="D62" i="1"/>
  <c r="F62" i="1"/>
  <c r="G62" i="1"/>
  <c r="H62" i="1"/>
  <c r="I62" i="1"/>
  <c r="J62" i="1"/>
  <c r="K62" i="1"/>
  <c r="L62" i="1"/>
  <c r="M62" i="1"/>
  <c r="N62" i="1"/>
  <c r="O62" i="1"/>
  <c r="P62" i="1"/>
  <c r="Q62" i="1"/>
  <c r="C63" i="1"/>
  <c r="D63" i="1"/>
  <c r="F63" i="1"/>
  <c r="G63" i="1"/>
  <c r="H63" i="1"/>
  <c r="I63" i="1"/>
  <c r="J63" i="1"/>
  <c r="K63" i="1"/>
  <c r="L63" i="1"/>
  <c r="M63" i="1"/>
  <c r="N63" i="1"/>
  <c r="O63" i="1"/>
  <c r="P63" i="1"/>
  <c r="Q63" i="1"/>
  <c r="E64" i="1"/>
  <c r="C64" i="1"/>
  <c r="D64" i="1"/>
  <c r="F64" i="1"/>
  <c r="G64" i="1"/>
  <c r="H64" i="1"/>
  <c r="I64" i="1"/>
  <c r="J64" i="1"/>
  <c r="K64" i="1"/>
  <c r="L64" i="1"/>
  <c r="M64" i="1"/>
  <c r="N64" i="1"/>
  <c r="O64" i="1"/>
  <c r="P64" i="1"/>
  <c r="Q64" i="1"/>
  <c r="E65" i="1"/>
  <c r="C65" i="1"/>
  <c r="D65" i="1"/>
  <c r="F65" i="1"/>
  <c r="G65" i="1"/>
  <c r="H65" i="1"/>
  <c r="I65" i="1"/>
  <c r="J65" i="1"/>
  <c r="K65" i="1"/>
  <c r="L65" i="1"/>
  <c r="M65" i="1"/>
  <c r="N65" i="1"/>
  <c r="O65" i="1"/>
  <c r="P65" i="1"/>
  <c r="Q65" i="1"/>
  <c r="C66" i="1"/>
  <c r="D66" i="1"/>
  <c r="F66" i="1"/>
  <c r="G66" i="1"/>
  <c r="H66" i="1"/>
  <c r="I66" i="1"/>
  <c r="J66" i="1"/>
  <c r="K66" i="1"/>
  <c r="L66" i="1"/>
  <c r="M66" i="1"/>
  <c r="N66" i="1"/>
  <c r="O66" i="1"/>
  <c r="P66" i="1"/>
  <c r="Q66" i="1"/>
  <c r="C67" i="1"/>
  <c r="D67" i="1"/>
  <c r="F67" i="1"/>
  <c r="G67" i="1"/>
  <c r="H67" i="1"/>
  <c r="I67" i="1"/>
  <c r="J67" i="1"/>
  <c r="K67" i="1"/>
  <c r="L67" i="1"/>
  <c r="M67" i="1"/>
  <c r="N67" i="1"/>
  <c r="O67" i="1"/>
  <c r="P67" i="1"/>
  <c r="Q67" i="1"/>
  <c r="E68" i="1"/>
  <c r="C68" i="1"/>
  <c r="D68" i="1"/>
  <c r="F68" i="1"/>
  <c r="G68" i="1"/>
  <c r="H68" i="1"/>
  <c r="I68" i="1"/>
  <c r="J68" i="1"/>
  <c r="K68" i="1"/>
  <c r="L68" i="1"/>
  <c r="M68" i="1"/>
  <c r="N68" i="1"/>
  <c r="O68" i="1"/>
  <c r="P68" i="1"/>
  <c r="Q68" i="1"/>
  <c r="E69" i="1"/>
  <c r="C69" i="1"/>
  <c r="D69" i="1"/>
  <c r="F69" i="1"/>
  <c r="G69" i="1"/>
  <c r="H69" i="1"/>
  <c r="I69" i="1"/>
  <c r="J69" i="1"/>
  <c r="K69" i="1"/>
  <c r="L69" i="1"/>
  <c r="M69" i="1"/>
  <c r="N69" i="1"/>
  <c r="O69" i="1"/>
  <c r="P69" i="1"/>
  <c r="Q69" i="1"/>
  <c r="E70" i="1"/>
  <c r="C70" i="1"/>
  <c r="D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D71" i="1"/>
  <c r="F71" i="1"/>
  <c r="G71" i="1"/>
  <c r="H71" i="1"/>
  <c r="I71" i="1"/>
  <c r="J71" i="1"/>
  <c r="K71" i="1"/>
  <c r="L71" i="1"/>
  <c r="M71" i="1"/>
  <c r="N71" i="1"/>
  <c r="O71" i="1"/>
  <c r="P71" i="1"/>
  <c r="Q71" i="1"/>
  <c r="E72" i="1"/>
  <c r="C72" i="1"/>
  <c r="D72" i="1"/>
  <c r="F72" i="1"/>
  <c r="G72" i="1"/>
  <c r="H72" i="1"/>
  <c r="I72" i="1"/>
  <c r="J72" i="1"/>
  <c r="K72" i="1"/>
  <c r="L72" i="1"/>
  <c r="M72" i="1"/>
  <c r="N72" i="1"/>
  <c r="O72" i="1"/>
  <c r="P72" i="1"/>
  <c r="Q72" i="1"/>
  <c r="E73" i="1"/>
  <c r="C73" i="1"/>
  <c r="D73" i="1"/>
  <c r="F73" i="1"/>
  <c r="G73" i="1"/>
  <c r="H73" i="1"/>
  <c r="I73" i="1"/>
  <c r="J73" i="1"/>
  <c r="K73" i="1"/>
  <c r="L73" i="1"/>
  <c r="M73" i="1"/>
  <c r="N73" i="1"/>
  <c r="O73" i="1"/>
  <c r="P73" i="1"/>
  <c r="Q73" i="1"/>
  <c r="E74" i="1"/>
  <c r="C74" i="1"/>
  <c r="D74" i="1"/>
  <c r="F74" i="1"/>
  <c r="G74" i="1"/>
  <c r="H74" i="1"/>
  <c r="I74" i="1"/>
  <c r="J74" i="1"/>
  <c r="K74" i="1"/>
  <c r="L74" i="1"/>
  <c r="M74" i="1"/>
  <c r="N74" i="1"/>
  <c r="O74" i="1"/>
  <c r="P74" i="1"/>
  <c r="Q74" i="1"/>
  <c r="C75" i="1"/>
  <c r="D75" i="1"/>
  <c r="F75" i="1"/>
  <c r="G75" i="1"/>
  <c r="H75" i="1"/>
  <c r="I75" i="1"/>
  <c r="J75" i="1"/>
  <c r="K75" i="1"/>
  <c r="L75" i="1"/>
  <c r="M75" i="1"/>
  <c r="N75" i="1"/>
  <c r="O75" i="1"/>
  <c r="P75" i="1"/>
  <c r="Q75" i="1"/>
  <c r="E76" i="1"/>
  <c r="C76" i="1"/>
  <c r="D76" i="1"/>
  <c r="F76" i="1"/>
  <c r="G76" i="1"/>
  <c r="H76" i="1"/>
  <c r="I76" i="1"/>
  <c r="J76" i="1"/>
  <c r="K76" i="1"/>
  <c r="L76" i="1"/>
  <c r="M76" i="1"/>
  <c r="N76" i="1"/>
  <c r="O76" i="1"/>
  <c r="P76" i="1"/>
  <c r="Q76" i="1"/>
  <c r="E77" i="1"/>
  <c r="C77" i="1"/>
  <c r="D77" i="1"/>
  <c r="F77" i="1"/>
  <c r="G77" i="1"/>
  <c r="H77" i="1"/>
  <c r="I77" i="1"/>
  <c r="J77" i="1"/>
  <c r="K77" i="1"/>
  <c r="L77" i="1"/>
  <c r="M77" i="1"/>
  <c r="N77" i="1"/>
  <c r="O77" i="1"/>
  <c r="P77" i="1"/>
  <c r="Q77" i="1"/>
  <c r="C78" i="1"/>
  <c r="D78" i="1"/>
  <c r="F78" i="1"/>
  <c r="G78" i="1"/>
  <c r="H78" i="1"/>
  <c r="I78" i="1"/>
  <c r="J78" i="1"/>
  <c r="K78" i="1"/>
  <c r="L78" i="1"/>
  <c r="M78" i="1"/>
  <c r="N78" i="1"/>
  <c r="O78" i="1"/>
  <c r="P78" i="1"/>
  <c r="Q78" i="1"/>
  <c r="C79" i="1"/>
  <c r="D79" i="1"/>
  <c r="F79" i="1"/>
  <c r="G79" i="1"/>
  <c r="H79" i="1"/>
  <c r="I79" i="1"/>
  <c r="J79" i="1"/>
  <c r="K79" i="1"/>
  <c r="L79" i="1"/>
  <c r="M79" i="1"/>
  <c r="N79" i="1"/>
  <c r="O79" i="1"/>
  <c r="P79" i="1"/>
  <c r="Q79" i="1"/>
  <c r="E80" i="1"/>
  <c r="C80" i="1"/>
  <c r="D80" i="1"/>
  <c r="F80" i="1"/>
  <c r="G80" i="1"/>
  <c r="H80" i="1"/>
  <c r="I80" i="1"/>
  <c r="J80" i="1"/>
  <c r="K80" i="1"/>
  <c r="L80" i="1"/>
  <c r="M80" i="1"/>
  <c r="N80" i="1"/>
  <c r="O80" i="1"/>
  <c r="P80" i="1"/>
  <c r="Q80" i="1"/>
  <c r="E81" i="1"/>
  <c r="C81" i="1"/>
  <c r="D81" i="1"/>
  <c r="F81" i="1"/>
  <c r="G81" i="1"/>
  <c r="H81" i="1"/>
  <c r="I81" i="1"/>
  <c r="J81" i="1"/>
  <c r="K81" i="1"/>
  <c r="L81" i="1"/>
  <c r="M81" i="1"/>
  <c r="N81" i="1"/>
  <c r="O81" i="1"/>
  <c r="P81" i="1"/>
  <c r="Q81" i="1"/>
  <c r="C82" i="1"/>
  <c r="D82" i="1"/>
  <c r="F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F83" i="1"/>
  <c r="G83" i="1"/>
  <c r="H83" i="1"/>
  <c r="I83" i="1"/>
  <c r="J83" i="1"/>
  <c r="K83" i="1"/>
  <c r="L83" i="1"/>
  <c r="M83" i="1"/>
  <c r="N83" i="1"/>
  <c r="O83" i="1"/>
  <c r="P83" i="1"/>
  <c r="Q83" i="1"/>
  <c r="E84" i="1"/>
  <c r="C84" i="1"/>
  <c r="D84" i="1"/>
  <c r="F84" i="1"/>
  <c r="G84" i="1"/>
  <c r="H84" i="1"/>
  <c r="I84" i="1"/>
  <c r="J84" i="1"/>
  <c r="K84" i="1"/>
  <c r="L84" i="1"/>
  <c r="M84" i="1"/>
  <c r="N84" i="1"/>
  <c r="O84" i="1"/>
  <c r="P84" i="1"/>
  <c r="Q84" i="1"/>
  <c r="E85" i="1"/>
  <c r="C85" i="1"/>
  <c r="D85" i="1"/>
  <c r="F85" i="1"/>
  <c r="G85" i="1"/>
  <c r="H85" i="1"/>
  <c r="I85" i="1"/>
  <c r="J85" i="1"/>
  <c r="K85" i="1"/>
  <c r="L85" i="1"/>
  <c r="M85" i="1"/>
  <c r="N85" i="1"/>
  <c r="O85" i="1"/>
  <c r="P85" i="1"/>
  <c r="Q85" i="1"/>
  <c r="E86" i="1"/>
  <c r="C86" i="1"/>
  <c r="D86" i="1"/>
  <c r="F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F87" i="1"/>
  <c r="G87" i="1"/>
  <c r="H87" i="1"/>
  <c r="I87" i="1"/>
  <c r="J87" i="1"/>
  <c r="K87" i="1"/>
  <c r="L87" i="1"/>
  <c r="M87" i="1"/>
  <c r="N87" i="1"/>
  <c r="O87" i="1"/>
  <c r="P87" i="1"/>
  <c r="Q87" i="1"/>
  <c r="E88" i="1"/>
  <c r="C88" i="1"/>
  <c r="D88" i="1"/>
  <c r="F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F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F90" i="1"/>
  <c r="G90" i="1"/>
  <c r="H90" i="1"/>
  <c r="I90" i="1"/>
  <c r="J90" i="1"/>
  <c r="K90" i="1"/>
  <c r="L90" i="1"/>
  <c r="M90" i="1"/>
  <c r="N90" i="1"/>
  <c r="O90" i="1"/>
  <c r="P90" i="1"/>
  <c r="Q90" i="1"/>
  <c r="C91" i="1"/>
  <c r="D91" i="1"/>
  <c r="F91" i="1"/>
  <c r="G91" i="1"/>
  <c r="H91" i="1"/>
  <c r="I91" i="1"/>
  <c r="J91" i="1"/>
  <c r="K91" i="1"/>
  <c r="L91" i="1"/>
  <c r="M91" i="1"/>
  <c r="N91" i="1"/>
  <c r="O91" i="1"/>
  <c r="P91" i="1"/>
  <c r="Q91" i="1"/>
  <c r="E92" i="1"/>
  <c r="C92" i="1"/>
  <c r="D92" i="1"/>
  <c r="F92" i="1"/>
  <c r="G92" i="1"/>
  <c r="H92" i="1"/>
  <c r="I92" i="1"/>
  <c r="J92" i="1"/>
  <c r="K92" i="1"/>
  <c r="L92" i="1"/>
  <c r="M92" i="1"/>
  <c r="N92" i="1"/>
  <c r="O92" i="1"/>
  <c r="P92" i="1"/>
  <c r="Q92" i="1"/>
  <c r="E93" i="1"/>
  <c r="C93" i="1"/>
  <c r="D93" i="1"/>
  <c r="F93" i="1"/>
  <c r="G93" i="1"/>
  <c r="H93" i="1"/>
  <c r="I93" i="1"/>
  <c r="J93" i="1"/>
  <c r="K93" i="1"/>
  <c r="L93" i="1"/>
  <c r="M93" i="1"/>
  <c r="N93" i="1"/>
  <c r="O93" i="1"/>
  <c r="P93" i="1"/>
  <c r="Q93" i="1"/>
  <c r="C94" i="1"/>
  <c r="D94" i="1"/>
  <c r="F94" i="1"/>
  <c r="G94" i="1"/>
  <c r="H94" i="1"/>
  <c r="I94" i="1"/>
  <c r="J94" i="1"/>
  <c r="K94" i="1"/>
  <c r="L94" i="1"/>
  <c r="M94" i="1"/>
  <c r="N94" i="1"/>
  <c r="O94" i="1"/>
  <c r="P94" i="1"/>
  <c r="Q94" i="1"/>
  <c r="C95" i="1"/>
  <c r="D95" i="1"/>
  <c r="F95" i="1"/>
  <c r="G95" i="1"/>
  <c r="H95" i="1"/>
  <c r="I95" i="1"/>
  <c r="J95" i="1"/>
  <c r="K95" i="1"/>
  <c r="L95" i="1"/>
  <c r="M95" i="1"/>
  <c r="N95" i="1"/>
  <c r="O95" i="1"/>
  <c r="P95" i="1"/>
  <c r="Q95" i="1"/>
  <c r="E96" i="1"/>
  <c r="C96" i="1"/>
  <c r="D96" i="1"/>
  <c r="F96" i="1"/>
  <c r="G96" i="1"/>
  <c r="H96" i="1"/>
  <c r="I96" i="1"/>
  <c r="J96" i="1"/>
  <c r="K96" i="1"/>
  <c r="L96" i="1"/>
  <c r="M96" i="1"/>
  <c r="N96" i="1"/>
  <c r="O96" i="1"/>
  <c r="P96" i="1"/>
  <c r="Q96" i="1"/>
  <c r="E97" i="1"/>
  <c r="C97" i="1"/>
  <c r="D97" i="1"/>
  <c r="F97" i="1"/>
  <c r="G97" i="1"/>
  <c r="H97" i="1"/>
  <c r="I97" i="1"/>
  <c r="J97" i="1"/>
  <c r="K97" i="1"/>
  <c r="L97" i="1"/>
  <c r="M97" i="1"/>
  <c r="N97" i="1"/>
  <c r="O97" i="1"/>
  <c r="P97" i="1"/>
  <c r="Q97" i="1"/>
  <c r="E98" i="1"/>
  <c r="C98" i="1"/>
  <c r="D98" i="1"/>
  <c r="F98" i="1"/>
  <c r="G98" i="1"/>
  <c r="H98" i="1"/>
  <c r="I98" i="1"/>
  <c r="J98" i="1"/>
  <c r="K98" i="1"/>
  <c r="L98" i="1"/>
  <c r="M98" i="1"/>
  <c r="N98" i="1"/>
  <c r="O98" i="1"/>
  <c r="P98" i="1"/>
  <c r="Q98" i="1"/>
  <c r="C99" i="1"/>
  <c r="D99" i="1"/>
  <c r="F99" i="1"/>
  <c r="G99" i="1"/>
  <c r="H99" i="1"/>
  <c r="I99" i="1"/>
  <c r="J99" i="1"/>
  <c r="K99" i="1"/>
  <c r="L99" i="1"/>
  <c r="M99" i="1"/>
  <c r="N99" i="1"/>
  <c r="O99" i="1"/>
  <c r="P99" i="1"/>
  <c r="Q99" i="1"/>
  <c r="E100" i="1"/>
  <c r="C100" i="1"/>
  <c r="D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E101" i="1"/>
  <c r="C101" i="1"/>
  <c r="D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E102" i="1"/>
  <c r="C102" i="1"/>
  <c r="D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C103" i="1"/>
  <c r="D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E104" i="1"/>
  <c r="C104" i="1"/>
  <c r="D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E105" i="1"/>
  <c r="C105" i="1"/>
  <c r="D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C106" i="1"/>
  <c r="D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C107" i="1"/>
  <c r="D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E108" i="1"/>
  <c r="C108" i="1"/>
  <c r="D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E109" i="1"/>
  <c r="C109" i="1"/>
  <c r="D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C110" i="1"/>
  <c r="D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C111" i="1"/>
  <c r="D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E112" i="1"/>
  <c r="C112" i="1"/>
  <c r="D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E113" i="1"/>
  <c r="C113" i="1"/>
  <c r="D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E114" i="1"/>
  <c r="C114" i="1"/>
  <c r="D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C115" i="1"/>
  <c r="D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E116" i="1"/>
  <c r="C116" i="1"/>
  <c r="D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E117" i="1"/>
  <c r="C117" i="1"/>
  <c r="D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C118" i="1"/>
  <c r="D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C119" i="1"/>
  <c r="D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E120" i="1"/>
  <c r="C120" i="1"/>
  <c r="D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E121" i="1"/>
  <c r="C121" i="1"/>
  <c r="D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C122" i="1"/>
  <c r="D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C123" i="1"/>
  <c r="D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E124" i="1"/>
  <c r="C124" i="1"/>
  <c r="D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E125" i="1"/>
  <c r="C125" i="1"/>
  <c r="D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E126" i="1"/>
  <c r="C126" i="1"/>
  <c r="D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C127" i="1"/>
  <c r="D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E128" i="1"/>
  <c r="C128" i="1"/>
  <c r="D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E129" i="1"/>
  <c r="C129" i="1"/>
  <c r="D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E130" i="1"/>
  <c r="C130" i="1"/>
  <c r="D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C131" i="1"/>
  <c r="D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E132" i="1"/>
  <c r="C132" i="1"/>
  <c r="D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E133" i="1"/>
  <c r="C133" i="1"/>
  <c r="D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C134" i="1"/>
  <c r="D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C135" i="1"/>
  <c r="D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E136" i="1"/>
  <c r="C136" i="1"/>
  <c r="D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E137" i="1"/>
  <c r="C137" i="1"/>
  <c r="D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C138" i="1"/>
  <c r="D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C139" i="1"/>
  <c r="D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E140" i="1"/>
  <c r="C140" i="1"/>
  <c r="D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E141" i="1"/>
  <c r="C141" i="1"/>
  <c r="D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E142" i="1"/>
  <c r="C142" i="1"/>
  <c r="D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C143" i="1"/>
  <c r="D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E144" i="1"/>
  <c r="C144" i="1"/>
  <c r="D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E145" i="1"/>
  <c r="C145" i="1"/>
  <c r="D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E146" i="1"/>
  <c r="C146" i="1"/>
  <c r="D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C147" i="1"/>
  <c r="D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E148" i="1"/>
  <c r="C148" i="1"/>
  <c r="D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E149" i="1"/>
  <c r="C149" i="1"/>
  <c r="D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C150" i="1"/>
  <c r="D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C151" i="1"/>
  <c r="D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E152" i="1"/>
  <c r="C152" i="1"/>
  <c r="D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C153" i="1"/>
  <c r="D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E154" i="1"/>
  <c r="C154" i="1"/>
  <c r="D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C155" i="1"/>
  <c r="D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E156" i="1"/>
  <c r="C156" i="1"/>
  <c r="D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E157" i="1"/>
  <c r="C157" i="1"/>
  <c r="D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E158" i="1"/>
  <c r="C158" i="1"/>
  <c r="D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C159" i="1"/>
  <c r="D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E160" i="1"/>
  <c r="C160" i="1"/>
  <c r="D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E161" i="1"/>
  <c r="C161" i="1"/>
  <c r="D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C162" i="1"/>
  <c r="D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C163" i="1"/>
  <c r="D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E164" i="1"/>
  <c r="C164" i="1"/>
  <c r="D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E165" i="1"/>
  <c r="C165" i="1"/>
  <c r="D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C166" i="1"/>
  <c r="D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C167" i="1"/>
  <c r="D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E168" i="1"/>
  <c r="C168" i="1"/>
  <c r="D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E169" i="1"/>
  <c r="C169" i="1"/>
  <c r="D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E170" i="1"/>
  <c r="C170" i="1"/>
  <c r="D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C171" i="1"/>
  <c r="D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E172" i="1"/>
  <c r="C172" i="1"/>
  <c r="D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E173" i="1"/>
  <c r="C173" i="1"/>
  <c r="D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C174" i="1"/>
  <c r="D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E175" i="1"/>
  <c r="C175" i="1"/>
  <c r="D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E176" i="1"/>
  <c r="C176" i="1"/>
  <c r="D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E177" i="1"/>
  <c r="C177" i="1"/>
  <c r="D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C178" i="1"/>
  <c r="D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E179" i="1"/>
  <c r="C179" i="1"/>
  <c r="D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E180" i="1"/>
  <c r="C180" i="1"/>
  <c r="D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E181" i="1"/>
  <c r="C181" i="1"/>
  <c r="D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C182" i="1"/>
  <c r="D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E183" i="1"/>
  <c r="C183" i="1"/>
  <c r="D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E184" i="1"/>
  <c r="C184" i="1"/>
  <c r="D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E185" i="1"/>
  <c r="C185" i="1"/>
  <c r="D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C186" i="1"/>
  <c r="D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E187" i="1"/>
  <c r="C187" i="1"/>
  <c r="D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E188" i="1"/>
  <c r="C188" i="1"/>
  <c r="D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E189" i="1"/>
  <c r="C189" i="1"/>
  <c r="D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C190" i="1"/>
  <c r="D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E191" i="1"/>
  <c r="C191" i="1"/>
  <c r="D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E192" i="1"/>
  <c r="C192" i="1"/>
  <c r="D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E193" i="1"/>
  <c r="C193" i="1"/>
  <c r="D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C194" i="1"/>
  <c r="D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E195" i="1"/>
  <c r="C195" i="1"/>
  <c r="D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E196" i="1"/>
  <c r="C196" i="1"/>
  <c r="D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E197" i="1"/>
  <c r="C197" i="1"/>
  <c r="D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C198" i="1"/>
  <c r="D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E199" i="1"/>
  <c r="C199" i="1"/>
  <c r="D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E200" i="1"/>
  <c r="C200" i="1"/>
  <c r="D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E201" i="1"/>
  <c r="C201" i="1"/>
  <c r="D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C202" i="1"/>
  <c r="D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E203" i="1"/>
  <c r="C203" i="1"/>
  <c r="D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E204" i="1"/>
  <c r="C204" i="1"/>
  <c r="D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E205" i="1"/>
  <c r="C205" i="1"/>
  <c r="D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C206" i="1"/>
  <c r="D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E207" i="1"/>
  <c r="C207" i="1"/>
  <c r="D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E208" i="1"/>
  <c r="C208" i="1"/>
  <c r="D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E209" i="1"/>
  <c r="C209" i="1"/>
  <c r="D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C210" i="1"/>
  <c r="D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E211" i="1"/>
  <c r="C211" i="1"/>
  <c r="D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E212" i="1"/>
  <c r="C212" i="1"/>
  <c r="D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E213" i="1"/>
  <c r="C213" i="1"/>
  <c r="D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C214" i="1"/>
  <c r="D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E215" i="1"/>
  <c r="C215" i="1"/>
  <c r="D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E216" i="1"/>
  <c r="C216" i="1"/>
  <c r="D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C217" i="1"/>
  <c r="D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C218" i="1"/>
  <c r="D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C219" i="1"/>
  <c r="D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E220" i="1"/>
  <c r="C220" i="1"/>
  <c r="D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E221" i="1"/>
  <c r="C221" i="1"/>
  <c r="D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E222" i="1"/>
  <c r="C222" i="1"/>
  <c r="D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C223" i="1"/>
  <c r="D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E224" i="1"/>
  <c r="C224" i="1"/>
  <c r="D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E225" i="1"/>
  <c r="C225" i="1"/>
  <c r="D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E226" i="1"/>
  <c r="C226" i="1"/>
  <c r="D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C227" i="1"/>
  <c r="D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E228" i="1"/>
  <c r="C228" i="1"/>
  <c r="D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E229" i="1"/>
  <c r="C229" i="1"/>
  <c r="D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C230" i="1"/>
  <c r="D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C231" i="1"/>
  <c r="D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E232" i="1"/>
  <c r="C232" i="1"/>
  <c r="D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E233" i="1"/>
  <c r="C233" i="1"/>
  <c r="D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C234" i="1"/>
  <c r="D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C235" i="1"/>
  <c r="D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E236" i="1"/>
  <c r="C236" i="1"/>
  <c r="D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E237" i="1"/>
  <c r="C237" i="1"/>
  <c r="D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C238" i="1"/>
  <c r="D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C239" i="1"/>
  <c r="D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E240" i="1"/>
  <c r="C240" i="1"/>
  <c r="D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E241" i="1"/>
  <c r="C241" i="1"/>
  <c r="D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C242" i="1"/>
  <c r="D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C243" i="1"/>
  <c r="D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E244" i="1"/>
  <c r="C244" i="1"/>
  <c r="D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E245" i="1"/>
  <c r="C245" i="1"/>
  <c r="D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C246" i="1"/>
  <c r="D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C247" i="1"/>
  <c r="D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E248" i="1"/>
  <c r="C248" i="1"/>
  <c r="D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E249" i="1"/>
  <c r="C249" i="1"/>
  <c r="D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E250" i="1"/>
  <c r="C250" i="1"/>
  <c r="D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C251" i="1"/>
  <c r="D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E252" i="1"/>
  <c r="C252" i="1"/>
  <c r="D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E253" i="1"/>
  <c r="C253" i="1"/>
  <c r="D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E254" i="1"/>
  <c r="C254" i="1"/>
  <c r="D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C255" i="1"/>
  <c r="D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E256" i="1"/>
  <c r="C256" i="1"/>
  <c r="D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E257" i="1"/>
  <c r="C257" i="1"/>
  <c r="D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C258" i="1"/>
  <c r="D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C259" i="1"/>
  <c r="D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E260" i="1"/>
  <c r="C260" i="1"/>
  <c r="D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E261" i="1"/>
  <c r="C261" i="1"/>
  <c r="D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C262" i="1"/>
  <c r="D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C263" i="1"/>
  <c r="D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E264" i="1"/>
  <c r="C264" i="1"/>
  <c r="D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E265" i="1"/>
  <c r="C265" i="1"/>
  <c r="D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E266" i="1"/>
  <c r="C266" i="1"/>
  <c r="D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C267" i="1"/>
  <c r="D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E268" i="1"/>
  <c r="C268" i="1"/>
  <c r="D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E269" i="1"/>
  <c r="C269" i="1"/>
  <c r="D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E270" i="1"/>
  <c r="C270" i="1"/>
  <c r="D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C271" i="1"/>
  <c r="D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E272" i="1"/>
  <c r="C272" i="1"/>
  <c r="D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E273" i="1"/>
  <c r="C273" i="1"/>
  <c r="D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C274" i="1"/>
  <c r="D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C275" i="1"/>
  <c r="D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E276" i="1"/>
  <c r="C276" i="1"/>
  <c r="D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E277" i="1"/>
  <c r="C277" i="1"/>
  <c r="D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C278" i="1"/>
  <c r="D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C279" i="1"/>
  <c r="D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E280" i="1"/>
  <c r="C280" i="1"/>
  <c r="D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C281" i="1"/>
  <c r="D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E282" i="1"/>
  <c r="C282" i="1"/>
  <c r="D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C283" i="1"/>
  <c r="D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E284" i="1"/>
  <c r="C284" i="1"/>
  <c r="D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E285" i="1"/>
  <c r="C285" i="1"/>
  <c r="D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C286" i="1"/>
  <c r="D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C287" i="1"/>
  <c r="D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E288" i="1"/>
  <c r="C288" i="1"/>
  <c r="D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E289" i="1"/>
  <c r="C289" i="1"/>
  <c r="D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C290" i="1"/>
  <c r="D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C291" i="1"/>
  <c r="D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E292" i="1"/>
  <c r="C292" i="1"/>
  <c r="D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E293" i="1"/>
  <c r="C293" i="1"/>
  <c r="D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E294" i="1"/>
  <c r="C294" i="1"/>
  <c r="D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C295" i="1"/>
  <c r="D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E296" i="1"/>
  <c r="C296" i="1"/>
  <c r="D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E297" i="1"/>
  <c r="C297" i="1"/>
  <c r="D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E298" i="1"/>
  <c r="C298" i="1"/>
  <c r="D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C299" i="1"/>
  <c r="D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E300" i="1"/>
  <c r="C300" i="1"/>
  <c r="D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E301" i="1"/>
  <c r="C301" i="1"/>
  <c r="D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C302" i="1"/>
  <c r="D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C303" i="1"/>
  <c r="D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E304" i="1"/>
  <c r="C304" i="1"/>
  <c r="D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E305" i="1"/>
  <c r="C305" i="1"/>
  <c r="D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E306" i="1"/>
  <c r="C306" i="1"/>
  <c r="D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C307" i="1"/>
  <c r="D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E308" i="1"/>
  <c r="C308" i="1"/>
  <c r="D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E309" i="1"/>
  <c r="C309" i="1"/>
  <c r="D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E310" i="1"/>
  <c r="C310" i="1"/>
  <c r="D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C311" i="1"/>
  <c r="D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E312" i="1"/>
  <c r="C312" i="1"/>
  <c r="D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E313" i="1"/>
  <c r="C313" i="1"/>
  <c r="D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C314" i="1"/>
  <c r="D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C315" i="1"/>
  <c r="D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E316" i="1"/>
  <c r="C316" i="1"/>
  <c r="D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E317" i="1"/>
  <c r="C317" i="1"/>
  <c r="D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C318" i="1"/>
  <c r="D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C319" i="1"/>
  <c r="D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E320" i="1"/>
  <c r="C320" i="1"/>
  <c r="D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E321" i="1"/>
  <c r="C321" i="1"/>
  <c r="D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E322" i="1"/>
  <c r="C322" i="1"/>
  <c r="D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C323" i="1"/>
  <c r="D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E324" i="1"/>
  <c r="C324" i="1"/>
  <c r="D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E325" i="1"/>
  <c r="C325" i="1"/>
  <c r="D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E326" i="1"/>
  <c r="C326" i="1"/>
  <c r="D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C327" i="1"/>
  <c r="D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E328" i="1"/>
  <c r="C328" i="1"/>
  <c r="D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E329" i="1"/>
  <c r="C329" i="1"/>
  <c r="D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C330" i="1"/>
  <c r="D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C331" i="1"/>
  <c r="D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E332" i="1"/>
  <c r="C332" i="1"/>
  <c r="D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E333" i="1"/>
  <c r="C333" i="1"/>
  <c r="D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C334" i="1"/>
  <c r="D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C335" i="1"/>
  <c r="D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E336" i="1"/>
  <c r="C336" i="1"/>
  <c r="D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E337" i="1"/>
  <c r="C337" i="1"/>
  <c r="D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E338" i="1"/>
  <c r="C338" i="1"/>
  <c r="D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C339" i="1"/>
  <c r="D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E340" i="1"/>
  <c r="C340" i="1"/>
  <c r="D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E341" i="1"/>
  <c r="C341" i="1"/>
  <c r="D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E342" i="1"/>
  <c r="C342" i="1"/>
  <c r="D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C343" i="1"/>
  <c r="D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C344" i="1"/>
  <c r="D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E345" i="1"/>
  <c r="C345" i="1"/>
  <c r="D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C346" i="1"/>
  <c r="D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C347" i="1"/>
  <c r="D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E348" i="1"/>
  <c r="C348" i="1"/>
  <c r="D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E349" i="1"/>
  <c r="C349" i="1"/>
  <c r="D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E350" i="1"/>
  <c r="C350" i="1"/>
  <c r="D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C351" i="1"/>
  <c r="D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E352" i="1"/>
  <c r="C352" i="1"/>
  <c r="D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E353" i="1"/>
  <c r="C353" i="1"/>
  <c r="D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E354" i="1"/>
  <c r="C354" i="1"/>
  <c r="D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C355" i="1"/>
  <c r="D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E356" i="1"/>
  <c r="C356" i="1"/>
  <c r="D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E357" i="1"/>
  <c r="C357" i="1"/>
  <c r="D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C358" i="1"/>
  <c r="D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C359" i="1"/>
  <c r="D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E360" i="1"/>
  <c r="C360" i="1"/>
  <c r="D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E361" i="1"/>
  <c r="C361" i="1"/>
  <c r="D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C362" i="1"/>
  <c r="D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C363" i="1"/>
  <c r="D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E364" i="1"/>
  <c r="C364" i="1"/>
  <c r="D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E365" i="1"/>
  <c r="C365" i="1"/>
  <c r="D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E366" i="1"/>
  <c r="C366" i="1"/>
  <c r="D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C367" i="1"/>
  <c r="D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E368" i="1"/>
  <c r="C368" i="1"/>
  <c r="D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E369" i="1"/>
  <c r="C369" i="1"/>
  <c r="D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E370" i="1"/>
  <c r="C370" i="1"/>
  <c r="D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C371" i="1"/>
  <c r="D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E372" i="1"/>
  <c r="C372" i="1"/>
  <c r="D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E373" i="1"/>
  <c r="C373" i="1"/>
  <c r="D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C374" i="1"/>
  <c r="D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C375" i="1"/>
  <c r="D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E376" i="1"/>
  <c r="C376" i="1"/>
  <c r="D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E377" i="1"/>
  <c r="C377" i="1"/>
  <c r="D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C378" i="1"/>
  <c r="D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C379" i="1"/>
  <c r="D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E380" i="1"/>
  <c r="C380" i="1"/>
  <c r="D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E381" i="1"/>
  <c r="C381" i="1"/>
  <c r="D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E382" i="1"/>
  <c r="C382" i="1"/>
  <c r="D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C383" i="1"/>
  <c r="D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E384" i="1"/>
  <c r="C384" i="1"/>
  <c r="D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E385" i="1"/>
  <c r="C385" i="1"/>
  <c r="D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E386" i="1"/>
  <c r="C386" i="1"/>
  <c r="D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C387" i="1"/>
  <c r="D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E388" i="1"/>
  <c r="C388" i="1"/>
  <c r="D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E389" i="1"/>
  <c r="C389" i="1"/>
  <c r="D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C390" i="1"/>
  <c r="D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C391" i="1"/>
  <c r="D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E392" i="1"/>
  <c r="C392" i="1"/>
  <c r="D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E393" i="1"/>
  <c r="C393" i="1"/>
  <c r="D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C394" i="1"/>
  <c r="D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C395" i="1"/>
  <c r="D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E396" i="1"/>
  <c r="C396" i="1"/>
  <c r="D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E397" i="1"/>
  <c r="C397" i="1"/>
  <c r="D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E398" i="1"/>
  <c r="C398" i="1"/>
  <c r="D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C399" i="1"/>
  <c r="D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E400" i="1"/>
  <c r="C400" i="1"/>
  <c r="D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E401" i="1"/>
  <c r="C401" i="1"/>
  <c r="D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E402" i="1"/>
  <c r="C402" i="1"/>
  <c r="D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C403" i="1"/>
  <c r="D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E404" i="1"/>
  <c r="C404" i="1"/>
  <c r="D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E405" i="1"/>
  <c r="C405" i="1"/>
  <c r="D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C406" i="1"/>
  <c r="D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C407" i="1"/>
  <c r="D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E408" i="1"/>
  <c r="C408" i="1"/>
  <c r="D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E409" i="1"/>
  <c r="C409" i="1"/>
  <c r="D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C410" i="1"/>
  <c r="D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C411" i="1"/>
  <c r="D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E412" i="1"/>
  <c r="C412" i="1"/>
  <c r="D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E413" i="1"/>
  <c r="C413" i="1"/>
  <c r="D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E414" i="1"/>
  <c r="C414" i="1"/>
  <c r="D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C415" i="1"/>
  <c r="D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E416" i="1"/>
  <c r="C416" i="1"/>
  <c r="D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E417" i="1"/>
  <c r="C417" i="1"/>
  <c r="D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E418" i="1"/>
  <c r="C418" i="1"/>
  <c r="D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C419" i="1"/>
  <c r="D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E420" i="1"/>
  <c r="C420" i="1"/>
  <c r="D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E421" i="1"/>
  <c r="C421" i="1"/>
  <c r="D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C422" i="1"/>
  <c r="D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C423" i="1"/>
  <c r="D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E424" i="1"/>
  <c r="C424" i="1"/>
  <c r="D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E425" i="1"/>
  <c r="C425" i="1"/>
  <c r="D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C426" i="1"/>
  <c r="D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C427" i="1"/>
  <c r="D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E428" i="1"/>
  <c r="C428" i="1"/>
  <c r="D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E429" i="1"/>
  <c r="C429" i="1"/>
  <c r="D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E430" i="1"/>
  <c r="C430" i="1"/>
  <c r="D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C431" i="1"/>
  <c r="D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C432" i="1"/>
  <c r="D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E433" i="1"/>
  <c r="C433" i="1"/>
  <c r="D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C434" i="1"/>
  <c r="D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C435" i="1"/>
  <c r="D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E436" i="1"/>
  <c r="C436" i="1"/>
  <c r="D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C437" i="1"/>
  <c r="D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E438" i="1"/>
  <c r="C438" i="1"/>
  <c r="D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C439" i="1"/>
  <c r="D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E440" i="1"/>
  <c r="C440" i="1"/>
  <c r="D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C441" i="1"/>
  <c r="D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C442" i="1"/>
  <c r="D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C443" i="1"/>
  <c r="D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E444" i="1"/>
  <c r="C444" i="1"/>
  <c r="D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C445" i="1"/>
  <c r="D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E446" i="1"/>
  <c r="C446" i="1"/>
  <c r="D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C447" i="1"/>
  <c r="D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E448" i="1"/>
  <c r="C448" i="1"/>
  <c r="D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C449" i="1"/>
  <c r="D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C450" i="1"/>
  <c r="D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C451" i="1"/>
  <c r="D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E452" i="1"/>
  <c r="C452" i="1"/>
  <c r="D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C453" i="1"/>
  <c r="D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E454" i="1"/>
  <c r="C454" i="1"/>
  <c r="D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C455" i="1"/>
  <c r="D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E456" i="1"/>
  <c r="C456" i="1"/>
  <c r="D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C457" i="1"/>
  <c r="D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C458" i="1"/>
  <c r="D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E459" i="1"/>
  <c r="C459" i="1"/>
  <c r="D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E460" i="1"/>
  <c r="C460" i="1"/>
  <c r="D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C461" i="1"/>
  <c r="D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C462" i="1"/>
  <c r="D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C463" i="1"/>
  <c r="D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E464" i="1"/>
  <c r="C464" i="1"/>
  <c r="D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C465" i="1"/>
  <c r="D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E466" i="1"/>
  <c r="C466" i="1"/>
  <c r="D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C467" i="1"/>
  <c r="D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E468" i="1"/>
  <c r="C468" i="1"/>
  <c r="D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C469" i="1"/>
  <c r="D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C470" i="1"/>
  <c r="D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C471" i="1"/>
  <c r="D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E472" i="1"/>
  <c r="C472" i="1"/>
  <c r="D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C473" i="1"/>
  <c r="D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E474" i="1"/>
  <c r="C474" i="1"/>
  <c r="D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C475" i="1"/>
  <c r="D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E476" i="1"/>
  <c r="C476" i="1"/>
  <c r="D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C477" i="1"/>
  <c r="D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C478" i="1"/>
  <c r="D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C479" i="1"/>
  <c r="D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E480" i="1"/>
  <c r="C480" i="1"/>
  <c r="D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C481" i="1"/>
  <c r="D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E482" i="1"/>
  <c r="C482" i="1"/>
  <c r="D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C483" i="1"/>
  <c r="D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E484" i="1"/>
  <c r="C484" i="1"/>
  <c r="D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C485" i="1"/>
  <c r="D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C486" i="1"/>
  <c r="D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C487" i="1"/>
  <c r="D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E488" i="1"/>
  <c r="C488" i="1"/>
  <c r="D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C489" i="1"/>
  <c r="D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E490" i="1"/>
  <c r="C490" i="1"/>
  <c r="D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C491" i="1"/>
  <c r="D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E492" i="1"/>
  <c r="C492" i="1"/>
  <c r="D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C493" i="1"/>
  <c r="D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C494" i="1"/>
  <c r="D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C495" i="1"/>
  <c r="D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E496" i="1"/>
  <c r="C496" i="1"/>
  <c r="D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C497" i="1"/>
  <c r="D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E498" i="1"/>
  <c r="C498" i="1"/>
  <c r="D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C499" i="1"/>
  <c r="D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E500" i="1"/>
  <c r="C500" i="1"/>
  <c r="D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C501" i="1"/>
  <c r="D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C502" i="1"/>
  <c r="D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C503" i="1"/>
  <c r="D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E504" i="1"/>
  <c r="C504" i="1"/>
  <c r="D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C505" i="1"/>
  <c r="D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E506" i="1"/>
  <c r="C506" i="1"/>
  <c r="D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C507" i="1"/>
  <c r="D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E508" i="1"/>
  <c r="C508" i="1"/>
  <c r="D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C509" i="1"/>
  <c r="D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C510" i="1"/>
  <c r="D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C511" i="1"/>
  <c r="D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E512" i="1"/>
  <c r="C512" i="1"/>
  <c r="D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C513" i="1"/>
  <c r="D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E514" i="1"/>
  <c r="C514" i="1"/>
  <c r="D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C515" i="1"/>
  <c r="D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E516" i="1"/>
  <c r="C516" i="1"/>
  <c r="D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C517" i="1"/>
  <c r="D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C518" i="1"/>
  <c r="D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C519" i="1"/>
  <c r="D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E520" i="1"/>
  <c r="C520" i="1"/>
  <c r="D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C521" i="1"/>
  <c r="D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E522" i="1"/>
  <c r="C522" i="1"/>
  <c r="D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E523" i="1"/>
  <c r="C523" i="1"/>
  <c r="D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E524" i="1"/>
  <c r="C524" i="1"/>
  <c r="D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C525" i="1"/>
  <c r="D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C526" i="1"/>
  <c r="D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C527" i="1"/>
  <c r="D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E528" i="1"/>
  <c r="C528" i="1"/>
  <c r="D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C529" i="1"/>
  <c r="D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E530" i="1"/>
  <c r="C530" i="1"/>
  <c r="D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C531" i="1"/>
  <c r="D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E532" i="1"/>
  <c r="C532" i="1"/>
  <c r="D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C533" i="1"/>
  <c r="D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C534" i="1"/>
  <c r="D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C535" i="1"/>
  <c r="D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E536" i="1"/>
  <c r="C536" i="1"/>
  <c r="D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C537" i="1"/>
  <c r="D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E538" i="1"/>
  <c r="C538" i="1"/>
  <c r="D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C539" i="1"/>
  <c r="D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E540" i="1"/>
  <c r="C540" i="1"/>
  <c r="D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C541" i="1"/>
  <c r="D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C542" i="1"/>
  <c r="D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C543" i="1"/>
  <c r="D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E544" i="1"/>
  <c r="C544" i="1"/>
  <c r="D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C545" i="1"/>
  <c r="D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E546" i="1"/>
  <c r="C546" i="1"/>
  <c r="D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C547" i="1"/>
  <c r="D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E548" i="1"/>
  <c r="C548" i="1"/>
  <c r="D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C549" i="1"/>
  <c r="D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C550" i="1"/>
  <c r="D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C551" i="1"/>
  <c r="D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E552" i="1"/>
  <c r="C552" i="1"/>
  <c r="D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C553" i="1"/>
  <c r="D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E554" i="1"/>
  <c r="C554" i="1"/>
  <c r="D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C555" i="1"/>
  <c r="D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E556" i="1"/>
  <c r="C556" i="1"/>
  <c r="D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C557" i="1"/>
  <c r="D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C558" i="1"/>
  <c r="D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C559" i="1"/>
  <c r="D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E560" i="1"/>
  <c r="C560" i="1"/>
  <c r="D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C561" i="1"/>
  <c r="D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E562" i="1"/>
  <c r="C562" i="1"/>
  <c r="D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C563" i="1"/>
  <c r="D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E564" i="1"/>
  <c r="C564" i="1"/>
  <c r="D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C565" i="1"/>
  <c r="D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C566" i="1"/>
  <c r="D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C567" i="1"/>
  <c r="D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E568" i="1"/>
  <c r="C568" i="1"/>
  <c r="D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C569" i="1"/>
  <c r="D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E570" i="1"/>
  <c r="C570" i="1"/>
  <c r="D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C571" i="1"/>
  <c r="D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E572" i="1"/>
  <c r="C572" i="1"/>
  <c r="D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C573" i="1"/>
  <c r="D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C574" i="1"/>
  <c r="D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C575" i="1"/>
  <c r="D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E576" i="1"/>
  <c r="C576" i="1"/>
  <c r="D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C577" i="1"/>
  <c r="D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E578" i="1"/>
  <c r="C578" i="1"/>
  <c r="D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C579" i="1"/>
  <c r="D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E580" i="1"/>
  <c r="C580" i="1"/>
  <c r="D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C581" i="1"/>
  <c r="D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C582" i="1"/>
  <c r="D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C583" i="1"/>
  <c r="D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E584" i="1"/>
  <c r="C584" i="1"/>
  <c r="D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C585" i="1"/>
  <c r="D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E586" i="1"/>
  <c r="C586" i="1"/>
  <c r="D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E587" i="1"/>
  <c r="C587" i="1"/>
  <c r="D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E588" i="1"/>
  <c r="C588" i="1"/>
  <c r="D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C589" i="1"/>
  <c r="D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E590" i="1"/>
  <c r="C590" i="1"/>
  <c r="D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C591" i="1"/>
  <c r="D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E592" i="1"/>
  <c r="C592" i="1"/>
  <c r="D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C593" i="1"/>
  <c r="D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C594" i="1"/>
  <c r="D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C595" i="1"/>
  <c r="D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E596" i="1"/>
  <c r="C596" i="1"/>
  <c r="D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C597" i="1"/>
  <c r="D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E598" i="1"/>
  <c r="C598" i="1"/>
  <c r="D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C599" i="1"/>
  <c r="D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E600" i="1"/>
  <c r="C600" i="1"/>
  <c r="D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C601" i="1"/>
  <c r="D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C602" i="1"/>
  <c r="D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C603" i="1"/>
  <c r="D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E604" i="1"/>
  <c r="C604" i="1"/>
  <c r="D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C605" i="1"/>
  <c r="D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E606" i="1"/>
  <c r="C606" i="1"/>
  <c r="D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C607" i="1"/>
  <c r="D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E608" i="1"/>
  <c r="C608" i="1"/>
  <c r="D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C609" i="1"/>
  <c r="D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C610" i="1"/>
  <c r="D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C611" i="1"/>
  <c r="D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E612" i="1"/>
  <c r="C612" i="1"/>
  <c r="D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C613" i="1"/>
  <c r="D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E614" i="1"/>
  <c r="C614" i="1"/>
  <c r="D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C615" i="1"/>
  <c r="D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E616" i="1"/>
  <c r="C616" i="1"/>
  <c r="D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C617" i="1"/>
  <c r="D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C618" i="1"/>
  <c r="D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C619" i="1"/>
  <c r="D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E620" i="1"/>
  <c r="C620" i="1"/>
  <c r="D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C621" i="1"/>
  <c r="D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E622" i="1"/>
  <c r="C622" i="1"/>
  <c r="D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C623" i="1"/>
  <c r="D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E624" i="1"/>
  <c r="C624" i="1"/>
  <c r="D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C625" i="1"/>
  <c r="D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C626" i="1"/>
  <c r="D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C627" i="1"/>
  <c r="D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E628" i="1"/>
  <c r="C628" i="1"/>
  <c r="D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C629" i="1"/>
  <c r="D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E630" i="1"/>
  <c r="C630" i="1"/>
  <c r="D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C631" i="1"/>
  <c r="D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E632" i="1"/>
  <c r="C632" i="1"/>
  <c r="D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C633" i="1"/>
  <c r="D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C634" i="1"/>
  <c r="D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C635" i="1"/>
  <c r="D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E636" i="1"/>
  <c r="C636" i="1"/>
  <c r="D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C637" i="1"/>
  <c r="D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E638" i="1"/>
  <c r="C638" i="1"/>
  <c r="D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C639" i="1"/>
  <c r="D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E640" i="1"/>
  <c r="C640" i="1"/>
  <c r="D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C641" i="1"/>
  <c r="D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C642" i="1"/>
  <c r="D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C643" i="1"/>
  <c r="D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E644" i="1"/>
  <c r="C644" i="1"/>
  <c r="D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C645" i="1"/>
  <c r="D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E646" i="1"/>
  <c r="C646" i="1"/>
  <c r="D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C647" i="1"/>
  <c r="D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E648" i="1"/>
  <c r="C648" i="1"/>
  <c r="D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C649" i="1"/>
  <c r="D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C650" i="1"/>
  <c r="D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E651" i="1"/>
  <c r="C651" i="1"/>
  <c r="D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E652" i="1"/>
  <c r="C652" i="1"/>
  <c r="D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C653" i="1"/>
  <c r="D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E654" i="1"/>
  <c r="C654" i="1"/>
  <c r="D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C655" i="1"/>
  <c r="D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E656" i="1"/>
  <c r="C656" i="1"/>
  <c r="D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C657" i="1"/>
  <c r="D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C658" i="1"/>
  <c r="D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C659" i="1"/>
  <c r="D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E660" i="1"/>
  <c r="C660" i="1"/>
  <c r="D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C661" i="1"/>
  <c r="D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E662" i="1"/>
  <c r="C662" i="1"/>
  <c r="D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C663" i="1"/>
  <c r="D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E664" i="1"/>
  <c r="C664" i="1"/>
  <c r="D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C665" i="1"/>
  <c r="D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C666" i="1"/>
  <c r="D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C667" i="1"/>
  <c r="D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E668" i="1"/>
  <c r="C668" i="1"/>
  <c r="D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C669" i="1"/>
  <c r="D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E670" i="1"/>
  <c r="C670" i="1"/>
  <c r="D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C671" i="1"/>
  <c r="D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E672" i="1"/>
  <c r="C672" i="1"/>
  <c r="D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C673" i="1"/>
  <c r="D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C674" i="1"/>
  <c r="D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C675" i="1"/>
  <c r="D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E676" i="1"/>
  <c r="C676" i="1"/>
  <c r="D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C677" i="1"/>
  <c r="D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E678" i="1"/>
  <c r="C678" i="1"/>
  <c r="D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C679" i="1"/>
  <c r="D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E680" i="1"/>
  <c r="C680" i="1"/>
  <c r="D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C681" i="1"/>
  <c r="D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C682" i="1"/>
  <c r="D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C683" i="1"/>
  <c r="D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E684" i="1"/>
  <c r="C684" i="1"/>
  <c r="D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C685" i="1"/>
  <c r="D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E686" i="1"/>
  <c r="C686" i="1"/>
  <c r="D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C687" i="1"/>
  <c r="D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E688" i="1"/>
  <c r="C688" i="1"/>
  <c r="D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C689" i="1"/>
  <c r="D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C690" i="1"/>
  <c r="D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C691" i="1"/>
  <c r="D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E692" i="1"/>
  <c r="C692" i="1"/>
  <c r="D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C693" i="1"/>
  <c r="D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E694" i="1"/>
  <c r="C694" i="1"/>
  <c r="D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C695" i="1"/>
  <c r="D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E696" i="1"/>
  <c r="C696" i="1"/>
  <c r="D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C697" i="1"/>
  <c r="D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C698" i="1"/>
  <c r="D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C699" i="1"/>
  <c r="D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E700" i="1"/>
  <c r="C700" i="1"/>
  <c r="D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C701" i="1"/>
  <c r="D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E702" i="1"/>
  <c r="C702" i="1"/>
  <c r="D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C703" i="1"/>
  <c r="D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E704" i="1"/>
  <c r="C704" i="1"/>
  <c r="D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C705" i="1"/>
  <c r="D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C706" i="1"/>
  <c r="D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C707" i="1"/>
  <c r="D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E708" i="1"/>
  <c r="C708" i="1"/>
  <c r="D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C709" i="1"/>
  <c r="D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E710" i="1"/>
  <c r="C710" i="1"/>
  <c r="D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C711" i="1"/>
  <c r="D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E712" i="1"/>
  <c r="C712" i="1"/>
  <c r="D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C713" i="1"/>
  <c r="D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C714" i="1"/>
  <c r="D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E715" i="1"/>
  <c r="C715" i="1"/>
  <c r="D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E716" i="1"/>
  <c r="C716" i="1"/>
  <c r="D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C717" i="1"/>
  <c r="D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C718" i="1"/>
  <c r="D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C719" i="1"/>
  <c r="D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E720" i="1"/>
  <c r="C720" i="1"/>
  <c r="D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C721" i="1"/>
  <c r="D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E722" i="1"/>
  <c r="C722" i="1"/>
  <c r="D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C723" i="1"/>
  <c r="D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E724" i="1"/>
  <c r="C724" i="1"/>
  <c r="D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C725" i="1"/>
  <c r="D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C726" i="1"/>
  <c r="D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C727" i="1"/>
  <c r="D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E728" i="1"/>
  <c r="C728" i="1"/>
  <c r="D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C729" i="1"/>
  <c r="D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E730" i="1"/>
  <c r="C730" i="1"/>
  <c r="D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C731" i="1"/>
  <c r="D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E732" i="1"/>
  <c r="C732" i="1"/>
  <c r="D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C733" i="1"/>
  <c r="D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C734" i="1"/>
  <c r="D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C735" i="1"/>
  <c r="D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E736" i="1"/>
  <c r="C736" i="1"/>
  <c r="D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C737" i="1"/>
  <c r="D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E738" i="1"/>
  <c r="C738" i="1"/>
  <c r="D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C739" i="1"/>
  <c r="D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E740" i="1"/>
  <c r="C740" i="1"/>
  <c r="D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C741" i="1"/>
  <c r="D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C742" i="1"/>
  <c r="D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C743" i="1"/>
  <c r="D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E744" i="1"/>
  <c r="C744" i="1"/>
  <c r="D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C745" i="1"/>
  <c r="D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E746" i="1"/>
  <c r="C746" i="1"/>
  <c r="D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C747" i="1"/>
  <c r="D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C748" i="1"/>
  <c r="D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C749" i="1"/>
  <c r="D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C750" i="1"/>
  <c r="D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C751" i="1"/>
  <c r="D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C752" i="1"/>
  <c r="D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C753" i="1"/>
  <c r="D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C754" i="1"/>
  <c r="D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C755" i="1"/>
  <c r="D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C756" i="1"/>
  <c r="D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C757" i="1"/>
  <c r="D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C758" i="1"/>
  <c r="D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C759" i="1"/>
  <c r="D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C760" i="1"/>
  <c r="D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C761" i="1"/>
  <c r="D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C762" i="1"/>
  <c r="D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C763" i="1"/>
  <c r="D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C764" i="1"/>
  <c r="D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C765" i="1"/>
  <c r="D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C766" i="1"/>
  <c r="D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C767" i="1"/>
  <c r="D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C768" i="1"/>
  <c r="D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C769" i="1"/>
  <c r="D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C770" i="1"/>
  <c r="D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C771" i="1"/>
  <c r="D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C772" i="1"/>
  <c r="D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C773" i="1"/>
  <c r="D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C774" i="1"/>
  <c r="D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C775" i="1"/>
  <c r="D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C776" i="1"/>
  <c r="D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C777" i="1"/>
  <c r="D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C778" i="1"/>
  <c r="D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C779" i="1"/>
  <c r="D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C780" i="1"/>
  <c r="D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C781" i="1"/>
  <c r="D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C782" i="1"/>
  <c r="D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C783" i="1"/>
  <c r="D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C784" i="1"/>
  <c r="D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C785" i="1"/>
  <c r="D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C786" i="1"/>
  <c r="D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C787" i="1"/>
  <c r="D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C788" i="1"/>
  <c r="D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C789" i="1"/>
  <c r="D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C790" i="1"/>
  <c r="D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C791" i="1"/>
  <c r="D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C792" i="1"/>
  <c r="D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C793" i="1"/>
  <c r="D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C794" i="1"/>
  <c r="D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C795" i="1"/>
  <c r="D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C796" i="1"/>
  <c r="D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C797" i="1"/>
  <c r="D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C798" i="1"/>
  <c r="D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C799" i="1"/>
  <c r="D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C800" i="1"/>
  <c r="D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C801" i="1"/>
  <c r="D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C802" i="1"/>
  <c r="D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C803" i="1"/>
  <c r="D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C804" i="1"/>
  <c r="D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C805" i="1"/>
  <c r="D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C806" i="1"/>
  <c r="D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C807" i="1"/>
  <c r="D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C808" i="1"/>
  <c r="D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C809" i="1"/>
  <c r="D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C810" i="1"/>
  <c r="D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C811" i="1"/>
  <c r="D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C812" i="1"/>
  <c r="D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C813" i="1"/>
  <c r="D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C814" i="1"/>
  <c r="D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C815" i="1"/>
  <c r="D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C816" i="1"/>
  <c r="D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C817" i="1"/>
  <c r="D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C818" i="1"/>
  <c r="D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C819" i="1"/>
  <c r="D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C820" i="1"/>
  <c r="D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C821" i="1"/>
  <c r="D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C822" i="1"/>
  <c r="D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C823" i="1"/>
  <c r="D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C824" i="1"/>
  <c r="D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C825" i="1"/>
  <c r="D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C826" i="1"/>
  <c r="D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C827" i="1"/>
  <c r="D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C828" i="1"/>
  <c r="D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C829" i="1"/>
  <c r="D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C830" i="1"/>
  <c r="D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C831" i="1"/>
  <c r="D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C832" i="1"/>
  <c r="D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C833" i="1"/>
  <c r="D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C834" i="1"/>
  <c r="D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C835" i="1"/>
  <c r="D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C836" i="1"/>
  <c r="D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C837" i="1"/>
  <c r="D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C838" i="1"/>
  <c r="D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C839" i="1"/>
  <c r="D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C840" i="1"/>
  <c r="D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C841" i="1"/>
  <c r="D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C842" i="1"/>
  <c r="D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C843" i="1"/>
  <c r="D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C844" i="1"/>
  <c r="D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C845" i="1"/>
  <c r="D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C846" i="1"/>
  <c r="D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C847" i="1"/>
  <c r="D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C848" i="1"/>
  <c r="D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C849" i="1"/>
  <c r="D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C850" i="1"/>
  <c r="D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C851" i="1"/>
  <c r="D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C852" i="1"/>
  <c r="D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C853" i="1"/>
  <c r="D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C854" i="1"/>
  <c r="D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C855" i="1"/>
  <c r="D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C856" i="1"/>
  <c r="D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C857" i="1"/>
  <c r="D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C858" i="1"/>
  <c r="D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C859" i="1"/>
  <c r="D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C860" i="1"/>
  <c r="D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C861" i="1"/>
  <c r="D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C862" i="1"/>
  <c r="D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C863" i="1"/>
  <c r="D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C864" i="1"/>
  <c r="D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C865" i="1"/>
  <c r="D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C866" i="1"/>
  <c r="D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C867" i="1"/>
  <c r="D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C868" i="1"/>
  <c r="D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C869" i="1"/>
  <c r="D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C870" i="1"/>
  <c r="D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C871" i="1"/>
  <c r="D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C872" i="1"/>
  <c r="D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C873" i="1"/>
  <c r="D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C874" i="1"/>
  <c r="D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C875" i="1"/>
  <c r="D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C876" i="1"/>
  <c r="D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C877" i="1"/>
  <c r="D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C878" i="1"/>
  <c r="D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C879" i="1"/>
  <c r="D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C880" i="1"/>
  <c r="D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C881" i="1"/>
  <c r="D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C882" i="1"/>
  <c r="D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C883" i="1"/>
  <c r="D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C884" i="1"/>
  <c r="D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C885" i="1"/>
  <c r="D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C886" i="1"/>
  <c r="D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C887" i="1"/>
  <c r="D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C888" i="1"/>
  <c r="D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C889" i="1"/>
  <c r="D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C890" i="1"/>
  <c r="D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C891" i="1"/>
  <c r="D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C892" i="1"/>
  <c r="D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C893" i="1"/>
  <c r="D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C894" i="1"/>
  <c r="D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C895" i="1"/>
  <c r="D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C896" i="1"/>
  <c r="D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C897" i="1"/>
  <c r="D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C898" i="1"/>
  <c r="D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C899" i="1"/>
  <c r="D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C900" i="1"/>
  <c r="D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C901" i="1"/>
  <c r="D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C902" i="1"/>
  <c r="D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C903" i="1"/>
  <c r="D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C904" i="1"/>
  <c r="D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C905" i="1"/>
  <c r="D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C906" i="1"/>
  <c r="D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C907" i="1"/>
  <c r="D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C908" i="1"/>
  <c r="D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C909" i="1"/>
  <c r="D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C910" i="1"/>
  <c r="D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C911" i="1"/>
  <c r="D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C912" i="1"/>
  <c r="D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C913" i="1"/>
  <c r="D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C914" i="1"/>
  <c r="D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C915" i="1"/>
  <c r="D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C916" i="1"/>
  <c r="D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C917" i="1"/>
  <c r="D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C918" i="1"/>
  <c r="D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C919" i="1"/>
  <c r="D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C920" i="1"/>
  <c r="D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C921" i="1"/>
  <c r="D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C922" i="1"/>
  <c r="D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C923" i="1"/>
  <c r="D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C924" i="1"/>
  <c r="D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C925" i="1"/>
  <c r="D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C926" i="1"/>
  <c r="D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C927" i="1"/>
  <c r="D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C928" i="1"/>
  <c r="D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C929" i="1"/>
  <c r="D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C930" i="1"/>
  <c r="D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C931" i="1"/>
  <c r="D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C932" i="1"/>
  <c r="D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C933" i="1"/>
  <c r="D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C934" i="1"/>
  <c r="D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C935" i="1"/>
  <c r="D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C936" i="1"/>
  <c r="D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C937" i="1"/>
  <c r="D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C938" i="1"/>
  <c r="D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C939" i="1"/>
  <c r="D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C940" i="1"/>
  <c r="D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C941" i="1"/>
  <c r="D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C942" i="1"/>
  <c r="D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C943" i="1"/>
  <c r="D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C944" i="1"/>
  <c r="D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C945" i="1"/>
  <c r="D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C946" i="1"/>
  <c r="D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C947" i="1"/>
  <c r="D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C948" i="1"/>
  <c r="D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C949" i="1"/>
  <c r="D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C950" i="1"/>
  <c r="D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C951" i="1"/>
  <c r="D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C952" i="1"/>
  <c r="D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C953" i="1"/>
  <c r="D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C954" i="1"/>
  <c r="D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C955" i="1"/>
  <c r="D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C956" i="1"/>
  <c r="D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C957" i="1"/>
  <c r="D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C958" i="1"/>
  <c r="D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C959" i="1"/>
  <c r="D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C960" i="1"/>
  <c r="D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C961" i="1"/>
  <c r="D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C962" i="1"/>
  <c r="D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C963" i="1"/>
  <c r="D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C964" i="1"/>
  <c r="D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C965" i="1"/>
  <c r="D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C966" i="1"/>
  <c r="D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C967" i="1"/>
  <c r="D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C968" i="1"/>
  <c r="D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C969" i="1"/>
  <c r="D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C970" i="1"/>
  <c r="D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C971" i="1"/>
  <c r="D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C972" i="1"/>
  <c r="D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C973" i="1"/>
  <c r="D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C974" i="1"/>
  <c r="D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C975" i="1"/>
  <c r="D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C976" i="1"/>
  <c r="D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C977" i="1"/>
  <c r="D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C978" i="1"/>
  <c r="D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C979" i="1"/>
  <c r="D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C980" i="1"/>
  <c r="D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C981" i="1"/>
  <c r="D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C982" i="1"/>
  <c r="D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C983" i="1"/>
  <c r="D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C984" i="1"/>
  <c r="D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C985" i="1"/>
  <c r="D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C986" i="1"/>
  <c r="D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C987" i="1"/>
  <c r="D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C988" i="1"/>
  <c r="D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C989" i="1"/>
  <c r="D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C990" i="1"/>
  <c r="D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C991" i="1"/>
  <c r="D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C992" i="1"/>
  <c r="D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C993" i="1"/>
  <c r="D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C994" i="1"/>
  <c r="D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C995" i="1"/>
  <c r="D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C996" i="1"/>
  <c r="D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C997" i="1"/>
  <c r="D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C998" i="1"/>
  <c r="D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C999" i="1"/>
  <c r="D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C1000" i="1"/>
  <c r="D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C1001" i="1"/>
  <c r="D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C1002" i="1"/>
  <c r="D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C1003" i="1"/>
  <c r="D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C1004" i="1"/>
  <c r="D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C1005" i="1"/>
  <c r="D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C1006" i="1"/>
  <c r="D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C1007" i="1"/>
  <c r="D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C1008" i="1"/>
  <c r="D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C1009" i="1"/>
  <c r="D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C1010" i="1"/>
  <c r="D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C1011" i="1"/>
  <c r="D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C1012" i="1"/>
  <c r="D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C1013" i="1"/>
  <c r="D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C1014" i="1"/>
  <c r="D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C1015" i="1"/>
  <c r="D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C1016" i="1"/>
  <c r="D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C1017" i="1"/>
  <c r="D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C1018" i="1"/>
  <c r="D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C1019" i="1"/>
  <c r="D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C1020" i="1"/>
  <c r="D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C1021" i="1"/>
  <c r="D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C1022" i="1"/>
  <c r="D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C1023" i="1"/>
  <c r="D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C1024" i="1"/>
  <c r="D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C1025" i="1"/>
  <c r="D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C1026" i="1"/>
  <c r="D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C1027" i="1"/>
  <c r="D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C1028" i="1"/>
  <c r="D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C1029" i="1"/>
  <c r="D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C1030" i="1"/>
  <c r="D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C1031" i="1"/>
  <c r="D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C1032" i="1"/>
  <c r="D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C1033" i="1"/>
  <c r="D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C1034" i="1"/>
  <c r="D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C1035" i="1"/>
  <c r="D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C1036" i="1"/>
  <c r="D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C1037" i="1"/>
  <c r="D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C1038" i="1"/>
  <c r="D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C1039" i="1"/>
  <c r="D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C1040" i="1"/>
  <c r="D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C1041" i="1"/>
  <c r="D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C1042" i="1"/>
  <c r="D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C1043" i="1"/>
  <c r="D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C1044" i="1"/>
  <c r="D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C1045" i="1"/>
  <c r="D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C1046" i="1"/>
  <c r="D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C1047" i="1"/>
  <c r="D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C1048" i="1"/>
  <c r="D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C1049" i="1"/>
  <c r="D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C1050" i="1"/>
  <c r="D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C1051" i="1"/>
  <c r="D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C1052" i="1"/>
  <c r="D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C1053" i="1"/>
  <c r="D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C1054" i="1"/>
  <c r="D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C1055" i="1"/>
  <c r="D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C1056" i="1"/>
  <c r="D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C1057" i="1"/>
  <c r="D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C1058" i="1"/>
  <c r="D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C1059" i="1"/>
  <c r="D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C1060" i="1"/>
  <c r="D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C1061" i="1"/>
  <c r="D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C1062" i="1"/>
  <c r="D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C1063" i="1"/>
  <c r="D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C1064" i="1"/>
  <c r="D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C1065" i="1"/>
  <c r="D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C1066" i="1"/>
  <c r="D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C1067" i="1"/>
  <c r="D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C1068" i="1"/>
  <c r="D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C1069" i="1"/>
  <c r="D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C1070" i="1"/>
  <c r="D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C1071" i="1"/>
  <c r="D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C1072" i="1"/>
  <c r="D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C1073" i="1"/>
  <c r="D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C1074" i="1"/>
  <c r="D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C1075" i="1"/>
  <c r="D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C1076" i="1"/>
  <c r="D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C1077" i="1"/>
  <c r="D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C1078" i="1"/>
  <c r="D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C1079" i="1"/>
  <c r="D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C1080" i="1"/>
  <c r="D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C1081" i="1"/>
  <c r="D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C1082" i="1"/>
  <c r="D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C1083" i="1"/>
  <c r="D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C1084" i="1"/>
  <c r="D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C1085" i="1"/>
  <c r="D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G158" i="3" l="1"/>
  <c r="H158" i="3"/>
  <c r="I158" i="3"/>
  <c r="J158" i="3"/>
  <c r="K158" i="3"/>
  <c r="L158" i="3"/>
  <c r="G157" i="3"/>
  <c r="H157" i="3"/>
  <c r="I157" i="3"/>
  <c r="J157" i="3"/>
  <c r="K157" i="3"/>
  <c r="L157" i="3"/>
  <c r="G156" i="3"/>
  <c r="H156" i="3"/>
  <c r="I156" i="3"/>
  <c r="J156" i="3"/>
  <c r="K156" i="3"/>
  <c r="L156" i="3"/>
  <c r="G155" i="3"/>
  <c r="H155" i="3"/>
  <c r="I155" i="3"/>
  <c r="J155" i="3"/>
  <c r="K155" i="3"/>
  <c r="L155" i="3"/>
  <c r="G154" i="3"/>
  <c r="H154" i="3"/>
  <c r="I154" i="3"/>
  <c r="J154" i="3"/>
  <c r="K154" i="3"/>
  <c r="L154" i="3"/>
  <c r="G153" i="3"/>
  <c r="H153" i="3"/>
  <c r="I153" i="3"/>
  <c r="J153" i="3"/>
  <c r="K153" i="3"/>
  <c r="L153" i="3"/>
  <c r="G152" i="3"/>
  <c r="H152" i="3"/>
  <c r="I152" i="3"/>
  <c r="J152" i="3"/>
  <c r="K152" i="3"/>
  <c r="L152" i="3"/>
  <c r="G151" i="3"/>
  <c r="H151" i="3"/>
  <c r="I151" i="3"/>
  <c r="J151" i="3"/>
  <c r="K151" i="3"/>
  <c r="L151" i="3"/>
  <c r="G150" i="3"/>
  <c r="H150" i="3"/>
  <c r="I150" i="3"/>
  <c r="J150" i="3"/>
  <c r="K150" i="3"/>
  <c r="L150" i="3"/>
  <c r="G149" i="3"/>
  <c r="H149" i="3"/>
  <c r="I149" i="3"/>
  <c r="J149" i="3"/>
  <c r="K149" i="3"/>
  <c r="L149" i="3"/>
  <c r="G148" i="3"/>
  <c r="H148" i="3"/>
  <c r="I148" i="3"/>
  <c r="J148" i="3"/>
  <c r="K148" i="3"/>
  <c r="L148" i="3"/>
  <c r="G147" i="3"/>
  <c r="H147" i="3"/>
  <c r="I147" i="3"/>
  <c r="J147" i="3"/>
  <c r="K147" i="3"/>
  <c r="L147" i="3"/>
  <c r="G146" i="3"/>
  <c r="H146" i="3"/>
  <c r="I146" i="3"/>
  <c r="J146" i="3"/>
  <c r="K146" i="3"/>
  <c r="L146" i="3"/>
  <c r="G145" i="3"/>
  <c r="H145" i="3"/>
  <c r="I145" i="3"/>
  <c r="J145" i="3"/>
  <c r="K145" i="3"/>
  <c r="L145" i="3"/>
  <c r="G144" i="3"/>
  <c r="H144" i="3"/>
  <c r="I144" i="3"/>
  <c r="J144" i="3"/>
  <c r="K144" i="3"/>
  <c r="L144" i="3"/>
  <c r="G143" i="3"/>
  <c r="H143" i="3"/>
  <c r="I143" i="3"/>
  <c r="J143" i="3"/>
  <c r="K143" i="3"/>
  <c r="L143" i="3"/>
  <c r="G142" i="3"/>
  <c r="H142" i="3"/>
  <c r="I142" i="3"/>
  <c r="J142" i="3"/>
  <c r="K142" i="3"/>
  <c r="L142" i="3"/>
  <c r="G141" i="3"/>
  <c r="H141" i="3"/>
  <c r="I141" i="3"/>
  <c r="J141" i="3"/>
  <c r="K141" i="3"/>
  <c r="L141" i="3"/>
  <c r="G140" i="3"/>
  <c r="H140" i="3"/>
  <c r="I140" i="3"/>
  <c r="J140" i="3"/>
  <c r="K140" i="3"/>
  <c r="L140" i="3"/>
  <c r="G139" i="3"/>
  <c r="H139" i="3"/>
  <c r="I139" i="3"/>
  <c r="J139" i="3"/>
  <c r="K139" i="3"/>
  <c r="L139" i="3"/>
  <c r="G138" i="3"/>
  <c r="H138" i="3"/>
  <c r="I138" i="3"/>
  <c r="J138" i="3"/>
  <c r="K138" i="3"/>
  <c r="L138" i="3"/>
  <c r="G137" i="3"/>
  <c r="H137" i="3"/>
  <c r="I137" i="3"/>
  <c r="J137" i="3"/>
  <c r="K137" i="3"/>
  <c r="L137" i="3"/>
  <c r="G136" i="3"/>
  <c r="H136" i="3"/>
  <c r="I136" i="3"/>
  <c r="J136" i="3"/>
  <c r="K136" i="3"/>
  <c r="L136" i="3"/>
  <c r="G135" i="3"/>
  <c r="H135" i="3"/>
  <c r="I135" i="3"/>
  <c r="J135" i="3"/>
  <c r="K135" i="3"/>
  <c r="L135" i="3"/>
  <c r="G134" i="3"/>
  <c r="H134" i="3"/>
  <c r="I134" i="3"/>
  <c r="J134" i="3"/>
  <c r="K134" i="3"/>
  <c r="L134" i="3"/>
  <c r="G133" i="3"/>
  <c r="H133" i="3"/>
  <c r="I133" i="3"/>
  <c r="J133" i="3"/>
  <c r="K133" i="3"/>
  <c r="L133" i="3"/>
  <c r="G132" i="3"/>
  <c r="H132" i="3"/>
  <c r="I132" i="3"/>
  <c r="J132" i="3"/>
  <c r="K132" i="3"/>
  <c r="L132" i="3"/>
  <c r="G131" i="3"/>
  <c r="H131" i="3"/>
  <c r="I131" i="3"/>
  <c r="J131" i="3"/>
  <c r="K131" i="3"/>
  <c r="L131" i="3"/>
  <c r="G130" i="3"/>
  <c r="H130" i="3"/>
  <c r="I130" i="3"/>
  <c r="J130" i="3"/>
  <c r="K130" i="3"/>
  <c r="L130" i="3"/>
  <c r="G129" i="3"/>
  <c r="H129" i="3"/>
  <c r="I129" i="3"/>
  <c r="J129" i="3"/>
  <c r="K129" i="3"/>
  <c r="L129" i="3"/>
  <c r="G128" i="3"/>
  <c r="H128" i="3"/>
  <c r="I128" i="3"/>
  <c r="J128" i="3"/>
  <c r="K128" i="3"/>
  <c r="L128" i="3"/>
  <c r="G127" i="3"/>
  <c r="H127" i="3"/>
  <c r="I127" i="3"/>
  <c r="J127" i="3"/>
  <c r="K127" i="3"/>
  <c r="L127" i="3"/>
  <c r="G126" i="3"/>
  <c r="H126" i="3"/>
  <c r="I126" i="3"/>
  <c r="J126" i="3"/>
  <c r="K126" i="3"/>
  <c r="L126" i="3"/>
  <c r="G125" i="3"/>
  <c r="H125" i="3"/>
  <c r="I125" i="3"/>
  <c r="J125" i="3"/>
  <c r="K125" i="3"/>
  <c r="L125" i="3"/>
  <c r="G124" i="3"/>
  <c r="H124" i="3"/>
  <c r="I124" i="3"/>
  <c r="J124" i="3"/>
  <c r="K124" i="3"/>
  <c r="L124" i="3"/>
  <c r="G123" i="3"/>
  <c r="H123" i="3"/>
  <c r="I123" i="3"/>
  <c r="J123" i="3"/>
  <c r="K123" i="3"/>
  <c r="L123" i="3"/>
  <c r="G122" i="3"/>
  <c r="H122" i="3"/>
  <c r="I122" i="3"/>
  <c r="J122" i="3"/>
  <c r="K122" i="3"/>
  <c r="L122" i="3"/>
  <c r="G121" i="3"/>
  <c r="H121" i="3"/>
  <c r="I121" i="3"/>
  <c r="J121" i="3"/>
  <c r="K121" i="3"/>
  <c r="L121" i="3"/>
  <c r="G120" i="3"/>
  <c r="H120" i="3"/>
  <c r="I120" i="3"/>
  <c r="J120" i="3"/>
  <c r="K120" i="3"/>
  <c r="L120" i="3"/>
  <c r="G119" i="3"/>
  <c r="H119" i="3"/>
  <c r="I119" i="3"/>
  <c r="J119" i="3"/>
  <c r="K119" i="3"/>
  <c r="L119" i="3"/>
  <c r="G118" i="3"/>
  <c r="H118" i="3"/>
  <c r="I118" i="3"/>
  <c r="J118" i="3"/>
  <c r="K118" i="3"/>
  <c r="L118" i="3"/>
  <c r="G117" i="3"/>
  <c r="H117" i="3"/>
  <c r="I117" i="3"/>
  <c r="J117" i="3"/>
  <c r="K117" i="3"/>
  <c r="L117" i="3"/>
  <c r="G116" i="3"/>
  <c r="H116" i="3"/>
  <c r="I116" i="3"/>
  <c r="J116" i="3"/>
  <c r="K116" i="3"/>
  <c r="L116" i="3"/>
  <c r="G115" i="3"/>
  <c r="H115" i="3"/>
  <c r="I115" i="3"/>
  <c r="J115" i="3"/>
  <c r="K115" i="3"/>
  <c r="L115" i="3"/>
  <c r="F154" i="17"/>
  <c r="F157" i="17"/>
  <c r="F151" i="17"/>
  <c r="F143" i="17"/>
  <c r="F156" i="17"/>
  <c r="F142" i="17"/>
  <c r="F144" i="17"/>
  <c r="F148" i="17"/>
  <c r="F134" i="17"/>
  <c r="F155" i="17"/>
  <c r="F139" i="17"/>
  <c r="F140" i="17"/>
  <c r="F150" i="17"/>
  <c r="F136" i="17"/>
  <c r="F138" i="17"/>
  <c r="F149" i="17"/>
  <c r="F137" i="17"/>
  <c r="F145" i="17"/>
  <c r="F147" i="17"/>
  <c r="F153" i="17"/>
  <c r="F141" i="17"/>
  <c r="F152" i="17"/>
  <c r="F146" i="17"/>
  <c r="F114" i="17"/>
  <c r="F135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08" i="17"/>
  <c r="G108" i="17" s="1"/>
  <c r="F113" i="17"/>
  <c r="G113" i="17" s="1"/>
  <c r="F111" i="17"/>
  <c r="G111" i="17" s="1"/>
  <c r="F107" i="17"/>
  <c r="G107" i="17" s="1"/>
  <c r="F104" i="17"/>
  <c r="G104" i="17" s="1"/>
  <c r="F110" i="17"/>
  <c r="G110" i="17" s="1"/>
  <c r="F105" i="17"/>
  <c r="G105" i="17" s="1"/>
  <c r="F109" i="17"/>
  <c r="G109" i="17" s="1"/>
  <c r="F112" i="17"/>
  <c r="G112" i="17" s="1"/>
  <c r="F106" i="17"/>
  <c r="G106" i="17" s="1"/>
  <c r="F102" i="17"/>
  <c r="G102" i="17" s="1"/>
  <c r="F103" i="17"/>
  <c r="G103" i="17" s="1"/>
  <c r="F99" i="17"/>
  <c r="F100" i="17"/>
  <c r="G100" i="17" s="1"/>
  <c r="F101" i="17"/>
  <c r="G101" i="17" s="1"/>
  <c r="G114" i="3"/>
  <c r="H114" i="3"/>
  <c r="I114" i="3"/>
  <c r="J114" i="3"/>
  <c r="K114" i="3"/>
  <c r="L114" i="3"/>
  <c r="G113" i="3"/>
  <c r="H113" i="3"/>
  <c r="I113" i="3"/>
  <c r="J113" i="3"/>
  <c r="K113" i="3"/>
  <c r="L113" i="3"/>
  <c r="G112" i="3"/>
  <c r="H112" i="3"/>
  <c r="I112" i="3"/>
  <c r="J112" i="3"/>
  <c r="K112" i="3"/>
  <c r="L112" i="3"/>
  <c r="G111" i="3"/>
  <c r="H111" i="3"/>
  <c r="I111" i="3"/>
  <c r="J111" i="3"/>
  <c r="K111" i="3"/>
  <c r="L111" i="3"/>
  <c r="G110" i="3"/>
  <c r="H110" i="3"/>
  <c r="I110" i="3"/>
  <c r="J110" i="3"/>
  <c r="K110" i="3"/>
  <c r="L110" i="3"/>
  <c r="G109" i="3"/>
  <c r="H109" i="3"/>
  <c r="I109" i="3"/>
  <c r="J109" i="3"/>
  <c r="K109" i="3"/>
  <c r="L109" i="3"/>
  <c r="G108" i="3"/>
  <c r="H108" i="3"/>
  <c r="I108" i="3"/>
  <c r="J108" i="3"/>
  <c r="K108" i="3"/>
  <c r="L108" i="3"/>
  <c r="G100" i="3"/>
  <c r="G101" i="3"/>
  <c r="G102" i="3"/>
  <c r="G103" i="3"/>
  <c r="G104" i="3"/>
  <c r="G105" i="3"/>
  <c r="G106" i="3"/>
  <c r="G107" i="3"/>
  <c r="H100" i="3"/>
  <c r="H101" i="3"/>
  <c r="H102" i="3"/>
  <c r="H103" i="3"/>
  <c r="H104" i="3"/>
  <c r="H105" i="3"/>
  <c r="H106" i="3"/>
  <c r="H107" i="3"/>
  <c r="I100" i="3"/>
  <c r="I101" i="3"/>
  <c r="I102" i="3"/>
  <c r="I103" i="3"/>
  <c r="I104" i="3"/>
  <c r="I105" i="3"/>
  <c r="I106" i="3"/>
  <c r="I107" i="3"/>
  <c r="J100" i="3"/>
  <c r="J101" i="3"/>
  <c r="J102" i="3"/>
  <c r="J103" i="3"/>
  <c r="J104" i="3"/>
  <c r="J105" i="3"/>
  <c r="J106" i="3"/>
  <c r="J107" i="3"/>
  <c r="K100" i="3"/>
  <c r="K101" i="3"/>
  <c r="K102" i="3"/>
  <c r="K103" i="3"/>
  <c r="K104" i="3"/>
  <c r="K105" i="3"/>
  <c r="K106" i="3"/>
  <c r="K107" i="3"/>
  <c r="L100" i="3"/>
  <c r="L101" i="3"/>
  <c r="L102" i="3"/>
  <c r="L103" i="3"/>
  <c r="L104" i="3"/>
  <c r="L105" i="3"/>
  <c r="L106" i="3"/>
  <c r="L107" i="3"/>
  <c r="G99" i="3"/>
  <c r="H99" i="3"/>
  <c r="I99" i="3"/>
  <c r="J99" i="3"/>
  <c r="K99" i="3"/>
  <c r="L99" i="3"/>
  <c r="F98" i="17"/>
  <c r="G98" i="17" s="1"/>
  <c r="AL37" i="3"/>
  <c r="AL52" i="3"/>
  <c r="AL57" i="3"/>
  <c r="AL81" i="3"/>
  <c r="AL87" i="3"/>
  <c r="AL75" i="3"/>
  <c r="AL70" i="3"/>
  <c r="AL68" i="3"/>
  <c r="AL73" i="3"/>
  <c r="AL96" i="3"/>
  <c r="AL55" i="3"/>
  <c r="AL84" i="3"/>
  <c r="AL74" i="3"/>
  <c r="AL86" i="3"/>
  <c r="AL77" i="3"/>
  <c r="AL91" i="3"/>
  <c r="AL65" i="3"/>
  <c r="AL88" i="3"/>
  <c r="AL51" i="3"/>
  <c r="AL90" i="3"/>
  <c r="AL94" i="3"/>
  <c r="AL92" i="3"/>
  <c r="AL83" i="3"/>
  <c r="AL66" i="3"/>
  <c r="AL63" i="3"/>
  <c r="AL41" i="3"/>
  <c r="AL69" i="3"/>
  <c r="AL64" i="3"/>
  <c r="AL93" i="3"/>
  <c r="AL67" i="3"/>
  <c r="AL95" i="3"/>
  <c r="AL97" i="3"/>
  <c r="AL80" i="3"/>
  <c r="AL98" i="3"/>
  <c r="AL79" i="3"/>
  <c r="AL56" i="3"/>
  <c r="AL89" i="3"/>
  <c r="AL29" i="3"/>
  <c r="AL78" i="3"/>
  <c r="AL71" i="3"/>
  <c r="AL72" i="3"/>
  <c r="AL28" i="3"/>
  <c r="AL49" i="3"/>
  <c r="AL85" i="3"/>
  <c r="AL42" i="3"/>
  <c r="AL21" i="3"/>
  <c r="AL50" i="3"/>
  <c r="AL43" i="3"/>
  <c r="AL36" i="3"/>
  <c r="AL54" i="3"/>
  <c r="AL62" i="3"/>
  <c r="AL61" i="3"/>
  <c r="AL27" i="3"/>
  <c r="AL60" i="3"/>
  <c r="AL35" i="3"/>
  <c r="AL34" i="3"/>
  <c r="AL48" i="3"/>
  <c r="AL26" i="3"/>
  <c r="AL40" i="3"/>
  <c r="AL59" i="3"/>
  <c r="AL47" i="3"/>
  <c r="AL46" i="3"/>
  <c r="AL33" i="3"/>
  <c r="AL32" i="3"/>
  <c r="AL31" i="3"/>
  <c r="AL39" i="3"/>
  <c r="AL25" i="3"/>
  <c r="AL18" i="3"/>
  <c r="AL38" i="3"/>
  <c r="AL17" i="3"/>
  <c r="AL24" i="3"/>
  <c r="AL45" i="3"/>
  <c r="AL16" i="3"/>
  <c r="AL20" i="3"/>
  <c r="AL23" i="3"/>
  <c r="AL22" i="3"/>
  <c r="AL53" i="3"/>
  <c r="AL58" i="3"/>
  <c r="AL19" i="3"/>
  <c r="AL15" i="3"/>
  <c r="AL14" i="3"/>
  <c r="AL13" i="3"/>
  <c r="AL12" i="3"/>
  <c r="AL11" i="3"/>
  <c r="AL10" i="3"/>
  <c r="AL9" i="3"/>
  <c r="AL44" i="3"/>
  <c r="AL8" i="3"/>
  <c r="AL30" i="3"/>
  <c r="AL7" i="3"/>
  <c r="AL6" i="3"/>
  <c r="AL5" i="3"/>
  <c r="AL4" i="3"/>
  <c r="AL82" i="3"/>
  <c r="AK37" i="3"/>
  <c r="AK52" i="3"/>
  <c r="AK57" i="3"/>
  <c r="AK81" i="3"/>
  <c r="AK76" i="3"/>
  <c r="AK87" i="3"/>
  <c r="AK75" i="3"/>
  <c r="AK70" i="3"/>
  <c r="AK68" i="3"/>
  <c r="AK73" i="3"/>
  <c r="AK96" i="3"/>
  <c r="AK55" i="3"/>
  <c r="AK84" i="3"/>
  <c r="AK74" i="3"/>
  <c r="AK86" i="3"/>
  <c r="AK77" i="3"/>
  <c r="AK91" i="3"/>
  <c r="AK65" i="3"/>
  <c r="AK88" i="3"/>
  <c r="AK51" i="3"/>
  <c r="AK90" i="3"/>
  <c r="AK94" i="3"/>
  <c r="AK92" i="3"/>
  <c r="AK83" i="3"/>
  <c r="AK66" i="3"/>
  <c r="AK63" i="3"/>
  <c r="AK82" i="3"/>
  <c r="AK41" i="3"/>
  <c r="AK69" i="3"/>
  <c r="AK64" i="3"/>
  <c r="AK93" i="3"/>
  <c r="AK67" i="3"/>
  <c r="AK95" i="3"/>
  <c r="AK97" i="3"/>
  <c r="AK80" i="3"/>
  <c r="AK98" i="3"/>
  <c r="AK79" i="3"/>
  <c r="AK56" i="3"/>
  <c r="AK89" i="3"/>
  <c r="AK29" i="3"/>
  <c r="AK78" i="3"/>
  <c r="AK71" i="3"/>
  <c r="AK72" i="3"/>
  <c r="AK28" i="3"/>
  <c r="AK49" i="3"/>
  <c r="AK85" i="3"/>
  <c r="AK42" i="3"/>
  <c r="AK21" i="3"/>
  <c r="AK50" i="3"/>
  <c r="AK43" i="3"/>
  <c r="AK36" i="3"/>
  <c r="AK54" i="3"/>
  <c r="AK62" i="3"/>
  <c r="AK61" i="3"/>
  <c r="AK27" i="3"/>
  <c r="AK60" i="3"/>
  <c r="AK35" i="3"/>
  <c r="AK34" i="3"/>
  <c r="AK48" i="3"/>
  <c r="AK26" i="3"/>
  <c r="AK40" i="3"/>
  <c r="AK59" i="3"/>
  <c r="AK47" i="3"/>
  <c r="AK46" i="3"/>
  <c r="AK33" i="3"/>
  <c r="AK32" i="3"/>
  <c r="AK31" i="3"/>
  <c r="AK39" i="3"/>
  <c r="AK25" i="3"/>
  <c r="AK18" i="3"/>
  <c r="AK38" i="3"/>
  <c r="AK17" i="3"/>
  <c r="AK24" i="3"/>
  <c r="AK45" i="3"/>
  <c r="AK16" i="3"/>
  <c r="AK20" i="3"/>
  <c r="AK23" i="3"/>
  <c r="AK22" i="3"/>
  <c r="AK53" i="3"/>
  <c r="AK58" i="3"/>
  <c r="AK19" i="3"/>
  <c r="AK15" i="3"/>
  <c r="AK14" i="3"/>
  <c r="AK13" i="3"/>
  <c r="AK12" i="3"/>
  <c r="AK11" i="3"/>
  <c r="AK10" i="3"/>
  <c r="AK9" i="3"/>
  <c r="AK44" i="3"/>
  <c r="AK8" i="3"/>
  <c r="AK30" i="3"/>
  <c r="AK7" i="3"/>
  <c r="AK6" i="3"/>
  <c r="AK5" i="3"/>
  <c r="AK4" i="3"/>
  <c r="AI37" i="3"/>
  <c r="AI52" i="3"/>
  <c r="AI57" i="3"/>
  <c r="AI81" i="3"/>
  <c r="AI76" i="3"/>
  <c r="AI87" i="3"/>
  <c r="AI75" i="3"/>
  <c r="AI70" i="3"/>
  <c r="AI68" i="3"/>
  <c r="AI73" i="3"/>
  <c r="AI96" i="3"/>
  <c r="AI55" i="3"/>
  <c r="AI84" i="3"/>
  <c r="AI74" i="3"/>
  <c r="AI86" i="3"/>
  <c r="AI77" i="3"/>
  <c r="AI91" i="3"/>
  <c r="AI65" i="3"/>
  <c r="AI88" i="3"/>
  <c r="AI51" i="3"/>
  <c r="AI90" i="3"/>
  <c r="AI94" i="3"/>
  <c r="AI92" i="3"/>
  <c r="AI83" i="3"/>
  <c r="AI66" i="3"/>
  <c r="AI63" i="3"/>
  <c r="AI82" i="3"/>
  <c r="AI41" i="3"/>
  <c r="AI69" i="3"/>
  <c r="AI64" i="3"/>
  <c r="AI93" i="3"/>
  <c r="AI67" i="3"/>
  <c r="AI95" i="3"/>
  <c r="AI97" i="3"/>
  <c r="AI80" i="3"/>
  <c r="AI98" i="3"/>
  <c r="AI79" i="3"/>
  <c r="AI56" i="3"/>
  <c r="AI89" i="3"/>
  <c r="AI29" i="3"/>
  <c r="AI78" i="3"/>
  <c r="AI71" i="3"/>
  <c r="AI72" i="3"/>
  <c r="AI28" i="3"/>
  <c r="AI49" i="3"/>
  <c r="AI85" i="3"/>
  <c r="AI42" i="3"/>
  <c r="AI21" i="3"/>
  <c r="AI50" i="3"/>
  <c r="AI43" i="3"/>
  <c r="AI36" i="3"/>
  <c r="AI54" i="3"/>
  <c r="AI62" i="3"/>
  <c r="AI61" i="3"/>
  <c r="AI27" i="3"/>
  <c r="AI60" i="3"/>
  <c r="AI35" i="3"/>
  <c r="AI34" i="3"/>
  <c r="AI48" i="3"/>
  <c r="AI26" i="3"/>
  <c r="AI40" i="3"/>
  <c r="AI59" i="3"/>
  <c r="AI47" i="3"/>
  <c r="AI46" i="3"/>
  <c r="AI33" i="3"/>
  <c r="AI32" i="3"/>
  <c r="AI31" i="3"/>
  <c r="AI39" i="3"/>
  <c r="AI25" i="3"/>
  <c r="AI18" i="3"/>
  <c r="AI38" i="3"/>
  <c r="AI17" i="3"/>
  <c r="AI24" i="3"/>
  <c r="AI45" i="3"/>
  <c r="AI16" i="3"/>
  <c r="AI20" i="3"/>
  <c r="AI23" i="3"/>
  <c r="AI22" i="3"/>
  <c r="AI53" i="3"/>
  <c r="AI58" i="3"/>
  <c r="AI19" i="3"/>
  <c r="AI15" i="3"/>
  <c r="AI14" i="3"/>
  <c r="AI13" i="3"/>
  <c r="AI12" i="3"/>
  <c r="AI11" i="3"/>
  <c r="AI10" i="3"/>
  <c r="AI9" i="3"/>
  <c r="AI44" i="3"/>
  <c r="AI8" i="3"/>
  <c r="AI30" i="3"/>
  <c r="AI7" i="3"/>
  <c r="AI6" i="3"/>
  <c r="AI5" i="3"/>
  <c r="AI4" i="3"/>
  <c r="AH52" i="3"/>
  <c r="F59" i="17" s="1"/>
  <c r="AH57" i="3"/>
  <c r="F36" i="17" s="1"/>
  <c r="AH81" i="3"/>
  <c r="F56" i="17" s="1"/>
  <c r="AH87" i="3"/>
  <c r="F81" i="17" s="1"/>
  <c r="AH75" i="3"/>
  <c r="F79" i="17" s="1"/>
  <c r="AH70" i="3"/>
  <c r="F87" i="17" s="1"/>
  <c r="AH68" i="3"/>
  <c r="F93" i="17" s="1"/>
  <c r="AH73" i="3"/>
  <c r="F96" i="17" s="1"/>
  <c r="AH96" i="3"/>
  <c r="F97" i="17" s="1"/>
  <c r="AH55" i="3"/>
  <c r="F76" i="17" s="1"/>
  <c r="AH84" i="3"/>
  <c r="F86" i="17" s="1"/>
  <c r="AH74" i="3"/>
  <c r="F95" i="17" s="1"/>
  <c r="AH86" i="3"/>
  <c r="F67" i="17" s="1"/>
  <c r="AH77" i="3"/>
  <c r="F68" i="17" s="1"/>
  <c r="AH91" i="3"/>
  <c r="F75" i="17" s="1"/>
  <c r="AH65" i="3"/>
  <c r="F52" i="17" s="1"/>
  <c r="AH88" i="3"/>
  <c r="F66" i="17" s="1"/>
  <c r="AH51" i="3"/>
  <c r="F91" i="17" s="1"/>
  <c r="AH90" i="3"/>
  <c r="F88" i="17" s="1"/>
  <c r="AH94" i="3"/>
  <c r="F73" i="17" s="1"/>
  <c r="AH92" i="3"/>
  <c r="F72" i="17" s="1"/>
  <c r="AH83" i="3"/>
  <c r="F63" i="17" s="1"/>
  <c r="AH66" i="3"/>
  <c r="F53" i="17" s="1"/>
  <c r="AH63" i="3"/>
  <c r="F77" i="17" s="1"/>
  <c r="AH41" i="3"/>
  <c r="F37" i="17" s="1"/>
  <c r="AH69" i="3"/>
  <c r="F46" i="17" s="1"/>
  <c r="AH64" i="3"/>
  <c r="F74" i="17" s="1"/>
  <c r="AH93" i="3"/>
  <c r="F84" i="17" s="1"/>
  <c r="AH67" i="3"/>
  <c r="F80" i="17" s="1"/>
  <c r="AH95" i="3"/>
  <c r="F94" i="17" s="1"/>
  <c r="AH97" i="3"/>
  <c r="F92" i="17" s="1"/>
  <c r="AH80" i="3"/>
  <c r="F70" i="17" s="1"/>
  <c r="AH98" i="3"/>
  <c r="F90" i="17" s="1"/>
  <c r="AH79" i="3"/>
  <c r="F47" i="17" s="1"/>
  <c r="AH56" i="3"/>
  <c r="F64" i="17" s="1"/>
  <c r="AH89" i="3"/>
  <c r="F60" i="17" s="1"/>
  <c r="AH29" i="3"/>
  <c r="F35" i="17" s="1"/>
  <c r="AH78" i="3"/>
  <c r="F83" i="17" s="1"/>
  <c r="AH71" i="3"/>
  <c r="F58" i="17" s="1"/>
  <c r="AH72" i="3"/>
  <c r="F57" i="17" s="1"/>
  <c r="AH28" i="3"/>
  <c r="F22" i="17" s="1"/>
  <c r="AH49" i="3"/>
  <c r="F50" i="17" s="1"/>
  <c r="AH85" i="3"/>
  <c r="F65" i="17" s="1"/>
  <c r="AH42" i="3"/>
  <c r="F49" i="17" s="1"/>
  <c r="AH21" i="3"/>
  <c r="F24" i="17" s="1"/>
  <c r="AH50" i="3"/>
  <c r="F38" i="17" s="1"/>
  <c r="AH43" i="3"/>
  <c r="F42" i="17" s="1"/>
  <c r="AH36" i="3"/>
  <c r="F41" i="17" s="1"/>
  <c r="AH54" i="3"/>
  <c r="F43" i="17" s="1"/>
  <c r="AH62" i="3"/>
  <c r="F85" i="17" s="1"/>
  <c r="AH61" i="3"/>
  <c r="F62" i="17" s="1"/>
  <c r="AH27" i="3"/>
  <c r="F44" i="17" s="1"/>
  <c r="AH60" i="3"/>
  <c r="F61" i="17" s="1"/>
  <c r="AH35" i="3"/>
  <c r="F30" i="17" s="1"/>
  <c r="AH34" i="3"/>
  <c r="F25" i="17" s="1"/>
  <c r="AH48" i="3"/>
  <c r="F48" i="17" s="1"/>
  <c r="AH26" i="3"/>
  <c r="F21" i="17" s="1"/>
  <c r="AH40" i="3"/>
  <c r="F32" i="17" s="1"/>
  <c r="AH59" i="3"/>
  <c r="F69" i="17" s="1"/>
  <c r="AH47" i="3"/>
  <c r="F45" i="17" s="1"/>
  <c r="AH46" i="3"/>
  <c r="F51" i="17" s="1"/>
  <c r="AH33" i="3"/>
  <c r="F31" i="17" s="1"/>
  <c r="AH32" i="3"/>
  <c r="F33" i="17" s="1"/>
  <c r="AH31" i="3"/>
  <c r="F26" i="17" s="1"/>
  <c r="AH39" i="3"/>
  <c r="F40" i="17" s="1"/>
  <c r="AH25" i="3"/>
  <c r="F23" i="17" s="1"/>
  <c r="AH18" i="3"/>
  <c r="F16" i="17" s="1"/>
  <c r="AH38" i="3"/>
  <c r="F28" i="17" s="1"/>
  <c r="AH17" i="3"/>
  <c r="F13" i="17" s="1"/>
  <c r="AH24" i="3"/>
  <c r="F20" i="17" s="1"/>
  <c r="AH45" i="3"/>
  <c r="F54" i="17" s="1"/>
  <c r="AH16" i="3"/>
  <c r="F11" i="17" s="1"/>
  <c r="AH20" i="3"/>
  <c r="F18" i="17" s="1"/>
  <c r="AH23" i="3"/>
  <c r="F27" i="17" s="1"/>
  <c r="AH22" i="3"/>
  <c r="F39" i="17" s="1"/>
  <c r="AH53" i="3"/>
  <c r="F82" i="17" s="1"/>
  <c r="AH58" i="3"/>
  <c r="F89" i="17" s="1"/>
  <c r="AH19" i="3"/>
  <c r="F19" i="17" s="1"/>
  <c r="AH15" i="3"/>
  <c r="F8" i="17" s="1"/>
  <c r="AH14" i="3"/>
  <c r="F4" i="17" s="1"/>
  <c r="AH13" i="3"/>
  <c r="F17" i="17" s="1"/>
  <c r="AH12" i="3"/>
  <c r="F7" i="17" s="1"/>
  <c r="AH11" i="3"/>
  <c r="F2" i="17" s="1"/>
  <c r="AH10" i="3"/>
  <c r="F10" i="17" s="1"/>
  <c r="AH9" i="3"/>
  <c r="F6" i="17" s="1"/>
  <c r="AH44" i="3"/>
  <c r="F71" i="17" s="1"/>
  <c r="AH8" i="3"/>
  <c r="F9" i="17" s="1"/>
  <c r="AH30" i="3"/>
  <c r="F29" i="17" s="1"/>
  <c r="AH7" i="3"/>
  <c r="F12" i="17" s="1"/>
  <c r="AH6" i="3"/>
  <c r="F14" i="17" s="1"/>
  <c r="AH5" i="3"/>
  <c r="F3" i="17" s="1"/>
  <c r="AH4" i="3"/>
  <c r="F5" i="17" s="1"/>
  <c r="AH3" i="3"/>
  <c r="F15" i="17" s="1"/>
  <c r="AH76" i="3"/>
  <c r="AH37" i="3"/>
  <c r="F34" i="17" s="1"/>
  <c r="K15" i="3"/>
  <c r="K14" i="3"/>
  <c r="K10" i="3"/>
  <c r="K9" i="3"/>
  <c r="K5" i="3"/>
  <c r="K4" i="3"/>
  <c r="K17" i="3"/>
  <c r="K11" i="3"/>
  <c r="K18" i="3"/>
  <c r="K12" i="3"/>
  <c r="K8" i="3"/>
  <c r="K19" i="3"/>
  <c r="K7" i="3"/>
  <c r="K6" i="3"/>
  <c r="K13" i="3"/>
  <c r="K40" i="3"/>
  <c r="K3" i="3"/>
  <c r="K20" i="3"/>
  <c r="K31" i="3"/>
  <c r="K32" i="3"/>
  <c r="K24" i="3"/>
  <c r="K34" i="3"/>
  <c r="K43" i="3"/>
  <c r="K47" i="3"/>
  <c r="K50" i="3"/>
  <c r="K21" i="3"/>
  <c r="K23" i="3"/>
  <c r="K38" i="3"/>
  <c r="K42" i="3"/>
  <c r="K26" i="3"/>
  <c r="K57" i="3"/>
  <c r="K30" i="3"/>
  <c r="K25" i="3"/>
  <c r="K35" i="3"/>
  <c r="K85" i="3"/>
  <c r="K49" i="3"/>
  <c r="K28" i="3"/>
  <c r="K72" i="3"/>
  <c r="K71" i="3"/>
  <c r="K78" i="3"/>
  <c r="K37" i="3"/>
  <c r="K29" i="3"/>
  <c r="K46" i="3"/>
  <c r="K52" i="3"/>
  <c r="K33" i="3"/>
  <c r="K27" i="3"/>
  <c r="K59" i="3"/>
  <c r="K44" i="3"/>
  <c r="K89" i="3"/>
  <c r="K36" i="3"/>
  <c r="K45" i="3"/>
  <c r="K56" i="3"/>
  <c r="K79" i="3"/>
  <c r="K61" i="3"/>
  <c r="K98" i="3"/>
  <c r="K80" i="3"/>
  <c r="K97" i="3"/>
  <c r="K95" i="3"/>
  <c r="K67" i="3"/>
  <c r="K62" i="3"/>
  <c r="K22" i="3"/>
  <c r="K93" i="3"/>
  <c r="K39" i="3"/>
  <c r="K60" i="3"/>
  <c r="K64" i="3"/>
  <c r="K69" i="3"/>
  <c r="K41" i="3"/>
  <c r="K82" i="3"/>
  <c r="K48" i="3"/>
  <c r="K63" i="3"/>
  <c r="K66" i="3"/>
  <c r="K83" i="3"/>
  <c r="K54" i="3"/>
  <c r="K92" i="3"/>
  <c r="K94" i="3"/>
  <c r="K90" i="3"/>
  <c r="K51" i="3"/>
  <c r="K88" i="3"/>
  <c r="K65" i="3"/>
  <c r="K91" i="3"/>
  <c r="K77" i="3"/>
  <c r="K86" i="3"/>
  <c r="K74" i="3"/>
  <c r="K84" i="3"/>
  <c r="K55" i="3"/>
  <c r="K58" i="3"/>
  <c r="K96" i="3"/>
  <c r="K73" i="3"/>
  <c r="K68" i="3"/>
  <c r="K70" i="3"/>
  <c r="K75" i="3"/>
  <c r="K87" i="3"/>
  <c r="K53" i="3"/>
  <c r="K76" i="3"/>
  <c r="K81" i="3"/>
  <c r="I15" i="3"/>
  <c r="I14" i="3"/>
  <c r="I10" i="3"/>
  <c r="I9" i="3"/>
  <c r="I5" i="3"/>
  <c r="I4" i="3"/>
  <c r="I17" i="3"/>
  <c r="I11" i="3"/>
  <c r="I18" i="3"/>
  <c r="I12" i="3"/>
  <c r="I8" i="3"/>
  <c r="I19" i="3"/>
  <c r="I7" i="3"/>
  <c r="I6" i="3"/>
  <c r="I13" i="3"/>
  <c r="I40" i="3"/>
  <c r="I3" i="3"/>
  <c r="I20" i="3"/>
  <c r="I31" i="3"/>
  <c r="I32" i="3"/>
  <c r="I24" i="3"/>
  <c r="I34" i="3"/>
  <c r="I43" i="3"/>
  <c r="I47" i="3"/>
  <c r="I50" i="3"/>
  <c r="I21" i="3"/>
  <c r="I23" i="3"/>
  <c r="I38" i="3"/>
  <c r="I42" i="3"/>
  <c r="I26" i="3"/>
  <c r="I57" i="3"/>
  <c r="I30" i="3"/>
  <c r="I25" i="3"/>
  <c r="I35" i="3"/>
  <c r="I85" i="3"/>
  <c r="I49" i="3"/>
  <c r="I28" i="3"/>
  <c r="I72" i="3"/>
  <c r="I71" i="3"/>
  <c r="I78" i="3"/>
  <c r="I37" i="3"/>
  <c r="I29" i="3"/>
  <c r="I46" i="3"/>
  <c r="I52" i="3"/>
  <c r="I33" i="3"/>
  <c r="I27" i="3"/>
  <c r="I59" i="3"/>
  <c r="I44" i="3"/>
  <c r="I89" i="3"/>
  <c r="I36" i="3"/>
  <c r="I45" i="3"/>
  <c r="I56" i="3"/>
  <c r="I79" i="3"/>
  <c r="I61" i="3"/>
  <c r="I98" i="3"/>
  <c r="I80" i="3"/>
  <c r="I97" i="3"/>
  <c r="I95" i="3"/>
  <c r="I67" i="3"/>
  <c r="I62" i="3"/>
  <c r="I22" i="3"/>
  <c r="I93" i="3"/>
  <c r="I39" i="3"/>
  <c r="I60" i="3"/>
  <c r="I64" i="3"/>
  <c r="I69" i="3"/>
  <c r="I41" i="3"/>
  <c r="I82" i="3"/>
  <c r="I48" i="3"/>
  <c r="I63" i="3"/>
  <c r="I66" i="3"/>
  <c r="I83" i="3"/>
  <c r="I54" i="3"/>
  <c r="I92" i="3"/>
  <c r="I94" i="3"/>
  <c r="I90" i="3"/>
  <c r="I51" i="3"/>
  <c r="I88" i="3"/>
  <c r="I65" i="3"/>
  <c r="I91" i="3"/>
  <c r="I77" i="3"/>
  <c r="I86" i="3"/>
  <c r="I74" i="3"/>
  <c r="I84" i="3"/>
  <c r="I55" i="3"/>
  <c r="I58" i="3"/>
  <c r="I96" i="3"/>
  <c r="I73" i="3"/>
  <c r="I68" i="3"/>
  <c r="I70" i="3"/>
  <c r="I75" i="3"/>
  <c r="I87" i="3"/>
  <c r="I53" i="3"/>
  <c r="I76" i="3"/>
  <c r="I81" i="3"/>
  <c r="L15" i="3"/>
  <c r="L14" i="3"/>
  <c r="L10" i="3"/>
  <c r="L9" i="3"/>
  <c r="L5" i="3"/>
  <c r="L4" i="3"/>
  <c r="L17" i="3"/>
  <c r="L11" i="3"/>
  <c r="L16" i="3"/>
  <c r="L18" i="3"/>
  <c r="L12" i="3"/>
  <c r="L8" i="3"/>
  <c r="L19" i="3"/>
  <c r="L7" i="3"/>
  <c r="L6" i="3"/>
  <c r="L13" i="3"/>
  <c r="L40" i="3"/>
  <c r="L3" i="3"/>
  <c r="L20" i="3"/>
  <c r="L31" i="3"/>
  <c r="L32" i="3"/>
  <c r="L24" i="3"/>
  <c r="L34" i="3"/>
  <c r="L43" i="3"/>
  <c r="L47" i="3"/>
  <c r="L50" i="3"/>
  <c r="L21" i="3"/>
  <c r="L23" i="3"/>
  <c r="L38" i="3"/>
  <c r="L42" i="3"/>
  <c r="L26" i="3"/>
  <c r="L57" i="3"/>
  <c r="L30" i="3"/>
  <c r="L25" i="3"/>
  <c r="L35" i="3"/>
  <c r="L85" i="3"/>
  <c r="L49" i="3"/>
  <c r="L28" i="3"/>
  <c r="L72" i="3"/>
  <c r="L71" i="3"/>
  <c r="L78" i="3"/>
  <c r="L37" i="3"/>
  <c r="L29" i="3"/>
  <c r="L46" i="3"/>
  <c r="L52" i="3"/>
  <c r="L33" i="3"/>
  <c r="L27" i="3"/>
  <c r="L59" i="3"/>
  <c r="L44" i="3"/>
  <c r="L89" i="3"/>
  <c r="L36" i="3"/>
  <c r="L45" i="3"/>
  <c r="L56" i="3"/>
  <c r="L79" i="3"/>
  <c r="L61" i="3"/>
  <c r="L98" i="3"/>
  <c r="L80" i="3"/>
  <c r="L97" i="3"/>
  <c r="L95" i="3"/>
  <c r="L67" i="3"/>
  <c r="L62" i="3"/>
  <c r="L22" i="3"/>
  <c r="L93" i="3"/>
  <c r="L39" i="3"/>
  <c r="L60" i="3"/>
  <c r="L64" i="3"/>
  <c r="L69" i="3"/>
  <c r="L41" i="3"/>
  <c r="L82" i="3"/>
  <c r="L48" i="3"/>
  <c r="L63" i="3"/>
  <c r="L66" i="3"/>
  <c r="L83" i="3"/>
  <c r="L54" i="3"/>
  <c r="L92" i="3"/>
  <c r="L94" i="3"/>
  <c r="L90" i="3"/>
  <c r="L51" i="3"/>
  <c r="L88" i="3"/>
  <c r="L65" i="3"/>
  <c r="L91" i="3"/>
  <c r="L77" i="3"/>
  <c r="L86" i="3"/>
  <c r="L74" i="3"/>
  <c r="L84" i="3"/>
  <c r="L55" i="3"/>
  <c r="L58" i="3"/>
  <c r="L96" i="3"/>
  <c r="L73" i="3"/>
  <c r="L68" i="3"/>
  <c r="L70" i="3"/>
  <c r="L75" i="3"/>
  <c r="L87" i="3"/>
  <c r="L53" i="3"/>
  <c r="L76" i="3"/>
  <c r="L81" i="3"/>
  <c r="H15" i="3"/>
  <c r="H14" i="3"/>
  <c r="H10" i="3"/>
  <c r="H9" i="3"/>
  <c r="H5" i="3"/>
  <c r="H4" i="3"/>
  <c r="H17" i="3"/>
  <c r="H11" i="3"/>
  <c r="H16" i="3"/>
  <c r="H18" i="3"/>
  <c r="H12" i="3"/>
  <c r="H8" i="3"/>
  <c r="H19" i="3"/>
  <c r="H7" i="3"/>
  <c r="H6" i="3"/>
  <c r="H13" i="3"/>
  <c r="H40" i="3"/>
  <c r="H3" i="3"/>
  <c r="H20" i="3"/>
  <c r="H31" i="3"/>
  <c r="H32" i="3"/>
  <c r="H24" i="3"/>
  <c r="H34" i="3"/>
  <c r="H43" i="3"/>
  <c r="H47" i="3"/>
  <c r="H50" i="3"/>
  <c r="H21" i="3"/>
  <c r="H23" i="3"/>
  <c r="H38" i="3"/>
  <c r="H42" i="3"/>
  <c r="H26" i="3"/>
  <c r="H57" i="3"/>
  <c r="H30" i="3"/>
  <c r="H25" i="3"/>
  <c r="H35" i="3"/>
  <c r="H85" i="3"/>
  <c r="H49" i="3"/>
  <c r="H28" i="3"/>
  <c r="H72" i="3"/>
  <c r="H71" i="3"/>
  <c r="H78" i="3"/>
  <c r="H37" i="3"/>
  <c r="H29" i="3"/>
  <c r="H46" i="3"/>
  <c r="H52" i="3"/>
  <c r="H33" i="3"/>
  <c r="H27" i="3"/>
  <c r="H59" i="3"/>
  <c r="H44" i="3"/>
  <c r="H89" i="3"/>
  <c r="H36" i="3"/>
  <c r="H45" i="3"/>
  <c r="H56" i="3"/>
  <c r="H79" i="3"/>
  <c r="H61" i="3"/>
  <c r="H98" i="3"/>
  <c r="H80" i="3"/>
  <c r="H97" i="3"/>
  <c r="H95" i="3"/>
  <c r="H67" i="3"/>
  <c r="H62" i="3"/>
  <c r="H22" i="3"/>
  <c r="H93" i="3"/>
  <c r="H39" i="3"/>
  <c r="H60" i="3"/>
  <c r="H64" i="3"/>
  <c r="H69" i="3"/>
  <c r="H41" i="3"/>
  <c r="H82" i="3"/>
  <c r="H48" i="3"/>
  <c r="H63" i="3"/>
  <c r="H66" i="3"/>
  <c r="H83" i="3"/>
  <c r="H54" i="3"/>
  <c r="H92" i="3"/>
  <c r="H94" i="3"/>
  <c r="H90" i="3"/>
  <c r="H51" i="3"/>
  <c r="H88" i="3"/>
  <c r="H65" i="3"/>
  <c r="H91" i="3"/>
  <c r="H77" i="3"/>
  <c r="H86" i="3"/>
  <c r="H74" i="3"/>
  <c r="H84" i="3"/>
  <c r="H55" i="3"/>
  <c r="H58" i="3"/>
  <c r="H96" i="3"/>
  <c r="H73" i="3"/>
  <c r="H68" i="3"/>
  <c r="H70" i="3"/>
  <c r="H75" i="3"/>
  <c r="H87" i="3"/>
  <c r="H53" i="3"/>
  <c r="H76" i="3"/>
  <c r="H81" i="3"/>
  <c r="J15" i="3"/>
  <c r="J14" i="3"/>
  <c r="J10" i="3"/>
  <c r="J9" i="3"/>
  <c r="N9" i="3" s="1"/>
  <c r="J5" i="3"/>
  <c r="J4" i="3"/>
  <c r="J17" i="3"/>
  <c r="J11" i="3"/>
  <c r="J16" i="3"/>
  <c r="J18" i="3"/>
  <c r="J12" i="3"/>
  <c r="J8" i="3"/>
  <c r="N8" i="3" s="1"/>
  <c r="J19" i="3"/>
  <c r="J7" i="3"/>
  <c r="J6" i="3"/>
  <c r="J13" i="3"/>
  <c r="N13" i="3" s="1"/>
  <c r="J40" i="3"/>
  <c r="J3" i="3"/>
  <c r="J20" i="3"/>
  <c r="J31" i="3"/>
  <c r="N31" i="3" s="1"/>
  <c r="J32" i="3"/>
  <c r="J24" i="3"/>
  <c r="J34" i="3"/>
  <c r="J43" i="3"/>
  <c r="J47" i="3"/>
  <c r="J50" i="3"/>
  <c r="J21" i="3"/>
  <c r="J23" i="3"/>
  <c r="N23" i="3" s="1"/>
  <c r="J38" i="3"/>
  <c r="J42" i="3"/>
  <c r="J26" i="3"/>
  <c r="J57" i="3"/>
  <c r="J30" i="3"/>
  <c r="J25" i="3"/>
  <c r="J35" i="3"/>
  <c r="J85" i="3"/>
  <c r="J49" i="3"/>
  <c r="J28" i="3"/>
  <c r="J72" i="3"/>
  <c r="J71" i="3"/>
  <c r="J78" i="3"/>
  <c r="J37" i="3"/>
  <c r="J29" i="3"/>
  <c r="J46" i="3"/>
  <c r="J52" i="3"/>
  <c r="J33" i="3"/>
  <c r="J27" i="3"/>
  <c r="J59" i="3"/>
  <c r="J44" i="3"/>
  <c r="J89" i="3"/>
  <c r="J36" i="3"/>
  <c r="J45" i="3"/>
  <c r="J56" i="3"/>
  <c r="J79" i="3"/>
  <c r="J61" i="3"/>
  <c r="J98" i="3"/>
  <c r="J80" i="3"/>
  <c r="J97" i="3"/>
  <c r="J95" i="3"/>
  <c r="J67" i="3"/>
  <c r="J62" i="3"/>
  <c r="J22" i="3"/>
  <c r="J93" i="3"/>
  <c r="J39" i="3"/>
  <c r="J60" i="3"/>
  <c r="J64" i="3"/>
  <c r="J69" i="3"/>
  <c r="J41" i="3"/>
  <c r="J82" i="3"/>
  <c r="J48" i="3"/>
  <c r="J63" i="3"/>
  <c r="J66" i="3"/>
  <c r="J83" i="3"/>
  <c r="J54" i="3"/>
  <c r="J92" i="3"/>
  <c r="J94" i="3"/>
  <c r="J90" i="3"/>
  <c r="J51" i="3"/>
  <c r="J88" i="3"/>
  <c r="J65" i="3"/>
  <c r="J91" i="3"/>
  <c r="J77" i="3"/>
  <c r="J86" i="3"/>
  <c r="J74" i="3"/>
  <c r="J84" i="3"/>
  <c r="J55" i="3"/>
  <c r="J58" i="3"/>
  <c r="J96" i="3"/>
  <c r="J73" i="3"/>
  <c r="J68" i="3"/>
  <c r="J70" i="3"/>
  <c r="J75" i="3"/>
  <c r="J87" i="3"/>
  <c r="J53" i="3"/>
  <c r="J76" i="3"/>
  <c r="J81" i="3"/>
  <c r="G15" i="3"/>
  <c r="M15" i="3" s="1"/>
  <c r="G14" i="3"/>
  <c r="M14" i="3" s="1"/>
  <c r="G10" i="3"/>
  <c r="M10" i="3" s="1"/>
  <c r="G9" i="3"/>
  <c r="M9" i="3" s="1"/>
  <c r="G5" i="3"/>
  <c r="M5" i="3" s="1"/>
  <c r="G4" i="3"/>
  <c r="M4" i="3" s="1"/>
  <c r="G17" i="3"/>
  <c r="M17" i="3" s="1"/>
  <c r="G11" i="3"/>
  <c r="M11" i="3" s="1"/>
  <c r="G18" i="3"/>
  <c r="M18" i="3" s="1"/>
  <c r="G12" i="3"/>
  <c r="M12" i="3" s="1"/>
  <c r="G8" i="3"/>
  <c r="M8" i="3" s="1"/>
  <c r="G19" i="3"/>
  <c r="G7" i="3"/>
  <c r="G6" i="3"/>
  <c r="M6" i="3" s="1"/>
  <c r="G13" i="3"/>
  <c r="M13" i="3" s="1"/>
  <c r="G40" i="3"/>
  <c r="M40" i="3" s="1"/>
  <c r="G3" i="3"/>
  <c r="M3" i="3" s="1"/>
  <c r="G20" i="3"/>
  <c r="G31" i="3"/>
  <c r="M31" i="3" s="1"/>
  <c r="G32" i="3"/>
  <c r="G24" i="3"/>
  <c r="M24" i="3" s="1"/>
  <c r="G34" i="3"/>
  <c r="G43" i="3"/>
  <c r="M43" i="3" s="1"/>
  <c r="G47" i="3"/>
  <c r="M47" i="3" s="1"/>
  <c r="G50" i="3"/>
  <c r="M50" i="3" s="1"/>
  <c r="G21" i="3"/>
  <c r="G23" i="3"/>
  <c r="M23" i="3" s="1"/>
  <c r="G38" i="3"/>
  <c r="M38" i="3" s="1"/>
  <c r="G42" i="3"/>
  <c r="M42" i="3" s="1"/>
  <c r="G26" i="3"/>
  <c r="G57" i="3"/>
  <c r="M57" i="3" s="1"/>
  <c r="G30" i="3"/>
  <c r="M30" i="3" s="1"/>
  <c r="G25" i="3"/>
  <c r="M25" i="3" s="1"/>
  <c r="G35" i="3"/>
  <c r="G85" i="3"/>
  <c r="G49" i="3"/>
  <c r="M49" i="3" s="1"/>
  <c r="G28" i="3"/>
  <c r="M28" i="3" s="1"/>
  <c r="G72" i="3"/>
  <c r="G71" i="3"/>
  <c r="M71" i="3" s="1"/>
  <c r="G78" i="3"/>
  <c r="M78" i="3" s="1"/>
  <c r="G37" i="3"/>
  <c r="M37" i="3" s="1"/>
  <c r="G29" i="3"/>
  <c r="G46" i="3"/>
  <c r="M46" i="3" s="1"/>
  <c r="G52" i="3"/>
  <c r="G33" i="3"/>
  <c r="M33" i="3" s="1"/>
  <c r="G27" i="3"/>
  <c r="M27" i="3" s="1"/>
  <c r="G59" i="3"/>
  <c r="M59" i="3" s="1"/>
  <c r="G44" i="3"/>
  <c r="M44" i="3" s="1"/>
  <c r="G89" i="3"/>
  <c r="M89" i="3" s="1"/>
  <c r="G36" i="3"/>
  <c r="G45" i="3"/>
  <c r="M45" i="3" s="1"/>
  <c r="G56" i="3"/>
  <c r="G79" i="3"/>
  <c r="M79" i="3" s="1"/>
  <c r="G61" i="3"/>
  <c r="G98" i="3"/>
  <c r="M98" i="3" s="1"/>
  <c r="G80" i="3"/>
  <c r="G97" i="3"/>
  <c r="M97" i="3" s="1"/>
  <c r="G95" i="3"/>
  <c r="M95" i="3" s="1"/>
  <c r="G67" i="3"/>
  <c r="M67" i="3" s="1"/>
  <c r="G62" i="3"/>
  <c r="M62" i="3" s="1"/>
  <c r="G22" i="3"/>
  <c r="M22" i="3" s="1"/>
  <c r="G93" i="3"/>
  <c r="M93" i="3" s="1"/>
  <c r="G39" i="3"/>
  <c r="G60" i="3"/>
  <c r="M60" i="3" s="1"/>
  <c r="G64" i="3"/>
  <c r="G69" i="3"/>
  <c r="G41" i="3"/>
  <c r="M41" i="3" s="1"/>
  <c r="G82" i="3"/>
  <c r="G48" i="3"/>
  <c r="M48" i="3" s="1"/>
  <c r="G63" i="3"/>
  <c r="G66" i="3"/>
  <c r="M66" i="3" s="1"/>
  <c r="G83" i="3"/>
  <c r="G54" i="3"/>
  <c r="M54" i="3" s="1"/>
  <c r="G92" i="3"/>
  <c r="G94" i="3"/>
  <c r="M94" i="3" s="1"/>
  <c r="G90" i="3"/>
  <c r="M90" i="3" s="1"/>
  <c r="G51" i="3"/>
  <c r="M51" i="3" s="1"/>
  <c r="G88" i="3"/>
  <c r="G65" i="3"/>
  <c r="M65" i="3" s="1"/>
  <c r="G91" i="3"/>
  <c r="G77" i="3"/>
  <c r="M77" i="3" s="1"/>
  <c r="G86" i="3"/>
  <c r="G74" i="3"/>
  <c r="M74" i="3" s="1"/>
  <c r="G84" i="3"/>
  <c r="M84" i="3" s="1"/>
  <c r="G55" i="3"/>
  <c r="M55" i="3" s="1"/>
  <c r="G58" i="3"/>
  <c r="M58" i="3" s="1"/>
  <c r="G96" i="3"/>
  <c r="M96" i="3" s="1"/>
  <c r="G73" i="3"/>
  <c r="M73" i="3" s="1"/>
  <c r="G68" i="3"/>
  <c r="M68" i="3" s="1"/>
  <c r="G70" i="3"/>
  <c r="M70" i="3" s="1"/>
  <c r="G75" i="3"/>
  <c r="G87" i="3"/>
  <c r="M87" i="3" s="1"/>
  <c r="G53" i="3"/>
  <c r="M53" i="3" s="1"/>
  <c r="G76" i="3"/>
  <c r="M76" i="3" s="1"/>
  <c r="G81" i="3"/>
  <c r="M81" i="3" s="1"/>
  <c r="G93" i="4"/>
  <c r="W76" i="3" s="1"/>
  <c r="H71" i="4"/>
  <c r="M35" i="3"/>
  <c r="M26" i="3"/>
  <c r="M19" i="3"/>
  <c r="M86" i="3"/>
  <c r="M88" i="3"/>
  <c r="M92" i="3"/>
  <c r="M63" i="3"/>
  <c r="M69" i="3"/>
  <c r="M39" i="3"/>
  <c r="M61" i="3"/>
  <c r="M36" i="3"/>
  <c r="M52" i="3"/>
  <c r="M85" i="3"/>
  <c r="M21" i="3"/>
  <c r="M34" i="3"/>
  <c r="M32" i="3"/>
  <c r="M20" i="3"/>
  <c r="M7" i="3"/>
  <c r="M16" i="3"/>
  <c r="N87" i="3"/>
  <c r="O87" i="3" s="1"/>
  <c r="N73" i="3"/>
  <c r="N84" i="3"/>
  <c r="O84" i="3" s="1"/>
  <c r="N51" i="3"/>
  <c r="O51" i="3" s="1"/>
  <c r="N93" i="3"/>
  <c r="O93" i="3" s="1"/>
  <c r="N95" i="3"/>
  <c r="O95" i="3" s="1"/>
  <c r="N27" i="3"/>
  <c r="O27" i="3" s="1"/>
  <c r="N71" i="3"/>
  <c r="N35" i="3"/>
  <c r="N26" i="3"/>
  <c r="N50" i="3"/>
  <c r="N19" i="3"/>
  <c r="N5" i="3"/>
  <c r="O5" i="3" s="1"/>
  <c r="N53" i="3"/>
  <c r="N86" i="3"/>
  <c r="N88" i="3"/>
  <c r="N92" i="3"/>
  <c r="N63" i="3"/>
  <c r="N69" i="3"/>
  <c r="N61" i="3"/>
  <c r="N36" i="3"/>
  <c r="N52" i="3"/>
  <c r="N78" i="3"/>
  <c r="N57" i="3"/>
  <c r="N21" i="3"/>
  <c r="N34" i="3"/>
  <c r="N32" i="3"/>
  <c r="N20" i="3"/>
  <c r="N7" i="3"/>
  <c r="N16" i="3"/>
  <c r="N14" i="3"/>
  <c r="M75" i="3"/>
  <c r="M91" i="3"/>
  <c r="M83" i="3"/>
  <c r="M82" i="3"/>
  <c r="M64" i="3"/>
  <c r="M80" i="3"/>
  <c r="M56" i="3"/>
  <c r="M29" i="3"/>
  <c r="M72" i="3"/>
  <c r="N96" i="3"/>
  <c r="N91" i="3"/>
  <c r="N90" i="3"/>
  <c r="N83" i="3"/>
  <c r="N82" i="3"/>
  <c r="N22" i="3"/>
  <c r="N80" i="3"/>
  <c r="N56" i="3"/>
  <c r="N44" i="3"/>
  <c r="N29" i="3"/>
  <c r="N72" i="3"/>
  <c r="N25" i="3"/>
  <c r="O25" i="3" s="1"/>
  <c r="N38" i="3"/>
  <c r="O38" i="3" s="1"/>
  <c r="N47" i="3"/>
  <c r="O47" i="3" s="1"/>
  <c r="N40" i="3"/>
  <c r="O40" i="3" s="1"/>
  <c r="N12" i="3"/>
  <c r="O12" i="3" s="1"/>
  <c r="N11" i="3"/>
  <c r="O11" i="3" s="1"/>
  <c r="N15" i="3"/>
  <c r="O15" i="3" s="1"/>
  <c r="N76" i="3"/>
  <c r="O76" i="3" s="1"/>
  <c r="N70" i="3"/>
  <c r="O70" i="3" s="1"/>
  <c r="N58" i="3"/>
  <c r="O58" i="3" s="1"/>
  <c r="N94" i="3"/>
  <c r="O94" i="3" s="1"/>
  <c r="N60" i="3"/>
  <c r="N62" i="3"/>
  <c r="O62" i="3" s="1"/>
  <c r="N49" i="3"/>
  <c r="O49" i="3" s="1"/>
  <c r="N30" i="3"/>
  <c r="O30" i="3" s="1"/>
  <c r="N24" i="3"/>
  <c r="O24" i="3" s="1"/>
  <c r="N6" i="3"/>
  <c r="O6" i="3" s="1"/>
  <c r="N18" i="3"/>
  <c r="O18" i="3" s="1"/>
  <c r="N17" i="3"/>
  <c r="O17" i="3" s="1"/>
  <c r="N10" i="3"/>
  <c r="O10" i="3" s="1"/>
  <c r="N115" i="3" l="1"/>
  <c r="M115" i="3"/>
  <c r="N116" i="3"/>
  <c r="M116" i="3"/>
  <c r="N117" i="3"/>
  <c r="M117" i="3"/>
  <c r="N118" i="3"/>
  <c r="M118" i="3"/>
  <c r="N119" i="3"/>
  <c r="M119" i="3"/>
  <c r="N120" i="3"/>
  <c r="M120" i="3"/>
  <c r="N121" i="3"/>
  <c r="M121" i="3"/>
  <c r="N122" i="3"/>
  <c r="M122" i="3"/>
  <c r="N123" i="3"/>
  <c r="M123" i="3"/>
  <c r="N124" i="3"/>
  <c r="M124" i="3"/>
  <c r="N125" i="3"/>
  <c r="M125" i="3"/>
  <c r="N126" i="3"/>
  <c r="M126" i="3"/>
  <c r="N127" i="3"/>
  <c r="M127" i="3"/>
  <c r="N128" i="3"/>
  <c r="M128" i="3"/>
  <c r="N129" i="3"/>
  <c r="M129" i="3"/>
  <c r="N130" i="3"/>
  <c r="M130" i="3"/>
  <c r="N131" i="3"/>
  <c r="M131" i="3"/>
  <c r="N132" i="3"/>
  <c r="M132" i="3"/>
  <c r="N133" i="3"/>
  <c r="M133" i="3"/>
  <c r="N134" i="3"/>
  <c r="M134" i="3"/>
  <c r="N135" i="3"/>
  <c r="M135" i="3"/>
  <c r="N136" i="3"/>
  <c r="M136" i="3"/>
  <c r="N137" i="3"/>
  <c r="M137" i="3"/>
  <c r="N138" i="3"/>
  <c r="M138" i="3"/>
  <c r="N139" i="3"/>
  <c r="M139" i="3"/>
  <c r="N140" i="3"/>
  <c r="M140" i="3"/>
  <c r="N141" i="3"/>
  <c r="M141" i="3"/>
  <c r="N142" i="3"/>
  <c r="M142" i="3"/>
  <c r="N143" i="3"/>
  <c r="M143" i="3"/>
  <c r="N144" i="3"/>
  <c r="M144" i="3"/>
  <c r="N145" i="3"/>
  <c r="M145" i="3"/>
  <c r="N146" i="3"/>
  <c r="M146" i="3"/>
  <c r="N147" i="3"/>
  <c r="M147" i="3"/>
  <c r="N148" i="3"/>
  <c r="M148" i="3"/>
  <c r="N149" i="3"/>
  <c r="M149" i="3"/>
  <c r="N150" i="3"/>
  <c r="M150" i="3"/>
  <c r="N151" i="3"/>
  <c r="M151" i="3"/>
  <c r="N152" i="3"/>
  <c r="M152" i="3"/>
  <c r="N153" i="3"/>
  <c r="M153" i="3"/>
  <c r="N154" i="3"/>
  <c r="M154" i="3"/>
  <c r="N155" i="3"/>
  <c r="M155" i="3"/>
  <c r="N156" i="3"/>
  <c r="M156" i="3"/>
  <c r="N157" i="3"/>
  <c r="M157" i="3"/>
  <c r="N158" i="3"/>
  <c r="M158" i="3"/>
  <c r="N99" i="3"/>
  <c r="M99" i="3"/>
  <c r="N107" i="3"/>
  <c r="N106" i="3"/>
  <c r="N105" i="3"/>
  <c r="N104" i="3"/>
  <c r="N103" i="3"/>
  <c r="N102" i="3"/>
  <c r="N101" i="3"/>
  <c r="N100" i="3"/>
  <c r="M107" i="3"/>
  <c r="M106" i="3"/>
  <c r="M105" i="3"/>
  <c r="M104" i="3"/>
  <c r="M103" i="3"/>
  <c r="M102" i="3"/>
  <c r="M101" i="3"/>
  <c r="M100" i="3"/>
  <c r="N108" i="3"/>
  <c r="M108" i="3"/>
  <c r="N109" i="3"/>
  <c r="M109" i="3"/>
  <c r="N110" i="3"/>
  <c r="M110" i="3"/>
  <c r="N111" i="3"/>
  <c r="M111" i="3"/>
  <c r="N112" i="3"/>
  <c r="M112" i="3"/>
  <c r="N113" i="3"/>
  <c r="M113" i="3"/>
  <c r="N114" i="3"/>
  <c r="M114" i="3"/>
  <c r="AL76" i="3"/>
  <c r="F78" i="17" s="1"/>
  <c r="AH82" i="3"/>
  <c r="F55" i="17" s="1"/>
  <c r="O23" i="3"/>
  <c r="O13" i="3"/>
  <c r="O8" i="3"/>
  <c r="O9" i="3"/>
  <c r="N81" i="3"/>
  <c r="N75" i="3"/>
  <c r="N74" i="3"/>
  <c r="O74" i="3" s="1"/>
  <c r="N65" i="3"/>
  <c r="N66" i="3"/>
  <c r="O66" i="3" s="1"/>
  <c r="N41" i="3"/>
  <c r="O41" i="3" s="1"/>
  <c r="N39" i="3"/>
  <c r="N67" i="3"/>
  <c r="N98" i="3"/>
  <c r="O98" i="3" s="1"/>
  <c r="N45" i="3"/>
  <c r="O45" i="3" s="1"/>
  <c r="N59" i="3"/>
  <c r="N46" i="3"/>
  <c r="N85" i="3"/>
  <c r="N43" i="3"/>
  <c r="O43" i="3" s="1"/>
  <c r="N68" i="3"/>
  <c r="N55" i="3"/>
  <c r="N77" i="3"/>
  <c r="O77" i="3" s="1"/>
  <c r="N54" i="3"/>
  <c r="O54" i="3" s="1"/>
  <c r="N48" i="3"/>
  <c r="O48" i="3" s="1"/>
  <c r="N64" i="3"/>
  <c r="N97" i="3"/>
  <c r="N79" i="3"/>
  <c r="O79" i="3" s="1"/>
  <c r="N89" i="3"/>
  <c r="O89" i="3" s="1"/>
  <c r="N33" i="3"/>
  <c r="O33" i="3" s="1"/>
  <c r="N37" i="3"/>
  <c r="O37" i="3" s="1"/>
  <c r="N28" i="3"/>
  <c r="O28" i="3" s="1"/>
  <c r="N42" i="3"/>
  <c r="O42" i="3" s="1"/>
  <c r="N3" i="3"/>
  <c r="N4" i="3"/>
  <c r="O31" i="3"/>
  <c r="O59" i="3"/>
  <c r="O60" i="3"/>
  <c r="O65" i="3"/>
  <c r="O73" i="3"/>
  <c r="O71" i="3"/>
  <c r="O46" i="3"/>
  <c r="O26" i="3"/>
  <c r="O19" i="3"/>
  <c r="O3" i="3"/>
  <c r="O35" i="3"/>
  <c r="O50" i="3"/>
  <c r="O80" i="3"/>
  <c r="O22" i="3"/>
  <c r="O91" i="3"/>
  <c r="O81" i="3"/>
  <c r="O64" i="3"/>
  <c r="O82" i="3"/>
  <c r="O44" i="3"/>
  <c r="O83" i="3"/>
  <c r="O96" i="3"/>
  <c r="O29" i="3"/>
  <c r="O56" i="3"/>
  <c r="O97" i="3"/>
  <c r="O72" i="3"/>
  <c r="O75" i="3"/>
  <c r="O53" i="3"/>
  <c r="O4" i="3"/>
  <c r="O7" i="3"/>
  <c r="O57" i="3"/>
  <c r="O52" i="3"/>
  <c r="O36" i="3"/>
  <c r="O92" i="3"/>
  <c r="O68" i="3"/>
  <c r="O16" i="3"/>
  <c r="O34" i="3"/>
  <c r="O85" i="3"/>
  <c r="O61" i="3"/>
  <c r="O67" i="3"/>
  <c r="O88" i="3"/>
  <c r="O63" i="3"/>
  <c r="O78" i="3"/>
  <c r="O55" i="3"/>
  <c r="O14" i="3"/>
  <c r="O32" i="3"/>
  <c r="O20" i="3"/>
  <c r="O21" i="3"/>
  <c r="O39" i="3"/>
  <c r="O69" i="3"/>
  <c r="O86" i="3"/>
  <c r="O90" i="3"/>
  <c r="O158" i="3" l="1"/>
  <c r="G154" i="17" s="1"/>
  <c r="O157" i="3"/>
  <c r="G157" i="17" s="1"/>
  <c r="O156" i="3"/>
  <c r="G151" i="17" s="1"/>
  <c r="O155" i="3"/>
  <c r="G143" i="17" s="1"/>
  <c r="O154" i="3"/>
  <c r="G156" i="17" s="1"/>
  <c r="O153" i="3"/>
  <c r="G142" i="17" s="1"/>
  <c r="O152" i="3"/>
  <c r="G144" i="17" s="1"/>
  <c r="O151" i="3"/>
  <c r="G148" i="17" s="1"/>
  <c r="O150" i="3"/>
  <c r="G134" i="17" s="1"/>
  <c r="O149" i="3"/>
  <c r="G155" i="17" s="1"/>
  <c r="O148" i="3"/>
  <c r="G139" i="17" s="1"/>
  <c r="O147" i="3"/>
  <c r="G140" i="17" s="1"/>
  <c r="O146" i="3"/>
  <c r="G150" i="17" s="1"/>
  <c r="O145" i="3"/>
  <c r="G136" i="17" s="1"/>
  <c r="O144" i="3"/>
  <c r="G138" i="17" s="1"/>
  <c r="O143" i="3"/>
  <c r="G149" i="17" s="1"/>
  <c r="O142" i="3"/>
  <c r="G137" i="17" s="1"/>
  <c r="O141" i="3"/>
  <c r="G145" i="17" s="1"/>
  <c r="O140" i="3"/>
  <c r="G147" i="17" s="1"/>
  <c r="O139" i="3"/>
  <c r="G153" i="17" s="1"/>
  <c r="O138" i="3"/>
  <c r="G141" i="17" s="1"/>
  <c r="O137" i="3"/>
  <c r="G152" i="17" s="1"/>
  <c r="O136" i="3"/>
  <c r="G146" i="17" s="1"/>
  <c r="O135" i="3"/>
  <c r="G135" i="17" s="1"/>
  <c r="O134" i="3"/>
  <c r="G133" i="17" s="1"/>
  <c r="O133" i="3"/>
  <c r="G132" i="17" s="1"/>
  <c r="O132" i="3"/>
  <c r="G131" i="17" s="1"/>
  <c r="O131" i="3"/>
  <c r="G130" i="17" s="1"/>
  <c r="O130" i="3"/>
  <c r="G129" i="17" s="1"/>
  <c r="O129" i="3"/>
  <c r="G128" i="17" s="1"/>
  <c r="O128" i="3"/>
  <c r="G127" i="17" s="1"/>
  <c r="O127" i="3"/>
  <c r="G126" i="17" s="1"/>
  <c r="O126" i="3"/>
  <c r="G125" i="17" s="1"/>
  <c r="O125" i="3"/>
  <c r="G124" i="17" s="1"/>
  <c r="O124" i="3"/>
  <c r="G123" i="17" s="1"/>
  <c r="O123" i="3"/>
  <c r="G122" i="17" s="1"/>
  <c r="O122" i="3"/>
  <c r="G121" i="17" s="1"/>
  <c r="O121" i="3"/>
  <c r="G120" i="17" s="1"/>
  <c r="O120" i="3"/>
  <c r="G119" i="17" s="1"/>
  <c r="O119" i="3"/>
  <c r="G118" i="17" s="1"/>
  <c r="O118" i="3"/>
  <c r="G117" i="17" s="1"/>
  <c r="O117" i="3"/>
  <c r="G116" i="17" s="1"/>
  <c r="O116" i="3"/>
  <c r="G115" i="17" s="1"/>
  <c r="O115" i="3"/>
  <c r="G114" i="17" s="1"/>
  <c r="O114" i="3"/>
  <c r="O113" i="3"/>
  <c r="O112" i="3"/>
  <c r="O111" i="3"/>
  <c r="O110" i="3"/>
  <c r="O109" i="3"/>
  <c r="O108" i="3"/>
  <c r="O100" i="3"/>
  <c r="O101" i="3"/>
  <c r="O102" i="3"/>
  <c r="O103" i="3"/>
  <c r="O104" i="3"/>
  <c r="O105" i="3"/>
  <c r="O106" i="3"/>
  <c r="O107" i="3"/>
  <c r="O9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Kaminski</author>
  </authors>
  <commentList>
    <comment ref="A15" authorId="0" shapeId="0" xr:uid="{70FCDBE3-13FD-4316-AA96-82E42255C0BA}">
      <text>
        <r>
          <rPr>
            <sz val="11"/>
            <color theme="1"/>
            <rFont val="Calibri"/>
            <family val="2"/>
            <scheme val="minor"/>
          </rPr>
          <t xml:space="preserve">Andy Kaminski:
&gt;17.4 FPTs/G in first 3 szns
</t>
        </r>
      </text>
    </comment>
    <comment ref="B15" authorId="0" shapeId="0" xr:uid="{2A9CEDAA-9E68-4760-8A48-227D937B24AA}">
      <text>
        <r>
          <rPr>
            <sz val="11"/>
            <color theme="1"/>
            <rFont val="Calibri"/>
            <family val="2"/>
            <scheme val="minor"/>
          </rPr>
          <t xml:space="preserve">Andy Kaminski:
&gt;13.3 FPTs/G in first 3 szns
</t>
        </r>
      </text>
    </comment>
    <comment ref="A27" authorId="0" shapeId="0" xr:uid="{BC426B08-C21F-47F3-BFA4-A182D18A60EC}">
      <text>
        <r>
          <rPr>
            <sz val="11"/>
            <color theme="1"/>
            <rFont val="Calibri"/>
            <family val="2"/>
            <scheme val="minor"/>
          </rPr>
          <t xml:space="preserve">Andy Kaminski:
&gt;17.4 FPTs/G in first 3 szns
</t>
        </r>
      </text>
    </comment>
    <comment ref="B27" authorId="0" shapeId="0" xr:uid="{1B9BF64E-F3D0-47F2-98AB-41963A12AD96}">
      <text>
        <r>
          <rPr>
            <sz val="11"/>
            <color theme="1"/>
            <rFont val="Calibri"/>
            <family val="2"/>
            <scheme val="minor"/>
          </rPr>
          <t xml:space="preserve">Andy Kaminski:
&gt;13.3 FPTs/G in first 3 szns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Kaminski</author>
  </authors>
  <commentList>
    <comment ref="F1" authorId="0" shapeId="0" xr:uid="{B214BDD0-13D6-4955-8278-5003AD98CCC4}">
      <text>
        <r>
          <rPr>
            <sz val="11"/>
            <color theme="1"/>
            <rFont val="Calibri"/>
            <family val="2"/>
            <scheme val="minor"/>
          </rPr>
          <t xml:space="preserve">Andy Kaminski:
This value or above = 10
</t>
        </r>
      </text>
    </comment>
    <comment ref="G1" authorId="0" shapeId="0" xr:uid="{29CAFE0D-342F-4071-A509-FA1888483885}">
      <text>
        <r>
          <rPr>
            <sz val="11"/>
            <color theme="1"/>
            <rFont val="Calibri"/>
            <family val="2"/>
            <scheme val="minor"/>
          </rPr>
          <t xml:space="preserve">Andy Kaminski:
This value or below = 0
</t>
        </r>
      </text>
    </comment>
  </commentList>
</comments>
</file>

<file path=xl/sharedStrings.xml><?xml version="1.0" encoding="utf-8"?>
<sst xmlns="http://schemas.openxmlformats.org/spreadsheetml/2006/main" count="1058" uniqueCount="291">
  <si>
    <t>Credit inspiration for this project to Ron Stewart. Ron had initially done this project using his own method. I wanted to attempt to replicate, but using some more refined numbers to see if I could achieve a better R^2 value.</t>
  </si>
  <si>
    <t>LZ Grades ---&gt; Credit to Lance Zierlein. His in-depth analysis is able to achieve a good film score for my analysis</t>
  </si>
  <si>
    <t>Sports Reference ---&gt; provided the college stats and combine outputs for the main bulk of the data</t>
  </si>
  <si>
    <t>Scores</t>
  </si>
  <si>
    <t>Weights</t>
  </si>
  <si>
    <t>Player Name</t>
  </si>
  <si>
    <t>AK Score</t>
  </si>
  <si>
    <t>FPTS/G</t>
  </si>
  <si>
    <t>LZ Score</t>
  </si>
  <si>
    <t>Draft Score</t>
  </si>
  <si>
    <t>BF Dom Score</t>
  </si>
  <si>
    <t>PTDR Score</t>
  </si>
  <si>
    <t>Passer Rate Score</t>
  </si>
  <si>
    <t>PTD:INT Score</t>
  </si>
  <si>
    <t>Patt:Ratt Score</t>
  </si>
  <si>
    <t>Y/A Score</t>
  </si>
  <si>
    <t>AY/A Score</t>
  </si>
  <si>
    <t>40yd Score</t>
  </si>
  <si>
    <t>Hand Size Score</t>
  </si>
  <si>
    <t>Marcus Mariota</t>
  </si>
  <si>
    <t>Kyler Murray</t>
  </si>
  <si>
    <t>Mitchell Trubisky</t>
  </si>
  <si>
    <t>Deshaun Watson</t>
  </si>
  <si>
    <t>Jameis Winston</t>
  </si>
  <si>
    <t>Baker Mayfield</t>
  </si>
  <si>
    <t>Sam Darnold</t>
  </si>
  <si>
    <t>Carson Wentz</t>
  </si>
  <si>
    <t>Jared Goff</t>
  </si>
  <si>
    <t>Dwayne Haskins</t>
  </si>
  <si>
    <t>Lamar Jackson</t>
  </si>
  <si>
    <t>Paxton Lynch</t>
  </si>
  <si>
    <t>Josh Allen</t>
  </si>
  <si>
    <t xml:space="preserve">QB1% </t>
  </si>
  <si>
    <t>QB2%</t>
  </si>
  <si>
    <t>Range</t>
  </si>
  <si>
    <t>Patrick Mahomes II</t>
  </si>
  <si>
    <t>9-10</t>
  </si>
  <si>
    <t>Josh Rosen</t>
  </si>
  <si>
    <t>8-9</t>
  </si>
  <si>
    <t>Daniel Jones</t>
  </si>
  <si>
    <t>7-8</t>
  </si>
  <si>
    <t>Deshone Kizer</t>
  </si>
  <si>
    <t>6-7</t>
  </si>
  <si>
    <t>Drew Lock</t>
  </si>
  <si>
    <t>5-6</t>
  </si>
  <si>
    <t>Mason Rudolph</t>
  </si>
  <si>
    <t>4-5</t>
  </si>
  <si>
    <t>Will Grier</t>
  </si>
  <si>
    <t>3-4</t>
  </si>
  <si>
    <t>Garrett Grayson</t>
  </si>
  <si>
    <t>2-3</t>
  </si>
  <si>
    <t>Cody Kessler</t>
  </si>
  <si>
    <t>1-2</t>
  </si>
  <si>
    <t>Christian Hackenberg</t>
  </si>
  <si>
    <t>0-1</t>
  </si>
  <si>
    <t>Jarrett Stidham</t>
  </si>
  <si>
    <t>Connor Cook</t>
  </si>
  <si>
    <t>Jacoby Brissett</t>
  </si>
  <si>
    <t>7-10</t>
  </si>
  <si>
    <t>Brett Hundley</t>
  </si>
  <si>
    <t>4-7</t>
  </si>
  <si>
    <t>Dak Prescott</t>
  </si>
  <si>
    <t>0-4</t>
  </si>
  <si>
    <t>Cardale Jones</t>
  </si>
  <si>
    <t>Bryce Petty</t>
  </si>
  <si>
    <t>Nathan Peterman</t>
  </si>
  <si>
    <t>Ryan Finley</t>
  </si>
  <si>
    <t>Kyle Lauletta</t>
  </si>
  <si>
    <t>Davis Webb</t>
  </si>
  <si>
    <t>Chad Kelly</t>
  </si>
  <si>
    <t>Easton Stick</t>
  </si>
  <si>
    <t>Brad Kaaya</t>
  </si>
  <si>
    <t>C.J. Beathard</t>
  </si>
  <si>
    <t>Kevin Hogan</t>
  </si>
  <si>
    <t>Joshua Dobbs</t>
  </si>
  <si>
    <t>Mike White</t>
  </si>
  <si>
    <t>Logan Woodside</t>
  </si>
  <si>
    <t>Sean Mannion</t>
  </si>
  <si>
    <t>Luke Falk</t>
  </si>
  <si>
    <t>Jordan Ta'amu</t>
  </si>
  <si>
    <t>Blake Sims</t>
  </si>
  <si>
    <t>Trace Mcsorley</t>
  </si>
  <si>
    <t>Clayton Thorson</t>
  </si>
  <si>
    <t>Brandon Allen</t>
  </si>
  <si>
    <t>Nate Sudfeld</t>
  </si>
  <si>
    <t>JT Barrett</t>
  </si>
  <si>
    <t>Taryn Christion</t>
  </si>
  <si>
    <t>Jeff Driskel</t>
  </si>
  <si>
    <t>Layton Rabb</t>
  </si>
  <si>
    <t>Bryan Bennett</t>
  </si>
  <si>
    <t>Manny Wilkins</t>
  </si>
  <si>
    <t>Tyree Jackson</t>
  </si>
  <si>
    <t>Jake Rudock</t>
  </si>
  <si>
    <t>Riley Ferguson</t>
  </si>
  <si>
    <t>Trevone Boykin</t>
  </si>
  <si>
    <t>Taylor Heinicke</t>
  </si>
  <si>
    <t>Jake Browning</t>
  </si>
  <si>
    <t>Brandon Doughty</t>
  </si>
  <si>
    <t>Jake Coker</t>
  </si>
  <si>
    <t>Jeremiah Briscoe</t>
  </si>
  <si>
    <t>Hutson Mason</t>
  </si>
  <si>
    <t>Zach Terrell</t>
  </si>
  <si>
    <t>Brett Rypien</t>
  </si>
  <si>
    <t>Shane Carden</t>
  </si>
  <si>
    <t>Gardner Minshew II</t>
  </si>
  <si>
    <t>Nic Shimonek</t>
  </si>
  <si>
    <t>Luis Perez</t>
  </si>
  <si>
    <t>Cody Fajardo</t>
  </si>
  <si>
    <t>Austin Allen</t>
  </si>
  <si>
    <t>Danny Etling</t>
  </si>
  <si>
    <t>Nick Fitzgerald</t>
  </si>
  <si>
    <t>Jerry Lovelocke</t>
  </si>
  <si>
    <t>Josh Woodrum</t>
  </si>
  <si>
    <t>Alek Torgersen</t>
  </si>
  <si>
    <t>Dylan Thompson</t>
  </si>
  <si>
    <t>Trevor Siemian</t>
  </si>
  <si>
    <t>Jacob Dolegala</t>
  </si>
  <si>
    <t>Joel Stave</t>
  </si>
  <si>
    <t>Cooper Rush</t>
  </si>
  <si>
    <t>Nick Stevens</t>
  </si>
  <si>
    <t>Trevor Knight</t>
  </si>
  <si>
    <t>Chase Litton</t>
  </si>
  <si>
    <t>Nick Mullens</t>
  </si>
  <si>
    <t>Connor Halliday</t>
  </si>
  <si>
    <t>Tanner Lee</t>
  </si>
  <si>
    <t>Kyle Shurmur</t>
  </si>
  <si>
    <t>Mitch Leidner</t>
  </si>
  <si>
    <t>Kurt Benkert</t>
  </si>
  <si>
    <t>Anthony Boone</t>
  </si>
  <si>
    <t>Sefo Liufau</t>
  </si>
  <si>
    <t>Wes Lunt</t>
  </si>
  <si>
    <t>Kenny Pickett</t>
  </si>
  <si>
    <t>Matt Corral</t>
  </si>
  <si>
    <t>Malik Willis</t>
  </si>
  <si>
    <t>Desmond Ridder</t>
  </si>
  <si>
    <t>Sam Howell</t>
  </si>
  <si>
    <t>Bailey Zappe</t>
  </si>
  <si>
    <t>Dustin Crum</t>
  </si>
  <si>
    <t>Jack Coan</t>
  </si>
  <si>
    <t>Brock Purdy</t>
  </si>
  <si>
    <t>D'Eriq King</t>
  </si>
  <si>
    <t>Kaleb Eleby</t>
  </si>
  <si>
    <t>Chris Oladokun</t>
  </si>
  <si>
    <t>Carson Strong</t>
  </si>
  <si>
    <t>EJ Perry</t>
  </si>
  <si>
    <t>Skylar Thompson</t>
  </si>
  <si>
    <t>Cole Kelley</t>
  </si>
  <si>
    <t>Trevor Lawrence</t>
  </si>
  <si>
    <t>Zach Wilson</t>
  </si>
  <si>
    <t>Trey Lance</t>
  </si>
  <si>
    <t>Justin Fields</t>
  </si>
  <si>
    <t>Mac Jones</t>
  </si>
  <si>
    <t>Kyle Trask</t>
  </si>
  <si>
    <t>Kellen Mond</t>
  </si>
  <si>
    <t>Davis Mills</t>
  </si>
  <si>
    <t>Ian Book</t>
  </si>
  <si>
    <t>Sam Ehlinger</t>
  </si>
  <si>
    <t>Jamie Newman</t>
  </si>
  <si>
    <t>Feleipe Franks</t>
  </si>
  <si>
    <t>Peyton Ramsey</t>
  </si>
  <si>
    <t>Shane Buechele</t>
  </si>
  <si>
    <t>Brady White</t>
  </si>
  <si>
    <t>Kevin Thomson</t>
  </si>
  <si>
    <t>Zac Thomas</t>
  </si>
  <si>
    <t>Zach Smith</t>
  </si>
  <si>
    <t>David Moore</t>
  </si>
  <si>
    <t>Brady Davis</t>
  </si>
  <si>
    <t>Joe Burrow</t>
  </si>
  <si>
    <t>Tua Tagovailoa</t>
  </si>
  <si>
    <t>Justin Herbert</t>
  </si>
  <si>
    <t>Jordan Love</t>
  </si>
  <si>
    <t>Jalen Hurts</t>
  </si>
  <si>
    <t>Jacob Eason</t>
  </si>
  <si>
    <t>Jake Fromm</t>
  </si>
  <si>
    <t>Cole McDonald</t>
  </si>
  <si>
    <t>James Morgan</t>
  </si>
  <si>
    <t>Kevin Davidson</t>
  </si>
  <si>
    <t>Nate Stanley</t>
  </si>
  <si>
    <t>Case Cookus</t>
  </si>
  <si>
    <t>Reid Sinnett</t>
  </si>
  <si>
    <t>Tommy Stevens</t>
  </si>
  <si>
    <t>Tyler Huntley</t>
  </si>
  <si>
    <t>Kelly Bryant</t>
  </si>
  <si>
    <t>Anthony Gordon</t>
  </si>
  <si>
    <t>Bryce Perkins</t>
  </si>
  <si>
    <t>Shea Patterson</t>
  </si>
  <si>
    <t>Ben DiNucci</t>
  </si>
  <si>
    <t>Jake Luton</t>
  </si>
  <si>
    <t>Steven Montez</t>
  </si>
  <si>
    <t>J'Mar Smith</t>
  </si>
  <si>
    <t>Brian Lewerke</t>
  </si>
  <si>
    <t>SCORES</t>
  </si>
  <si>
    <t>Draft Year</t>
  </si>
  <si>
    <t>Draft Round</t>
  </si>
  <si>
    <t>Pos</t>
  </si>
  <si>
    <t>LZ Grade</t>
  </si>
  <si>
    <t>LZ Explanation</t>
  </si>
  <si>
    <t>Year 1 G</t>
  </si>
  <si>
    <t>Year 1 FPTs</t>
  </si>
  <si>
    <t>Year 2 G</t>
  </si>
  <si>
    <t>Year 2 FPTs</t>
  </si>
  <si>
    <t>Year 3 G</t>
  </si>
  <si>
    <t>Year 3 FPTs</t>
  </si>
  <si>
    <t>Total G</t>
  </si>
  <si>
    <t>Total FPTs</t>
  </si>
  <si>
    <t>Tier</t>
  </si>
  <si>
    <t>College BF Dominator</t>
  </si>
  <si>
    <t>College PTDR</t>
  </si>
  <si>
    <t>College Passer Rating</t>
  </si>
  <si>
    <t>PTD:INT</t>
  </si>
  <si>
    <t>Patt:Ratt</t>
  </si>
  <si>
    <t>Y/A</t>
  </si>
  <si>
    <t>AY/A</t>
  </si>
  <si>
    <t>Sack Rate</t>
  </si>
  <si>
    <t>40 Yd Dash</t>
  </si>
  <si>
    <t>Hand Size</t>
  </si>
  <si>
    <t>Height</t>
  </si>
  <si>
    <t>Weight</t>
  </si>
  <si>
    <t>BMI</t>
  </si>
  <si>
    <t>QB</t>
  </si>
  <si>
    <t>Will eventually be plus starter</t>
  </si>
  <si>
    <t>6'2"</t>
  </si>
  <si>
    <t>Year 1 Starter</t>
  </si>
  <si>
    <t>5'10"</t>
  </si>
  <si>
    <t>Will become good starter within two years</t>
  </si>
  <si>
    <t>6'5"</t>
  </si>
  <si>
    <t>Pro Bowl Talent</t>
  </si>
  <si>
    <t>6'4"</t>
  </si>
  <si>
    <t>6'1"</t>
  </si>
  <si>
    <t>6'3"</t>
  </si>
  <si>
    <t>6'7"</t>
  </si>
  <si>
    <t>Good backup with the potential to develop into starter</t>
  </si>
  <si>
    <t>Priority undrafted free agent</t>
  </si>
  <si>
    <t>Will eventually be average starter</t>
  </si>
  <si>
    <t>Average backup or special-teamer</t>
  </si>
  <si>
    <t>6'6"</t>
  </si>
  <si>
    <t>Candidate for bottom of roster or practice squad</t>
  </si>
  <si>
    <t>Don't Draft</t>
  </si>
  <si>
    <t>6'0"</t>
  </si>
  <si>
    <t>5'11"</t>
  </si>
  <si>
    <t>6'1.75"</t>
  </si>
  <si>
    <t>Passing</t>
  </si>
  <si>
    <t>Rushing</t>
  </si>
  <si>
    <t>Fantasy</t>
  </si>
  <si>
    <t>Year</t>
  </si>
  <si>
    <t>Pos Rank</t>
  </si>
  <si>
    <t>Player</t>
  </si>
  <si>
    <t>Year2</t>
  </si>
  <si>
    <t>Cmp</t>
  </si>
  <si>
    <t>P Att</t>
  </si>
  <si>
    <t>Cmp Pct</t>
  </si>
  <si>
    <t>P TD</t>
  </si>
  <si>
    <t>INT</t>
  </si>
  <si>
    <t>Sacks</t>
  </si>
  <si>
    <t>Ru Att</t>
  </si>
  <si>
    <t>Ru Yds</t>
  </si>
  <si>
    <t>R TD</t>
  </si>
  <si>
    <t>FL</t>
  </si>
  <si>
    <t>FPTs</t>
  </si>
  <si>
    <t>G</t>
  </si>
  <si>
    <t>PAtt</t>
  </si>
  <si>
    <t>TD</t>
  </si>
  <si>
    <t>Rate</t>
  </si>
  <si>
    <t>RAtt</t>
  </si>
  <si>
    <t>RYds</t>
  </si>
  <si>
    <t>RTDs</t>
  </si>
  <si>
    <t>Team RYds</t>
  </si>
  <si>
    <t>Parameter</t>
  </si>
  <si>
    <t>Equation</t>
  </si>
  <si>
    <t>R^2</t>
  </si>
  <si>
    <t>IF Zero (INPUT)</t>
  </si>
  <si>
    <t>A+ Threshold (INPUT)</t>
  </si>
  <si>
    <t>F Threshold (INPUT)</t>
  </si>
  <si>
    <t>9.297*X-49.141</t>
  </si>
  <si>
    <t>20.884*EXP(-.381*X)</t>
  </si>
  <si>
    <t>-</t>
  </si>
  <si>
    <t>BF Dom</t>
  </si>
  <si>
    <t>20.818*X+3.2667</t>
  </si>
  <si>
    <t>PTDR</t>
  </si>
  <si>
    <t>105.24*X-1.7837</t>
  </si>
  <si>
    <t>Passer Rating</t>
  </si>
  <si>
    <t>.1495*X-16.815</t>
  </si>
  <si>
    <t>4.7442*LN(X)+.4256</t>
  </si>
  <si>
    <t>-2.684*LN(X)+9.0869</t>
  </si>
  <si>
    <t>2.2619*X-14.16</t>
  </si>
  <si>
    <t>1.6571*X-9.1312</t>
  </si>
  <si>
    <t>40Yd Dash</t>
  </si>
  <si>
    <t>-66.95*LN(X)+110.26</t>
  </si>
  <si>
    <t>15.49*LN(X)-30.577</t>
  </si>
  <si>
    <t>Average of LZ Grade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</si>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</sst>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3" borderId="4" xfId="0" applyFill="1" applyBorder="1"/>
    <xf numFmtId="2" fontId="0" fillId="0" borderId="0" xfId="1" applyNumberFormat="1" applyFont="1"/>
    <xf numFmtId="0" fontId="3" fillId="0" borderId="0" xfId="0" quotePrefix="1" applyFont="1"/>
    <xf numFmtId="49" fontId="0" fillId="0" borderId="0" xfId="0" applyNumberFormat="1"/>
    <xf numFmtId="0" fontId="0" fillId="3" borderId="0" xfId="0" applyFill="1"/>
    <xf numFmtId="165" fontId="0" fillId="0" borderId="0" xfId="0" applyNumberFormat="1"/>
    <xf numFmtId="0" fontId="0" fillId="0" borderId="0" xfId="0" quotePrefix="1"/>
    <xf numFmtId="9" fontId="0" fillId="0" borderId="0" xfId="0" applyNumberFormat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4" fillId="0" borderId="0" xfId="0" applyFont="1"/>
    <xf numFmtId="0" fontId="0" fillId="0" borderId="0" xfId="0" pivotButton="1"/>
    <xf numFmtId="0" fontId="5" fillId="6" borderId="6" xfId="0" applyFont="1" applyFill="1" applyBorder="1"/>
    <xf numFmtId="0" fontId="6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CE4D6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FPTS/G v AK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Scores!$G$1</c:f>
              <c:strCache>
                <c:ptCount val="1"/>
                <c:pt idx="0">
                  <c:v>FPTS/G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Scores!$F$2:$F$97</c:f>
              <c:numCache>
                <c:formatCode>0.00</c:formatCode>
                <c:ptCount val="96"/>
                <c:pt idx="0">
                  <c:v>9.5804861399999997</c:v>
                </c:pt>
                <c:pt idx="1">
                  <c:v>9.512722308999999</c:v>
                </c:pt>
                <c:pt idx="2">
                  <c:v>9.2662015100000001</c:v>
                </c:pt>
                <c:pt idx="3">
                  <c:v>9.1323423469999998</c:v>
                </c:pt>
                <c:pt idx="4">
                  <c:v>9.0522922910000005</c:v>
                </c:pt>
                <c:pt idx="5">
                  <c:v>8.9770202109999993</c:v>
                </c:pt>
                <c:pt idx="6">
                  <c:v>8.9437639840000003</c:v>
                </c:pt>
                <c:pt idx="7">
                  <c:v>8.6402108389999999</c:v>
                </c:pt>
                <c:pt idx="8">
                  <c:v>8.5187516610000014</c:v>
                </c:pt>
                <c:pt idx="9">
                  <c:v>8.4997914360000006</c:v>
                </c:pt>
                <c:pt idx="10">
                  <c:v>8.4127261019999988</c:v>
                </c:pt>
                <c:pt idx="11">
                  <c:v>8.1675704390000003</c:v>
                </c:pt>
                <c:pt idx="12">
                  <c:v>8.0027302749999993</c:v>
                </c:pt>
                <c:pt idx="13">
                  <c:v>7.9919987869999991</c:v>
                </c:pt>
                <c:pt idx="14">
                  <c:v>7.8100565019999983</c:v>
                </c:pt>
                <c:pt idx="15">
                  <c:v>7.1177050579999994</c:v>
                </c:pt>
                <c:pt idx="16">
                  <c:v>6.9080050059999998</c:v>
                </c:pt>
                <c:pt idx="17">
                  <c:v>6.8539683760000001</c:v>
                </c:pt>
                <c:pt idx="18">
                  <c:v>5.9378863119999998</c:v>
                </c:pt>
                <c:pt idx="19">
                  <c:v>5.8509347379999994</c:v>
                </c:pt>
                <c:pt idx="20">
                  <c:v>5.4696446860000005</c:v>
                </c:pt>
                <c:pt idx="21">
                  <c:v>5.4439346239999997</c:v>
                </c:pt>
                <c:pt idx="22">
                  <c:v>5.3449243499999994</c:v>
                </c:pt>
                <c:pt idx="23">
                  <c:v>5.2386333459999994</c:v>
                </c:pt>
                <c:pt idx="24">
                  <c:v>5.226536726</c:v>
                </c:pt>
                <c:pt idx="25">
                  <c:v>5.0362519450000001</c:v>
                </c:pt>
                <c:pt idx="26">
                  <c:v>5.000530886</c:v>
                </c:pt>
                <c:pt idx="27">
                  <c:v>4.9798263240000002</c:v>
                </c:pt>
                <c:pt idx="28">
                  <c:v>4.9229456599999999</c:v>
                </c:pt>
                <c:pt idx="29">
                  <c:v>4.9208600330000003</c:v>
                </c:pt>
                <c:pt idx="30">
                  <c:v>4.9180539239999996</c:v>
                </c:pt>
                <c:pt idx="31">
                  <c:v>4.765462061</c:v>
                </c:pt>
                <c:pt idx="32">
                  <c:v>4.6058169949999996</c:v>
                </c:pt>
                <c:pt idx="33">
                  <c:v>4.4450343189999995</c:v>
                </c:pt>
                <c:pt idx="34">
                  <c:v>4.3595995599999995</c:v>
                </c:pt>
                <c:pt idx="35">
                  <c:v>4.1913844749999996</c:v>
                </c:pt>
                <c:pt idx="36">
                  <c:v>4.150164953</c:v>
                </c:pt>
                <c:pt idx="37">
                  <c:v>4.0467559079999997</c:v>
                </c:pt>
                <c:pt idx="38">
                  <c:v>3.852944522</c:v>
                </c:pt>
                <c:pt idx="39">
                  <c:v>3.8486595139999999</c:v>
                </c:pt>
                <c:pt idx="40">
                  <c:v>3.8176026680000006</c:v>
                </c:pt>
                <c:pt idx="41">
                  <c:v>3.6478707649999995</c:v>
                </c:pt>
                <c:pt idx="42">
                  <c:v>3.625535626</c:v>
                </c:pt>
                <c:pt idx="43">
                  <c:v>3.5717644390000003</c:v>
                </c:pt>
                <c:pt idx="44">
                  <c:v>3.470023887</c:v>
                </c:pt>
                <c:pt idx="45">
                  <c:v>3.4675969809999998</c:v>
                </c:pt>
                <c:pt idx="46">
                  <c:v>3.4560312459999998</c:v>
                </c:pt>
                <c:pt idx="47">
                  <c:v>3.3888741440000008</c:v>
                </c:pt>
                <c:pt idx="48">
                  <c:v>3.3552766309999997</c:v>
                </c:pt>
                <c:pt idx="49">
                  <c:v>3.265405179</c:v>
                </c:pt>
                <c:pt idx="50">
                  <c:v>3.2060217670000002</c:v>
                </c:pt>
                <c:pt idx="51">
                  <c:v>3.1886162829999996</c:v>
                </c:pt>
                <c:pt idx="52">
                  <c:v>3.1789086510000004</c:v>
                </c:pt>
                <c:pt idx="53">
                  <c:v>3.1718554460000004</c:v>
                </c:pt>
                <c:pt idx="54">
                  <c:v>3.1427325500000003</c:v>
                </c:pt>
                <c:pt idx="55">
                  <c:v>3.1388267409999995</c:v>
                </c:pt>
                <c:pt idx="56">
                  <c:v>3.1092108769999998</c:v>
                </c:pt>
                <c:pt idx="57">
                  <c:v>3.1075802970000002</c:v>
                </c:pt>
                <c:pt idx="58">
                  <c:v>3.052633573</c:v>
                </c:pt>
                <c:pt idx="59">
                  <c:v>2.9737590539999998</c:v>
                </c:pt>
                <c:pt idx="60">
                  <c:v>2.9690189989999998</c:v>
                </c:pt>
                <c:pt idx="61">
                  <c:v>2.9331841789999999</c:v>
                </c:pt>
                <c:pt idx="62">
                  <c:v>2.8903719959999998</c:v>
                </c:pt>
                <c:pt idx="63">
                  <c:v>2.8654203459999996</c:v>
                </c:pt>
                <c:pt idx="64">
                  <c:v>2.8631071989999999</c:v>
                </c:pt>
                <c:pt idx="65">
                  <c:v>2.8462705229999998</c:v>
                </c:pt>
                <c:pt idx="66">
                  <c:v>2.794471197</c:v>
                </c:pt>
                <c:pt idx="67">
                  <c:v>2.7858632569999999</c:v>
                </c:pt>
                <c:pt idx="68">
                  <c:v>2.7120700759999998</c:v>
                </c:pt>
                <c:pt idx="69">
                  <c:v>2.700087216</c:v>
                </c:pt>
                <c:pt idx="70">
                  <c:v>2.6375184850000002</c:v>
                </c:pt>
                <c:pt idx="71">
                  <c:v>2.5755185589999998</c:v>
                </c:pt>
                <c:pt idx="72">
                  <c:v>2.5678586329999997</c:v>
                </c:pt>
                <c:pt idx="73">
                  <c:v>2.54104888</c:v>
                </c:pt>
                <c:pt idx="74">
                  <c:v>2.4296765390000004</c:v>
                </c:pt>
                <c:pt idx="75">
                  <c:v>2.4205756350000005</c:v>
                </c:pt>
                <c:pt idx="76">
                  <c:v>2.3908080849999997</c:v>
                </c:pt>
                <c:pt idx="77">
                  <c:v>2.3750711</c:v>
                </c:pt>
                <c:pt idx="78">
                  <c:v>2.3394258830000001</c:v>
                </c:pt>
                <c:pt idx="79">
                  <c:v>2.3351408739999999</c:v>
                </c:pt>
                <c:pt idx="80">
                  <c:v>2.2849721299999999</c:v>
                </c:pt>
                <c:pt idx="81">
                  <c:v>2.2343104170000001</c:v>
                </c:pt>
                <c:pt idx="82">
                  <c:v>2.117856738</c:v>
                </c:pt>
                <c:pt idx="83">
                  <c:v>2.104167457</c:v>
                </c:pt>
                <c:pt idx="84">
                  <c:v>2.0007204860000001</c:v>
                </c:pt>
                <c:pt idx="85">
                  <c:v>1.9634067749999999</c:v>
                </c:pt>
                <c:pt idx="86">
                  <c:v>1.9110007210000002</c:v>
                </c:pt>
                <c:pt idx="87">
                  <c:v>1.7994766979999999</c:v>
                </c:pt>
                <c:pt idx="88">
                  <c:v>1.7827917050000002</c:v>
                </c:pt>
                <c:pt idx="89">
                  <c:v>1.7065716149999999</c:v>
                </c:pt>
                <c:pt idx="90">
                  <c:v>1.6592089800000001</c:v>
                </c:pt>
                <c:pt idx="91">
                  <c:v>1.6030108830000001</c:v>
                </c:pt>
                <c:pt idx="92">
                  <c:v>1.5611846360000001</c:v>
                </c:pt>
                <c:pt idx="93">
                  <c:v>1.492245271</c:v>
                </c:pt>
                <c:pt idx="94">
                  <c:v>1.3482992680000003</c:v>
                </c:pt>
                <c:pt idx="95">
                  <c:v>1.159569222</c:v>
                </c:pt>
              </c:numCache>
            </c:numRef>
          </c:xVal>
          <c:yVal>
            <c:numRef>
              <c:f>Scores!$G$2:$G$97</c:f>
              <c:numCache>
                <c:formatCode>0.00</c:formatCode>
                <c:ptCount val="96"/>
                <c:pt idx="0">
                  <c:v>16.23</c:v>
                </c:pt>
                <c:pt idx="1">
                  <c:v>21.71</c:v>
                </c:pt>
                <c:pt idx="2">
                  <c:v>14.89</c:v>
                </c:pt>
                <c:pt idx="3">
                  <c:v>21.93</c:v>
                </c:pt>
                <c:pt idx="4">
                  <c:v>16.3</c:v>
                </c:pt>
                <c:pt idx="5">
                  <c:v>16.23</c:v>
                </c:pt>
                <c:pt idx="6">
                  <c:v>13.57</c:v>
                </c:pt>
                <c:pt idx="7">
                  <c:v>17.25</c:v>
                </c:pt>
                <c:pt idx="8">
                  <c:v>16.29</c:v>
                </c:pt>
                <c:pt idx="9">
                  <c:v>9.93</c:v>
                </c:pt>
                <c:pt idx="10">
                  <c:v>20.03</c:v>
                </c:pt>
                <c:pt idx="11">
                  <c:v>8.6999999999999993</c:v>
                </c:pt>
                <c:pt idx="12">
                  <c:v>20.71</c:v>
                </c:pt>
                <c:pt idx="13">
                  <c:v>23.2</c:v>
                </c:pt>
                <c:pt idx="14">
                  <c:v>6.8</c:v>
                </c:pt>
                <c:pt idx="15">
                  <c:v>15.56</c:v>
                </c:pt>
                <c:pt idx="16">
                  <c:v>10.07</c:v>
                </c:pt>
                <c:pt idx="17">
                  <c:v>13.37</c:v>
                </c:pt>
                <c:pt idx="18">
                  <c:v>9.14</c:v>
                </c:pt>
                <c:pt idx="19">
                  <c:v>2.7</c:v>
                </c:pt>
                <c:pt idx="20">
                  <c:v>0</c:v>
                </c:pt>
                <c:pt idx="21">
                  <c:v>6.58</c:v>
                </c:pt>
                <c:pt idx="22">
                  <c:v>0</c:v>
                </c:pt>
                <c:pt idx="23">
                  <c:v>1.93</c:v>
                </c:pt>
                <c:pt idx="24">
                  <c:v>6</c:v>
                </c:pt>
                <c:pt idx="25">
                  <c:v>10.16</c:v>
                </c:pt>
                <c:pt idx="26">
                  <c:v>8.17</c:v>
                </c:pt>
                <c:pt idx="27">
                  <c:v>17.37</c:v>
                </c:pt>
                <c:pt idx="28">
                  <c:v>1.7</c:v>
                </c:pt>
                <c:pt idx="29">
                  <c:v>5.77</c:v>
                </c:pt>
                <c:pt idx="30">
                  <c:v>2.9</c:v>
                </c:pt>
                <c:pt idx="31">
                  <c:v>5.99</c:v>
                </c:pt>
                <c:pt idx="32">
                  <c:v>-1.1000000000000001</c:v>
                </c:pt>
                <c:pt idx="33">
                  <c:v>0</c:v>
                </c:pt>
                <c:pt idx="34">
                  <c:v>-0.05</c:v>
                </c:pt>
                <c:pt idx="35">
                  <c:v>0</c:v>
                </c:pt>
                <c:pt idx="36">
                  <c:v>0</c:v>
                </c:pt>
                <c:pt idx="37">
                  <c:v>11.7</c:v>
                </c:pt>
                <c:pt idx="38">
                  <c:v>6.31</c:v>
                </c:pt>
                <c:pt idx="39">
                  <c:v>0.15</c:v>
                </c:pt>
                <c:pt idx="40">
                  <c:v>0</c:v>
                </c:pt>
                <c:pt idx="41">
                  <c:v>0.22</c:v>
                </c:pt>
                <c:pt idx="42">
                  <c:v>0.74</c:v>
                </c:pt>
                <c:pt idx="43">
                  <c:v>3.87</c:v>
                </c:pt>
                <c:pt idx="44">
                  <c:v>0</c:v>
                </c:pt>
                <c:pt idx="45">
                  <c:v>0</c:v>
                </c:pt>
                <c:pt idx="46">
                  <c:v>2.35</c:v>
                </c:pt>
                <c:pt idx="47">
                  <c:v>0</c:v>
                </c:pt>
                <c:pt idx="48">
                  <c:v>0</c:v>
                </c:pt>
                <c:pt idx="49">
                  <c:v>4.0999999999999996</c:v>
                </c:pt>
                <c:pt idx="50">
                  <c:v>0</c:v>
                </c:pt>
                <c:pt idx="51">
                  <c:v>0</c:v>
                </c:pt>
                <c:pt idx="52">
                  <c:v>9.4600000000000009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-0.33</c:v>
                </c:pt>
                <c:pt idx="58">
                  <c:v>0</c:v>
                </c:pt>
                <c:pt idx="59">
                  <c:v>1.58</c:v>
                </c:pt>
                <c:pt idx="60">
                  <c:v>0.6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3.83</c:v>
                </c:pt>
                <c:pt idx="68">
                  <c:v>0</c:v>
                </c:pt>
                <c:pt idx="69">
                  <c:v>16.73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12.22</c:v>
                </c:pt>
                <c:pt idx="81">
                  <c:v>0</c:v>
                </c:pt>
                <c:pt idx="82">
                  <c:v>0</c:v>
                </c:pt>
                <c:pt idx="83">
                  <c:v>0.28000000000000003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12.32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2-4840-8F7E-5776D464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87975"/>
        <c:axId val="560047559"/>
      </c:scatterChart>
      <c:valAx>
        <c:axId val="63218797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7559"/>
        <c:crosses val="autoZero"/>
        <c:crossBetween val="midCat"/>
      </c:valAx>
      <c:valAx>
        <c:axId val="560047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FPTs/G (in 1st 3 Szns)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87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'Scratch Pivot Table'!$E$2</c:f>
              <c:strCache>
                <c:ptCount val="1"/>
                <c:pt idx="0">
                  <c:v>Average of LZ Grade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'Scratch Pivot Table'!$D$3:$D$90</c:f>
              <c:numCache>
                <c:formatCode>General</c:formatCode>
                <c:ptCount val="88"/>
                <c:pt idx="0">
                  <c:v>181.3</c:v>
                </c:pt>
                <c:pt idx="1">
                  <c:v>175.4</c:v>
                </c:pt>
                <c:pt idx="2">
                  <c:v>174</c:v>
                </c:pt>
                <c:pt idx="3">
                  <c:v>171.8</c:v>
                </c:pt>
                <c:pt idx="4">
                  <c:v>166</c:v>
                </c:pt>
                <c:pt idx="5">
                  <c:v>165.2</c:v>
                </c:pt>
                <c:pt idx="6">
                  <c:v>163.30000000000001</c:v>
                </c:pt>
                <c:pt idx="7">
                  <c:v>162.9</c:v>
                </c:pt>
                <c:pt idx="8">
                  <c:v>161.39086294416245</c:v>
                </c:pt>
                <c:pt idx="9">
                  <c:v>161</c:v>
                </c:pt>
                <c:pt idx="10">
                  <c:v>159.69999999999999</c:v>
                </c:pt>
                <c:pt idx="11">
                  <c:v>159.45020408163268</c:v>
                </c:pt>
                <c:pt idx="12">
                  <c:v>157.6</c:v>
                </c:pt>
                <c:pt idx="13">
                  <c:v>157.5</c:v>
                </c:pt>
                <c:pt idx="14">
                  <c:v>157.1</c:v>
                </c:pt>
                <c:pt idx="15">
                  <c:v>156.80000000000001</c:v>
                </c:pt>
                <c:pt idx="16">
                  <c:v>156.59654714475434</c:v>
                </c:pt>
                <c:pt idx="17">
                  <c:v>156.4</c:v>
                </c:pt>
                <c:pt idx="18">
                  <c:v>155.9331325301205</c:v>
                </c:pt>
                <c:pt idx="19">
                  <c:v>155.19999999999999</c:v>
                </c:pt>
                <c:pt idx="20">
                  <c:v>154.6</c:v>
                </c:pt>
                <c:pt idx="21">
                  <c:v>153.9</c:v>
                </c:pt>
                <c:pt idx="22">
                  <c:v>153.69999999999999</c:v>
                </c:pt>
                <c:pt idx="23">
                  <c:v>153.19999999999999</c:v>
                </c:pt>
                <c:pt idx="24">
                  <c:v>152.30000000000001</c:v>
                </c:pt>
                <c:pt idx="25">
                  <c:v>152</c:v>
                </c:pt>
                <c:pt idx="26">
                  <c:v>151.42043551088778</c:v>
                </c:pt>
                <c:pt idx="27">
                  <c:v>151.4</c:v>
                </c:pt>
                <c:pt idx="28">
                  <c:v>151.00073367571534</c:v>
                </c:pt>
                <c:pt idx="29">
                  <c:v>150.9</c:v>
                </c:pt>
                <c:pt idx="30">
                  <c:v>150.80000000000001</c:v>
                </c:pt>
                <c:pt idx="31">
                  <c:v>150.5</c:v>
                </c:pt>
                <c:pt idx="32">
                  <c:v>149.30000000000001</c:v>
                </c:pt>
                <c:pt idx="33">
                  <c:v>148.69999999999999</c:v>
                </c:pt>
                <c:pt idx="34">
                  <c:v>147.69999999999999</c:v>
                </c:pt>
                <c:pt idx="35">
                  <c:v>147.4</c:v>
                </c:pt>
                <c:pt idx="36">
                  <c:v>146.19999999999999</c:v>
                </c:pt>
                <c:pt idx="37">
                  <c:v>146</c:v>
                </c:pt>
                <c:pt idx="38">
                  <c:v>145.30000000000001</c:v>
                </c:pt>
                <c:pt idx="39">
                  <c:v>144.9</c:v>
                </c:pt>
                <c:pt idx="40">
                  <c:v>144.6</c:v>
                </c:pt>
                <c:pt idx="41">
                  <c:v>144.5</c:v>
                </c:pt>
                <c:pt idx="42">
                  <c:v>144.1</c:v>
                </c:pt>
                <c:pt idx="43">
                  <c:v>144</c:v>
                </c:pt>
                <c:pt idx="44">
                  <c:v>143.9</c:v>
                </c:pt>
                <c:pt idx="45">
                  <c:v>143.19999999999999</c:v>
                </c:pt>
                <c:pt idx="46">
                  <c:v>142.9</c:v>
                </c:pt>
                <c:pt idx="47">
                  <c:v>142.80000000000001</c:v>
                </c:pt>
                <c:pt idx="48">
                  <c:v>141.80000000000001</c:v>
                </c:pt>
                <c:pt idx="49">
                  <c:v>141.77434908389586</c:v>
                </c:pt>
                <c:pt idx="50">
                  <c:v>141.6</c:v>
                </c:pt>
                <c:pt idx="51">
                  <c:v>140.9</c:v>
                </c:pt>
                <c:pt idx="52">
                  <c:v>140.46728971962617</c:v>
                </c:pt>
                <c:pt idx="53">
                  <c:v>140.1</c:v>
                </c:pt>
                <c:pt idx="54">
                  <c:v>139.80000000000001</c:v>
                </c:pt>
                <c:pt idx="55">
                  <c:v>139.5</c:v>
                </c:pt>
                <c:pt idx="56">
                  <c:v>139.1</c:v>
                </c:pt>
                <c:pt idx="57">
                  <c:v>138.80000000000001</c:v>
                </c:pt>
                <c:pt idx="58">
                  <c:v>138.69999999999999</c:v>
                </c:pt>
                <c:pt idx="59">
                  <c:v>138.4</c:v>
                </c:pt>
                <c:pt idx="60">
                  <c:v>137.80000000000001</c:v>
                </c:pt>
                <c:pt idx="61">
                  <c:v>137.69999999999999</c:v>
                </c:pt>
                <c:pt idx="62">
                  <c:v>137.1</c:v>
                </c:pt>
                <c:pt idx="63">
                  <c:v>137</c:v>
                </c:pt>
                <c:pt idx="64">
                  <c:v>135.80000000000001</c:v>
                </c:pt>
                <c:pt idx="65">
                  <c:v>135</c:v>
                </c:pt>
                <c:pt idx="66">
                  <c:v>134.80000000000001</c:v>
                </c:pt>
                <c:pt idx="67">
                  <c:v>134.1</c:v>
                </c:pt>
                <c:pt idx="68">
                  <c:v>133.9</c:v>
                </c:pt>
                <c:pt idx="69">
                  <c:v>133.19999999999999</c:v>
                </c:pt>
                <c:pt idx="70">
                  <c:v>132.19999999999999</c:v>
                </c:pt>
                <c:pt idx="71">
                  <c:v>131.30000000000001</c:v>
                </c:pt>
                <c:pt idx="72">
                  <c:v>129.9</c:v>
                </c:pt>
                <c:pt idx="73">
                  <c:v>129.80000000000001</c:v>
                </c:pt>
                <c:pt idx="74">
                  <c:v>129.6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126.5</c:v>
                </c:pt>
                <c:pt idx="78">
                  <c:v>124.2</c:v>
                </c:pt>
                <c:pt idx="79">
                  <c:v>122.9</c:v>
                </c:pt>
                <c:pt idx="80">
                  <c:v>122.5</c:v>
                </c:pt>
                <c:pt idx="81">
                  <c:v>122.4</c:v>
                </c:pt>
                <c:pt idx="82">
                  <c:v>121.7</c:v>
                </c:pt>
                <c:pt idx="83">
                  <c:v>121.4</c:v>
                </c:pt>
                <c:pt idx="84">
                  <c:v>121.2</c:v>
                </c:pt>
                <c:pt idx="85">
                  <c:v>119.6</c:v>
                </c:pt>
                <c:pt idx="86">
                  <c:v>118.1</c:v>
                </c:pt>
                <c:pt idx="87">
                  <c:v>117.1</c:v>
                </c:pt>
              </c:numCache>
            </c:numRef>
          </c:xVal>
          <c:yVal>
            <c:numRef>
              <c:f>'Scratch Pivot Table'!$E$3:$E$90</c:f>
              <c:numCache>
                <c:formatCode>General</c:formatCode>
                <c:ptCount val="88"/>
                <c:pt idx="0">
                  <c:v>6.8</c:v>
                </c:pt>
                <c:pt idx="1">
                  <c:v>6.7</c:v>
                </c:pt>
                <c:pt idx="2">
                  <c:v>6.7</c:v>
                </c:pt>
                <c:pt idx="3">
                  <c:v>6.8</c:v>
                </c:pt>
                <c:pt idx="4">
                  <c:v>5.8</c:v>
                </c:pt>
                <c:pt idx="5">
                  <c:v>5.9</c:v>
                </c:pt>
                <c:pt idx="6">
                  <c:v>7</c:v>
                </c:pt>
                <c:pt idx="7">
                  <c:v>5.4</c:v>
                </c:pt>
                <c:pt idx="8">
                  <c:v>5.4</c:v>
                </c:pt>
                <c:pt idx="9">
                  <c:v>5.6</c:v>
                </c:pt>
                <c:pt idx="10">
                  <c:v>6.2</c:v>
                </c:pt>
                <c:pt idx="11">
                  <c:v>5.4</c:v>
                </c:pt>
                <c:pt idx="12">
                  <c:v>7</c:v>
                </c:pt>
                <c:pt idx="13">
                  <c:v>6.8</c:v>
                </c:pt>
                <c:pt idx="14">
                  <c:v>5.5</c:v>
                </c:pt>
                <c:pt idx="15">
                  <c:v>5.4</c:v>
                </c:pt>
                <c:pt idx="16">
                  <c:v>5.4</c:v>
                </c:pt>
                <c:pt idx="17">
                  <c:v>5.9</c:v>
                </c:pt>
                <c:pt idx="18">
                  <c:v>5.4</c:v>
                </c:pt>
                <c:pt idx="19">
                  <c:v>5.6</c:v>
                </c:pt>
                <c:pt idx="20">
                  <c:v>5.5</c:v>
                </c:pt>
                <c:pt idx="21">
                  <c:v>6.7</c:v>
                </c:pt>
                <c:pt idx="22">
                  <c:v>7.1</c:v>
                </c:pt>
                <c:pt idx="23">
                  <c:v>5.4</c:v>
                </c:pt>
                <c:pt idx="24">
                  <c:v>5.4</c:v>
                </c:pt>
                <c:pt idx="25">
                  <c:v>6.3</c:v>
                </c:pt>
                <c:pt idx="26">
                  <c:v>5.8</c:v>
                </c:pt>
                <c:pt idx="27">
                  <c:v>5.75</c:v>
                </c:pt>
                <c:pt idx="28">
                  <c:v>5.4</c:v>
                </c:pt>
                <c:pt idx="29">
                  <c:v>5.9</c:v>
                </c:pt>
                <c:pt idx="30">
                  <c:v>6.1</c:v>
                </c:pt>
                <c:pt idx="31">
                  <c:v>5.4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6.3</c:v>
                </c:pt>
                <c:pt idx="35">
                  <c:v>5.9</c:v>
                </c:pt>
                <c:pt idx="36">
                  <c:v>6.1</c:v>
                </c:pt>
                <c:pt idx="37">
                  <c:v>5.9</c:v>
                </c:pt>
                <c:pt idx="38">
                  <c:v>5.9</c:v>
                </c:pt>
                <c:pt idx="39">
                  <c:v>6.3</c:v>
                </c:pt>
                <c:pt idx="40">
                  <c:v>5.6</c:v>
                </c:pt>
                <c:pt idx="41">
                  <c:v>5.4</c:v>
                </c:pt>
                <c:pt idx="42">
                  <c:v>5.8</c:v>
                </c:pt>
                <c:pt idx="43">
                  <c:v>7</c:v>
                </c:pt>
                <c:pt idx="44">
                  <c:v>5.9</c:v>
                </c:pt>
                <c:pt idx="45">
                  <c:v>5.5</c:v>
                </c:pt>
                <c:pt idx="46">
                  <c:v>6.25</c:v>
                </c:pt>
                <c:pt idx="47">
                  <c:v>6.1</c:v>
                </c:pt>
                <c:pt idx="48">
                  <c:v>5.6</c:v>
                </c:pt>
                <c:pt idx="49">
                  <c:v>5.0999999999999996</c:v>
                </c:pt>
                <c:pt idx="50">
                  <c:v>5.4</c:v>
                </c:pt>
                <c:pt idx="51">
                  <c:v>5.0999999999999996</c:v>
                </c:pt>
                <c:pt idx="52">
                  <c:v>5.5</c:v>
                </c:pt>
                <c:pt idx="53">
                  <c:v>6.7</c:v>
                </c:pt>
                <c:pt idx="54">
                  <c:v>6.3</c:v>
                </c:pt>
                <c:pt idx="55">
                  <c:v>5.8</c:v>
                </c:pt>
                <c:pt idx="56">
                  <c:v>5.5</c:v>
                </c:pt>
                <c:pt idx="57">
                  <c:v>6.4</c:v>
                </c:pt>
                <c:pt idx="58">
                  <c:v>5.6</c:v>
                </c:pt>
                <c:pt idx="59">
                  <c:v>6.2</c:v>
                </c:pt>
                <c:pt idx="60">
                  <c:v>5.0999999999999996</c:v>
                </c:pt>
                <c:pt idx="61">
                  <c:v>6.4</c:v>
                </c:pt>
                <c:pt idx="62">
                  <c:v>5.8</c:v>
                </c:pt>
                <c:pt idx="63">
                  <c:v>6.8</c:v>
                </c:pt>
                <c:pt idx="64">
                  <c:v>5.8</c:v>
                </c:pt>
                <c:pt idx="65">
                  <c:v>5.5</c:v>
                </c:pt>
                <c:pt idx="66">
                  <c:v>5.9</c:v>
                </c:pt>
                <c:pt idx="67">
                  <c:v>5.6999999999999993</c:v>
                </c:pt>
                <c:pt idx="68">
                  <c:v>5.4</c:v>
                </c:pt>
                <c:pt idx="69">
                  <c:v>5.6</c:v>
                </c:pt>
                <c:pt idx="70">
                  <c:v>5.6</c:v>
                </c:pt>
                <c:pt idx="71">
                  <c:v>6.1</c:v>
                </c:pt>
                <c:pt idx="72">
                  <c:v>5.0999999999999996</c:v>
                </c:pt>
                <c:pt idx="73">
                  <c:v>5.5</c:v>
                </c:pt>
                <c:pt idx="74">
                  <c:v>5.0999999999999996</c:v>
                </c:pt>
                <c:pt idx="75">
                  <c:v>5.8</c:v>
                </c:pt>
                <c:pt idx="76">
                  <c:v>5.5</c:v>
                </c:pt>
                <c:pt idx="77">
                  <c:v>5.8</c:v>
                </c:pt>
                <c:pt idx="78">
                  <c:v>5.0999999999999996</c:v>
                </c:pt>
                <c:pt idx="79">
                  <c:v>6.3</c:v>
                </c:pt>
                <c:pt idx="80">
                  <c:v>5.4</c:v>
                </c:pt>
                <c:pt idx="81">
                  <c:v>5.5</c:v>
                </c:pt>
                <c:pt idx="82">
                  <c:v>5.0999999999999996</c:v>
                </c:pt>
                <c:pt idx="83">
                  <c:v>6.1</c:v>
                </c:pt>
                <c:pt idx="84">
                  <c:v>5.0999999999999996</c:v>
                </c:pt>
                <c:pt idx="85">
                  <c:v>5.4</c:v>
                </c:pt>
                <c:pt idx="86">
                  <c:v>5.9</c:v>
                </c:pt>
                <c:pt idx="87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A-46AE-B6A1-A34EBDEF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74135"/>
        <c:axId val="864660663"/>
      </c:scatterChart>
      <c:valAx>
        <c:axId val="983974135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60663"/>
        <c:crosses val="autoZero"/>
        <c:crossBetween val="midCat"/>
      </c:valAx>
      <c:valAx>
        <c:axId val="8646606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7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'Scratch Pivot Table'!$H$17</c:f>
              <c:strCache>
                <c:ptCount val="1"/>
                <c:pt idx="0">
                  <c:v>Average of LZ Grade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'Scratch Pivot Table'!$G$18:$G$66</c:f>
              <c:numCache>
                <c:formatCode>General</c:formatCode>
                <c:ptCount val="49"/>
                <c:pt idx="0">
                  <c:v>11.1</c:v>
                </c:pt>
                <c:pt idx="1">
                  <c:v>10.6</c:v>
                </c:pt>
                <c:pt idx="2">
                  <c:v>10.5</c:v>
                </c:pt>
                <c:pt idx="3">
                  <c:v>10.3</c:v>
                </c:pt>
                <c:pt idx="4">
                  <c:v>9.9</c:v>
                </c:pt>
                <c:pt idx="5">
                  <c:v>9.6999999999999993</c:v>
                </c:pt>
                <c:pt idx="6">
                  <c:v>9.6</c:v>
                </c:pt>
                <c:pt idx="7">
                  <c:v>9.4063745019920315</c:v>
                </c:pt>
                <c:pt idx="8">
                  <c:v>9.4</c:v>
                </c:pt>
                <c:pt idx="9">
                  <c:v>9.380612244897959</c:v>
                </c:pt>
                <c:pt idx="10">
                  <c:v>9.3471385542168655</c:v>
                </c:pt>
                <c:pt idx="11">
                  <c:v>9.3045685279187822</c:v>
                </c:pt>
                <c:pt idx="12">
                  <c:v>9.3000000000000007</c:v>
                </c:pt>
                <c:pt idx="13">
                  <c:v>9.1</c:v>
                </c:pt>
                <c:pt idx="14">
                  <c:v>9</c:v>
                </c:pt>
                <c:pt idx="15">
                  <c:v>8.9</c:v>
                </c:pt>
                <c:pt idx="16">
                  <c:v>8.8664710198092447</c:v>
                </c:pt>
                <c:pt idx="17">
                  <c:v>8.8000000000000007</c:v>
                </c:pt>
                <c:pt idx="18">
                  <c:v>8.6999999999999993</c:v>
                </c:pt>
                <c:pt idx="19">
                  <c:v>8.6683417085427141</c:v>
                </c:pt>
                <c:pt idx="20">
                  <c:v>8.6</c:v>
                </c:pt>
                <c:pt idx="21">
                  <c:v>8.5</c:v>
                </c:pt>
                <c:pt idx="22">
                  <c:v>8.4</c:v>
                </c:pt>
                <c:pt idx="23">
                  <c:v>8.3000000000000007</c:v>
                </c:pt>
                <c:pt idx="24">
                  <c:v>8.1999999999999993</c:v>
                </c:pt>
                <c:pt idx="25">
                  <c:v>8.1</c:v>
                </c:pt>
                <c:pt idx="26">
                  <c:v>8.056894889103182</c:v>
                </c:pt>
                <c:pt idx="27">
                  <c:v>8</c:v>
                </c:pt>
                <c:pt idx="28">
                  <c:v>7.9</c:v>
                </c:pt>
                <c:pt idx="29">
                  <c:v>7.8</c:v>
                </c:pt>
                <c:pt idx="30">
                  <c:v>7.7</c:v>
                </c:pt>
                <c:pt idx="31">
                  <c:v>7.6</c:v>
                </c:pt>
                <c:pt idx="32">
                  <c:v>7.5337487019730007</c:v>
                </c:pt>
                <c:pt idx="33">
                  <c:v>7.5</c:v>
                </c:pt>
                <c:pt idx="34">
                  <c:v>7.4</c:v>
                </c:pt>
                <c:pt idx="35">
                  <c:v>7.3</c:v>
                </c:pt>
                <c:pt idx="36">
                  <c:v>7.2</c:v>
                </c:pt>
                <c:pt idx="37">
                  <c:v>7.1</c:v>
                </c:pt>
                <c:pt idx="38">
                  <c:v>7</c:v>
                </c:pt>
                <c:pt idx="39">
                  <c:v>6.9</c:v>
                </c:pt>
                <c:pt idx="40">
                  <c:v>6.8963028169014091</c:v>
                </c:pt>
                <c:pt idx="41">
                  <c:v>6.7</c:v>
                </c:pt>
                <c:pt idx="42">
                  <c:v>6.6</c:v>
                </c:pt>
                <c:pt idx="43">
                  <c:v>6.5</c:v>
                </c:pt>
                <c:pt idx="44">
                  <c:v>6.4</c:v>
                </c:pt>
                <c:pt idx="45">
                  <c:v>6.3</c:v>
                </c:pt>
                <c:pt idx="46">
                  <c:v>6.2</c:v>
                </c:pt>
                <c:pt idx="47">
                  <c:v>5.9</c:v>
                </c:pt>
                <c:pt idx="48">
                  <c:v>5.8</c:v>
                </c:pt>
              </c:numCache>
            </c:numRef>
          </c:xVal>
          <c:yVal>
            <c:numRef>
              <c:f>'Scratch Pivot Table'!$H$18:$H$66</c:f>
              <c:numCache>
                <c:formatCode>General</c:formatCode>
                <c:ptCount val="49"/>
                <c:pt idx="0">
                  <c:v>6.8</c:v>
                </c:pt>
                <c:pt idx="1">
                  <c:v>6.25</c:v>
                </c:pt>
                <c:pt idx="2">
                  <c:v>6.8</c:v>
                </c:pt>
                <c:pt idx="3">
                  <c:v>6.7</c:v>
                </c:pt>
                <c:pt idx="4">
                  <c:v>6.2</c:v>
                </c:pt>
                <c:pt idx="5">
                  <c:v>5.9</c:v>
                </c:pt>
                <c:pt idx="6">
                  <c:v>5.4</c:v>
                </c:pt>
                <c:pt idx="7">
                  <c:v>5.4</c:v>
                </c:pt>
                <c:pt idx="8">
                  <c:v>7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5.6</c:v>
                </c:pt>
                <c:pt idx="13">
                  <c:v>5.5</c:v>
                </c:pt>
                <c:pt idx="14">
                  <c:v>6.2333333333333334</c:v>
                </c:pt>
                <c:pt idx="15">
                  <c:v>5.9</c:v>
                </c:pt>
                <c:pt idx="16">
                  <c:v>5.4</c:v>
                </c:pt>
                <c:pt idx="17">
                  <c:v>6.5</c:v>
                </c:pt>
                <c:pt idx="18">
                  <c:v>6.08</c:v>
                </c:pt>
                <c:pt idx="19">
                  <c:v>5.8</c:v>
                </c:pt>
                <c:pt idx="20">
                  <c:v>5.8249999999999993</c:v>
                </c:pt>
                <c:pt idx="21">
                  <c:v>5.7200000000000006</c:v>
                </c:pt>
                <c:pt idx="22">
                  <c:v>5.4</c:v>
                </c:pt>
                <c:pt idx="23">
                  <c:v>5.9249999999999998</c:v>
                </c:pt>
                <c:pt idx="24">
                  <c:v>5.8999999999999995</c:v>
                </c:pt>
                <c:pt idx="25">
                  <c:v>6.55</c:v>
                </c:pt>
                <c:pt idx="26">
                  <c:v>5.0999999999999996</c:v>
                </c:pt>
                <c:pt idx="27">
                  <c:v>6.125</c:v>
                </c:pt>
                <c:pt idx="28">
                  <c:v>5.4</c:v>
                </c:pt>
                <c:pt idx="29">
                  <c:v>5.6</c:v>
                </c:pt>
                <c:pt idx="30">
                  <c:v>6.1</c:v>
                </c:pt>
                <c:pt idx="31">
                  <c:v>6.2</c:v>
                </c:pt>
                <c:pt idx="32">
                  <c:v>5.5</c:v>
                </c:pt>
                <c:pt idx="33">
                  <c:v>5.9333333333333327</c:v>
                </c:pt>
                <c:pt idx="34">
                  <c:v>5.7333333333333334</c:v>
                </c:pt>
                <c:pt idx="35">
                  <c:v>5.5</c:v>
                </c:pt>
                <c:pt idx="36">
                  <c:v>5.6999999999999993</c:v>
                </c:pt>
                <c:pt idx="37">
                  <c:v>5.9499999999999993</c:v>
                </c:pt>
                <c:pt idx="38">
                  <c:v>5.5400000000000009</c:v>
                </c:pt>
                <c:pt idx="39">
                  <c:v>5.6</c:v>
                </c:pt>
                <c:pt idx="40">
                  <c:v>5.8</c:v>
                </c:pt>
                <c:pt idx="41">
                  <c:v>5.5</c:v>
                </c:pt>
                <c:pt idx="42">
                  <c:v>5.35</c:v>
                </c:pt>
                <c:pt idx="43">
                  <c:v>5.6</c:v>
                </c:pt>
                <c:pt idx="44">
                  <c:v>5.0999999999999996</c:v>
                </c:pt>
                <c:pt idx="45">
                  <c:v>5.45</c:v>
                </c:pt>
                <c:pt idx="46">
                  <c:v>6.3</c:v>
                </c:pt>
                <c:pt idx="47">
                  <c:v>5.65</c:v>
                </c:pt>
                <c:pt idx="48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B-4D00-9613-9CF38053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8744"/>
        <c:axId val="75977399"/>
      </c:scatterChart>
      <c:valAx>
        <c:axId val="4469987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7399"/>
        <c:crosses val="autoZero"/>
        <c:crossBetween val="midCat"/>
      </c:valAx>
      <c:valAx>
        <c:axId val="7597739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</xdr:row>
      <xdr:rowOff>0</xdr:rowOff>
    </xdr:from>
    <xdr:to>
      <xdr:col>14</xdr:col>
      <xdr:colOff>771525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D9195-D4EF-446B-1E7F-BBEBA2D7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95250</xdr:rowOff>
    </xdr:from>
    <xdr:to>
      <xdr:col>13</xdr:col>
      <xdr:colOff>333375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1113B-9348-6DB6-A8F6-A65B08A9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15</xdr:row>
      <xdr:rowOff>123825</xdr:rowOff>
    </xdr:from>
    <xdr:to>
      <xdr:col>15</xdr:col>
      <xdr:colOff>285750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FE4FE-FB2F-D147-EADC-1A45C7F1E5F6}"/>
            </a:ext>
            <a:ext uri="{147F2762-F138-4A5C-976F-8EAC2B608ADB}">
              <a16:predDERef xmlns:a16="http://schemas.microsoft.com/office/drawing/2014/main" pred="{2311113B-9348-6DB6-A8F6-A65B08A9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ntasyProsQB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ed Data"/>
      <sheetName val="raw_run"/>
    </sheetNames>
    <sheetDataSet>
      <sheetData sheetId="0">
        <row r="4">
          <cell r="B4">
            <v>2021</v>
          </cell>
          <cell r="C4">
            <v>1</v>
          </cell>
          <cell r="D4" t="str">
            <v>Josh Allen</v>
          </cell>
          <cell r="F4">
            <v>409</v>
          </cell>
          <cell r="G4">
            <v>646</v>
          </cell>
          <cell r="H4">
            <v>63.3</v>
          </cell>
          <cell r="I4">
            <v>36</v>
          </cell>
          <cell r="J4">
            <v>15</v>
          </cell>
          <cell r="K4">
            <v>26</v>
          </cell>
          <cell r="L4">
            <v>122</v>
          </cell>
          <cell r="M4">
            <v>763</v>
          </cell>
          <cell r="N4">
            <v>6</v>
          </cell>
          <cell r="O4">
            <v>3</v>
          </cell>
          <cell r="P4">
            <v>417.7</v>
          </cell>
          <cell r="Q4">
            <v>17</v>
          </cell>
        </row>
        <row r="5">
          <cell r="B5">
            <v>2021</v>
          </cell>
          <cell r="C5">
            <v>2</v>
          </cell>
          <cell r="D5" t="str">
            <v>Justin Herbert</v>
          </cell>
          <cell r="F5">
            <v>443</v>
          </cell>
          <cell r="G5">
            <v>672</v>
          </cell>
          <cell r="H5">
            <v>65.900000000000006</v>
          </cell>
          <cell r="I5">
            <v>38</v>
          </cell>
          <cell r="J5">
            <v>15</v>
          </cell>
          <cell r="K5">
            <v>31</v>
          </cell>
          <cell r="L5">
            <v>63</v>
          </cell>
          <cell r="M5">
            <v>302</v>
          </cell>
          <cell r="N5">
            <v>3</v>
          </cell>
          <cell r="O5">
            <v>1</v>
          </cell>
          <cell r="P5">
            <v>395.6</v>
          </cell>
          <cell r="Q5">
            <v>17</v>
          </cell>
        </row>
        <row r="6">
          <cell r="B6">
            <v>2021</v>
          </cell>
          <cell r="C6">
            <v>3</v>
          </cell>
          <cell r="D6" t="str">
            <v>Tom Brady</v>
          </cell>
          <cell r="F6">
            <v>485</v>
          </cell>
          <cell r="G6">
            <v>719</v>
          </cell>
          <cell r="H6">
            <v>67.5</v>
          </cell>
          <cell r="I6">
            <v>43</v>
          </cell>
          <cell r="J6">
            <v>12</v>
          </cell>
          <cell r="K6">
            <v>22</v>
          </cell>
          <cell r="L6">
            <v>28</v>
          </cell>
          <cell r="M6">
            <v>81</v>
          </cell>
          <cell r="N6">
            <v>2</v>
          </cell>
          <cell r="O6">
            <v>3</v>
          </cell>
          <cell r="P6">
            <v>386.7</v>
          </cell>
          <cell r="Q6">
            <v>17</v>
          </cell>
        </row>
        <row r="7">
          <cell r="B7">
            <v>2021</v>
          </cell>
          <cell r="C7">
            <v>4</v>
          </cell>
          <cell r="D7" t="str">
            <v>Patrick Mahomes II</v>
          </cell>
          <cell r="F7">
            <v>436</v>
          </cell>
          <cell r="G7">
            <v>658</v>
          </cell>
          <cell r="H7">
            <v>66.3</v>
          </cell>
          <cell r="I7">
            <v>37</v>
          </cell>
          <cell r="J7">
            <v>13</v>
          </cell>
          <cell r="K7">
            <v>28</v>
          </cell>
          <cell r="L7">
            <v>66</v>
          </cell>
          <cell r="M7">
            <v>381</v>
          </cell>
          <cell r="N7">
            <v>2</v>
          </cell>
          <cell r="O7">
            <v>4</v>
          </cell>
          <cell r="P7">
            <v>374.2</v>
          </cell>
          <cell r="Q7">
            <v>17</v>
          </cell>
        </row>
        <row r="8">
          <cell r="B8">
            <v>2021</v>
          </cell>
          <cell r="C8">
            <v>5</v>
          </cell>
          <cell r="D8" t="str">
            <v>Matthew Stafford</v>
          </cell>
          <cell r="F8">
            <v>404</v>
          </cell>
          <cell r="G8">
            <v>601</v>
          </cell>
          <cell r="H8">
            <v>67.2</v>
          </cell>
          <cell r="I8">
            <v>41</v>
          </cell>
          <cell r="J8">
            <v>17</v>
          </cell>
          <cell r="K8">
            <v>30</v>
          </cell>
          <cell r="L8">
            <v>32</v>
          </cell>
          <cell r="M8">
            <v>43</v>
          </cell>
          <cell r="N8">
            <v>0</v>
          </cell>
          <cell r="O8">
            <v>2</v>
          </cell>
          <cell r="P8">
            <v>346.8</v>
          </cell>
          <cell r="Q8">
            <v>17</v>
          </cell>
        </row>
        <row r="9">
          <cell r="B9">
            <v>2021</v>
          </cell>
          <cell r="C9">
            <v>6</v>
          </cell>
          <cell r="D9" t="str">
            <v>Aaron Rodgers</v>
          </cell>
          <cell r="F9">
            <v>366</v>
          </cell>
          <cell r="G9">
            <v>531</v>
          </cell>
          <cell r="H9">
            <v>68.900000000000006</v>
          </cell>
          <cell r="I9">
            <v>37</v>
          </cell>
          <cell r="J9">
            <v>4</v>
          </cell>
          <cell r="K9">
            <v>30</v>
          </cell>
          <cell r="L9">
            <v>33</v>
          </cell>
          <cell r="M9">
            <v>101</v>
          </cell>
          <cell r="N9">
            <v>3</v>
          </cell>
          <cell r="O9">
            <v>0</v>
          </cell>
          <cell r="P9">
            <v>336.8</v>
          </cell>
          <cell r="Q9">
            <v>16</v>
          </cell>
        </row>
        <row r="10">
          <cell r="B10">
            <v>2021</v>
          </cell>
          <cell r="C10">
            <v>7</v>
          </cell>
          <cell r="D10" t="str">
            <v>Dak Prescott</v>
          </cell>
          <cell r="F10">
            <v>410</v>
          </cell>
          <cell r="G10">
            <v>596</v>
          </cell>
          <cell r="H10">
            <v>68.8</v>
          </cell>
          <cell r="I10">
            <v>37</v>
          </cell>
          <cell r="J10">
            <v>10</v>
          </cell>
          <cell r="K10">
            <v>30</v>
          </cell>
          <cell r="L10">
            <v>48</v>
          </cell>
          <cell r="M10">
            <v>146</v>
          </cell>
          <cell r="N10">
            <v>1</v>
          </cell>
          <cell r="O10">
            <v>6</v>
          </cell>
          <cell r="P10">
            <v>330.4</v>
          </cell>
          <cell r="Q10">
            <v>16</v>
          </cell>
        </row>
        <row r="11">
          <cell r="B11">
            <v>2021</v>
          </cell>
          <cell r="C11">
            <v>8</v>
          </cell>
          <cell r="D11" t="str">
            <v>Joe Burrow</v>
          </cell>
          <cell r="F11">
            <v>366</v>
          </cell>
          <cell r="G11">
            <v>520</v>
          </cell>
          <cell r="H11">
            <v>70.400000000000006</v>
          </cell>
          <cell r="I11">
            <v>34</v>
          </cell>
          <cell r="J11">
            <v>14</v>
          </cell>
          <cell r="K11">
            <v>51</v>
          </cell>
          <cell r="L11">
            <v>40</v>
          </cell>
          <cell r="M11">
            <v>118</v>
          </cell>
          <cell r="N11">
            <v>2</v>
          </cell>
          <cell r="O11">
            <v>2</v>
          </cell>
          <cell r="P11">
            <v>328.1</v>
          </cell>
          <cell r="Q11">
            <v>16</v>
          </cell>
        </row>
        <row r="12">
          <cell r="B12">
            <v>2021</v>
          </cell>
          <cell r="C12">
            <v>9</v>
          </cell>
          <cell r="D12" t="str">
            <v>Jalen Hurts</v>
          </cell>
          <cell r="F12">
            <v>265</v>
          </cell>
          <cell r="G12">
            <v>432</v>
          </cell>
          <cell r="H12">
            <v>61.3</v>
          </cell>
          <cell r="I12">
            <v>16</v>
          </cell>
          <cell r="J12">
            <v>9</v>
          </cell>
          <cell r="K12">
            <v>26</v>
          </cell>
          <cell r="L12">
            <v>139</v>
          </cell>
          <cell r="M12">
            <v>784</v>
          </cell>
          <cell r="N12">
            <v>10</v>
          </cell>
          <cell r="O12">
            <v>2</v>
          </cell>
          <cell r="P12">
            <v>321.2</v>
          </cell>
          <cell r="Q12">
            <v>15</v>
          </cell>
        </row>
        <row r="13">
          <cell r="B13">
            <v>2021</v>
          </cell>
          <cell r="C13">
            <v>10</v>
          </cell>
          <cell r="D13" t="str">
            <v>Kyler Murray</v>
          </cell>
          <cell r="F13">
            <v>333</v>
          </cell>
          <cell r="G13">
            <v>481</v>
          </cell>
          <cell r="H13">
            <v>69.2</v>
          </cell>
          <cell r="I13">
            <v>24</v>
          </cell>
          <cell r="J13">
            <v>10</v>
          </cell>
          <cell r="K13">
            <v>31</v>
          </cell>
          <cell r="L13">
            <v>88</v>
          </cell>
          <cell r="M13">
            <v>423</v>
          </cell>
          <cell r="N13">
            <v>5</v>
          </cell>
          <cell r="O13">
            <v>0</v>
          </cell>
          <cell r="P13">
            <v>310.5</v>
          </cell>
          <cell r="Q13">
            <v>14</v>
          </cell>
        </row>
        <row r="14">
          <cell r="B14">
            <v>2021</v>
          </cell>
          <cell r="C14">
            <v>11</v>
          </cell>
          <cell r="D14" t="str">
            <v>Kirk Cousins</v>
          </cell>
          <cell r="F14">
            <v>372</v>
          </cell>
          <cell r="G14">
            <v>561</v>
          </cell>
          <cell r="H14">
            <v>66.3</v>
          </cell>
          <cell r="I14">
            <v>33</v>
          </cell>
          <cell r="J14">
            <v>7</v>
          </cell>
          <cell r="K14">
            <v>28</v>
          </cell>
          <cell r="L14">
            <v>29</v>
          </cell>
          <cell r="M14">
            <v>115</v>
          </cell>
          <cell r="N14">
            <v>1</v>
          </cell>
          <cell r="O14">
            <v>2</v>
          </cell>
          <cell r="P14">
            <v>307.3</v>
          </cell>
          <cell r="Q14">
            <v>16</v>
          </cell>
        </row>
        <row r="15">
          <cell r="B15">
            <v>2021</v>
          </cell>
          <cell r="C15">
            <v>12</v>
          </cell>
          <cell r="D15" t="str">
            <v>Ryan Tannehill</v>
          </cell>
          <cell r="F15">
            <v>357</v>
          </cell>
          <cell r="G15">
            <v>531</v>
          </cell>
          <cell r="H15">
            <v>67.2</v>
          </cell>
          <cell r="I15">
            <v>21</v>
          </cell>
          <cell r="J15">
            <v>14</v>
          </cell>
          <cell r="K15">
            <v>47</v>
          </cell>
          <cell r="L15">
            <v>55</v>
          </cell>
          <cell r="M15">
            <v>270</v>
          </cell>
          <cell r="N15">
            <v>7</v>
          </cell>
          <cell r="O15">
            <v>4</v>
          </cell>
          <cell r="P15">
            <v>282.3</v>
          </cell>
          <cell r="Q15">
            <v>17</v>
          </cell>
        </row>
        <row r="16">
          <cell r="B16">
            <v>2021</v>
          </cell>
          <cell r="C16">
            <v>13</v>
          </cell>
          <cell r="D16" t="str">
            <v>Derek Carr</v>
          </cell>
          <cell r="F16">
            <v>428</v>
          </cell>
          <cell r="G16">
            <v>626</v>
          </cell>
          <cell r="H16">
            <v>68.400000000000006</v>
          </cell>
          <cell r="I16">
            <v>23</v>
          </cell>
          <cell r="J16">
            <v>14</v>
          </cell>
          <cell r="K16">
            <v>40</v>
          </cell>
          <cell r="L16">
            <v>40</v>
          </cell>
          <cell r="M16">
            <v>108</v>
          </cell>
          <cell r="N16">
            <v>0</v>
          </cell>
          <cell r="O16">
            <v>5</v>
          </cell>
          <cell r="P16">
            <v>270.60000000000002</v>
          </cell>
          <cell r="Q16">
            <v>17</v>
          </cell>
        </row>
        <row r="17">
          <cell r="B17">
            <v>2021</v>
          </cell>
          <cell r="C17">
            <v>14</v>
          </cell>
          <cell r="D17" t="str">
            <v>Carson Wentz</v>
          </cell>
          <cell r="F17">
            <v>322</v>
          </cell>
          <cell r="G17">
            <v>516</v>
          </cell>
          <cell r="H17">
            <v>62.4</v>
          </cell>
          <cell r="I17">
            <v>27</v>
          </cell>
          <cell r="J17">
            <v>7</v>
          </cell>
          <cell r="K17">
            <v>32</v>
          </cell>
          <cell r="L17">
            <v>57</v>
          </cell>
          <cell r="M17">
            <v>215</v>
          </cell>
          <cell r="N17">
            <v>1</v>
          </cell>
          <cell r="O17">
            <v>5</v>
          </cell>
          <cell r="P17">
            <v>264.89999999999998</v>
          </cell>
          <cell r="Q17">
            <v>17</v>
          </cell>
        </row>
        <row r="18">
          <cell r="B18">
            <v>2021</v>
          </cell>
          <cell r="C18">
            <v>15</v>
          </cell>
          <cell r="D18" t="str">
            <v>Lamar Jackson</v>
          </cell>
          <cell r="F18">
            <v>246</v>
          </cell>
          <cell r="G18">
            <v>382</v>
          </cell>
          <cell r="H18">
            <v>64.400000000000006</v>
          </cell>
          <cell r="I18">
            <v>16</v>
          </cell>
          <cell r="J18">
            <v>13</v>
          </cell>
          <cell r="K18">
            <v>38</v>
          </cell>
          <cell r="L18">
            <v>134</v>
          </cell>
          <cell r="M18">
            <v>767</v>
          </cell>
          <cell r="N18">
            <v>2</v>
          </cell>
          <cell r="O18">
            <v>3</v>
          </cell>
          <cell r="P18">
            <v>253</v>
          </cell>
          <cell r="Q18">
            <v>12</v>
          </cell>
        </row>
        <row r="19">
          <cell r="B19">
            <v>2021</v>
          </cell>
          <cell r="C19">
            <v>16</v>
          </cell>
          <cell r="D19" t="str">
            <v>Russell Wilson</v>
          </cell>
          <cell r="F19">
            <v>259</v>
          </cell>
          <cell r="G19">
            <v>400</v>
          </cell>
          <cell r="H19">
            <v>64.8</v>
          </cell>
          <cell r="I19">
            <v>25</v>
          </cell>
          <cell r="J19">
            <v>6</v>
          </cell>
          <cell r="K19">
            <v>33</v>
          </cell>
          <cell r="L19">
            <v>43</v>
          </cell>
          <cell r="M19">
            <v>183</v>
          </cell>
          <cell r="N19">
            <v>2</v>
          </cell>
          <cell r="O19">
            <v>1</v>
          </cell>
          <cell r="P19">
            <v>248.7</v>
          </cell>
          <cell r="Q19">
            <v>14</v>
          </cell>
        </row>
        <row r="20">
          <cell r="B20">
            <v>2021</v>
          </cell>
          <cell r="C20">
            <v>17</v>
          </cell>
          <cell r="D20" t="str">
            <v>Jimmy Garoppolo</v>
          </cell>
          <cell r="F20">
            <v>301</v>
          </cell>
          <cell r="G20">
            <v>441</v>
          </cell>
          <cell r="H20">
            <v>68.3</v>
          </cell>
          <cell r="I20">
            <v>20</v>
          </cell>
          <cell r="J20">
            <v>12</v>
          </cell>
          <cell r="K20">
            <v>29</v>
          </cell>
          <cell r="L20">
            <v>38</v>
          </cell>
          <cell r="M20">
            <v>51</v>
          </cell>
          <cell r="N20">
            <v>3</v>
          </cell>
          <cell r="O20">
            <v>3</v>
          </cell>
          <cell r="P20">
            <v>239.5</v>
          </cell>
          <cell r="Q20">
            <v>15</v>
          </cell>
        </row>
        <row r="21">
          <cell r="B21">
            <v>2021</v>
          </cell>
          <cell r="C21">
            <v>18</v>
          </cell>
          <cell r="D21" t="str">
            <v>Mac Jones</v>
          </cell>
          <cell r="F21">
            <v>352</v>
          </cell>
          <cell r="G21">
            <v>521</v>
          </cell>
          <cell r="H21">
            <v>67.599999999999994</v>
          </cell>
          <cell r="I21">
            <v>22</v>
          </cell>
          <cell r="J21">
            <v>13</v>
          </cell>
          <cell r="K21">
            <v>28</v>
          </cell>
          <cell r="L21">
            <v>44</v>
          </cell>
          <cell r="M21">
            <v>129</v>
          </cell>
          <cell r="N21">
            <v>0</v>
          </cell>
          <cell r="O21">
            <v>3</v>
          </cell>
          <cell r="P21">
            <v>238</v>
          </cell>
          <cell r="Q21">
            <v>17</v>
          </cell>
        </row>
        <row r="22">
          <cell r="B22">
            <v>2021</v>
          </cell>
          <cell r="C22">
            <v>19</v>
          </cell>
          <cell r="D22" t="str">
            <v>Taylor Heinicke</v>
          </cell>
          <cell r="F22">
            <v>321</v>
          </cell>
          <cell r="G22">
            <v>494</v>
          </cell>
          <cell r="H22">
            <v>65</v>
          </cell>
          <cell r="I22">
            <v>20</v>
          </cell>
          <cell r="J22">
            <v>15</v>
          </cell>
          <cell r="K22">
            <v>38</v>
          </cell>
          <cell r="L22">
            <v>60</v>
          </cell>
          <cell r="M22">
            <v>313</v>
          </cell>
          <cell r="N22">
            <v>1</v>
          </cell>
          <cell r="O22">
            <v>2</v>
          </cell>
          <cell r="P22">
            <v>237.2</v>
          </cell>
          <cell r="Q22">
            <v>16</v>
          </cell>
        </row>
        <row r="23">
          <cell r="B23">
            <v>2021</v>
          </cell>
          <cell r="C23">
            <v>20</v>
          </cell>
          <cell r="D23" t="str">
            <v>Matt Ryan</v>
          </cell>
          <cell r="F23">
            <v>375</v>
          </cell>
          <cell r="G23">
            <v>560</v>
          </cell>
          <cell r="H23">
            <v>67</v>
          </cell>
          <cell r="I23">
            <v>20</v>
          </cell>
          <cell r="J23">
            <v>12</v>
          </cell>
          <cell r="K23">
            <v>40</v>
          </cell>
          <cell r="L23">
            <v>40</v>
          </cell>
          <cell r="M23">
            <v>82</v>
          </cell>
          <cell r="N23">
            <v>1</v>
          </cell>
          <cell r="O23">
            <v>4</v>
          </cell>
          <cell r="P23">
            <v>234.8</v>
          </cell>
          <cell r="Q23">
            <v>17</v>
          </cell>
        </row>
        <row r="24">
          <cell r="B24">
            <v>2021</v>
          </cell>
          <cell r="C24">
            <v>21</v>
          </cell>
          <cell r="D24" t="str">
            <v>Ben Roethlisberger</v>
          </cell>
          <cell r="F24">
            <v>390</v>
          </cell>
          <cell r="G24">
            <v>605</v>
          </cell>
          <cell r="H24">
            <v>64.5</v>
          </cell>
          <cell r="I24">
            <v>22</v>
          </cell>
          <cell r="J24">
            <v>10</v>
          </cell>
          <cell r="K24">
            <v>38</v>
          </cell>
          <cell r="L24">
            <v>20</v>
          </cell>
          <cell r="M24">
            <v>5</v>
          </cell>
          <cell r="N24">
            <v>1</v>
          </cell>
          <cell r="O24">
            <v>5</v>
          </cell>
          <cell r="P24">
            <v>228</v>
          </cell>
          <cell r="Q24">
            <v>16</v>
          </cell>
        </row>
        <row r="25">
          <cell r="B25">
            <v>2021</v>
          </cell>
          <cell r="C25">
            <v>22</v>
          </cell>
          <cell r="D25" t="str">
            <v>Trevor Lawrence</v>
          </cell>
          <cell r="F25">
            <v>359</v>
          </cell>
          <cell r="G25">
            <v>602</v>
          </cell>
          <cell r="H25">
            <v>59.6</v>
          </cell>
          <cell r="I25">
            <v>12</v>
          </cell>
          <cell r="J25">
            <v>17</v>
          </cell>
          <cell r="K25">
            <v>32</v>
          </cell>
          <cell r="L25">
            <v>73</v>
          </cell>
          <cell r="M25">
            <v>334</v>
          </cell>
          <cell r="N25">
            <v>2</v>
          </cell>
          <cell r="O25">
            <v>5</v>
          </cell>
          <cell r="P25">
            <v>216</v>
          </cell>
          <cell r="Q25">
            <v>17</v>
          </cell>
        </row>
        <row r="26">
          <cell r="B26">
            <v>2021</v>
          </cell>
          <cell r="C26">
            <v>23</v>
          </cell>
          <cell r="D26" t="str">
            <v>Teddy Bridgewater</v>
          </cell>
          <cell r="F26">
            <v>285</v>
          </cell>
          <cell r="G26">
            <v>426</v>
          </cell>
          <cell r="H26">
            <v>66.900000000000006</v>
          </cell>
          <cell r="I26">
            <v>18</v>
          </cell>
          <cell r="J26">
            <v>7</v>
          </cell>
          <cell r="K26">
            <v>31</v>
          </cell>
          <cell r="L26">
            <v>30</v>
          </cell>
          <cell r="M26">
            <v>106</v>
          </cell>
          <cell r="N26">
            <v>2</v>
          </cell>
          <cell r="O26">
            <v>1</v>
          </cell>
          <cell r="P26">
            <v>209.8</v>
          </cell>
          <cell r="Q26">
            <v>14</v>
          </cell>
        </row>
        <row r="27">
          <cell r="B27">
            <v>2021</v>
          </cell>
          <cell r="C27">
            <v>24</v>
          </cell>
          <cell r="D27" t="str">
            <v>Jared Goff</v>
          </cell>
          <cell r="F27">
            <v>332</v>
          </cell>
          <cell r="G27">
            <v>494</v>
          </cell>
          <cell r="H27">
            <v>67.2</v>
          </cell>
          <cell r="I27">
            <v>19</v>
          </cell>
          <cell r="J27">
            <v>8</v>
          </cell>
          <cell r="K27">
            <v>35</v>
          </cell>
          <cell r="L27">
            <v>17</v>
          </cell>
          <cell r="M27">
            <v>87</v>
          </cell>
          <cell r="N27">
            <v>0</v>
          </cell>
          <cell r="O27">
            <v>6</v>
          </cell>
          <cell r="P27">
            <v>202.4</v>
          </cell>
          <cell r="Q27">
            <v>14</v>
          </cell>
        </row>
        <row r="28">
          <cell r="B28">
            <v>2021</v>
          </cell>
          <cell r="C28">
            <v>25</v>
          </cell>
          <cell r="D28" t="str">
            <v>Baker Mayfield</v>
          </cell>
          <cell r="F28">
            <v>253</v>
          </cell>
          <cell r="G28">
            <v>418</v>
          </cell>
          <cell r="H28">
            <v>60.5</v>
          </cell>
          <cell r="I28">
            <v>17</v>
          </cell>
          <cell r="J28">
            <v>13</v>
          </cell>
          <cell r="K28">
            <v>43</v>
          </cell>
          <cell r="L28">
            <v>37</v>
          </cell>
          <cell r="M28">
            <v>134</v>
          </cell>
          <cell r="N28">
            <v>1</v>
          </cell>
          <cell r="O28">
            <v>3</v>
          </cell>
          <cell r="P28">
            <v>193.8</v>
          </cell>
          <cell r="Q28">
            <v>14</v>
          </cell>
        </row>
        <row r="29">
          <cell r="B29">
            <v>2021</v>
          </cell>
          <cell r="C29">
            <v>26</v>
          </cell>
          <cell r="D29" t="str">
            <v>Tua Tagovailoa</v>
          </cell>
          <cell r="F29">
            <v>263</v>
          </cell>
          <cell r="G29">
            <v>388</v>
          </cell>
          <cell r="H29">
            <v>67.8</v>
          </cell>
          <cell r="I29">
            <v>16</v>
          </cell>
          <cell r="J29">
            <v>10</v>
          </cell>
          <cell r="K29">
            <v>20</v>
          </cell>
          <cell r="L29">
            <v>42</v>
          </cell>
          <cell r="M29">
            <v>128</v>
          </cell>
          <cell r="N29">
            <v>3</v>
          </cell>
          <cell r="O29">
            <v>1</v>
          </cell>
          <cell r="P29">
            <v>190.9</v>
          </cell>
          <cell r="Q29">
            <v>13</v>
          </cell>
        </row>
        <row r="30">
          <cell r="B30">
            <v>2021</v>
          </cell>
          <cell r="C30">
            <v>27</v>
          </cell>
          <cell r="D30" t="str">
            <v>Daniel Jones</v>
          </cell>
          <cell r="F30">
            <v>232</v>
          </cell>
          <cell r="G30">
            <v>361</v>
          </cell>
          <cell r="H30">
            <v>64.3</v>
          </cell>
          <cell r="I30">
            <v>10</v>
          </cell>
          <cell r="J30">
            <v>7</v>
          </cell>
          <cell r="K30">
            <v>22</v>
          </cell>
          <cell r="L30">
            <v>62</v>
          </cell>
          <cell r="M30">
            <v>298</v>
          </cell>
          <cell r="N30">
            <v>2</v>
          </cell>
          <cell r="O30">
            <v>3</v>
          </cell>
          <cell r="P30">
            <v>174.1</v>
          </cell>
          <cell r="Q30">
            <v>11</v>
          </cell>
        </row>
        <row r="31">
          <cell r="B31">
            <v>2021</v>
          </cell>
          <cell r="C31">
            <v>28</v>
          </cell>
          <cell r="D31" t="str">
            <v>Sam Darnold</v>
          </cell>
          <cell r="F31">
            <v>243</v>
          </cell>
          <cell r="G31">
            <v>406</v>
          </cell>
          <cell r="H31">
            <v>59.9</v>
          </cell>
          <cell r="I31">
            <v>9</v>
          </cell>
          <cell r="J31">
            <v>13</v>
          </cell>
          <cell r="K31">
            <v>35</v>
          </cell>
          <cell r="L31">
            <v>48</v>
          </cell>
          <cell r="M31">
            <v>222</v>
          </cell>
          <cell r="N31">
            <v>5</v>
          </cell>
          <cell r="O31">
            <v>4</v>
          </cell>
          <cell r="P31">
            <v>170.5</v>
          </cell>
          <cell r="Q31">
            <v>12</v>
          </cell>
        </row>
        <row r="32">
          <cell r="B32">
            <v>2021</v>
          </cell>
          <cell r="C32">
            <v>29</v>
          </cell>
          <cell r="D32" t="str">
            <v>Davis Mills</v>
          </cell>
          <cell r="F32">
            <v>263</v>
          </cell>
          <cell r="G32">
            <v>394</v>
          </cell>
          <cell r="H32">
            <v>66.8</v>
          </cell>
          <cell r="I32">
            <v>16</v>
          </cell>
          <cell r="J32">
            <v>10</v>
          </cell>
          <cell r="K32">
            <v>31</v>
          </cell>
          <cell r="L32">
            <v>18</v>
          </cell>
          <cell r="M32">
            <v>44</v>
          </cell>
          <cell r="N32">
            <v>0</v>
          </cell>
          <cell r="O32">
            <v>1</v>
          </cell>
          <cell r="P32">
            <v>167</v>
          </cell>
          <cell r="Q32">
            <v>13</v>
          </cell>
        </row>
        <row r="33">
          <cell r="B33">
            <v>2021</v>
          </cell>
          <cell r="C33">
            <v>30</v>
          </cell>
          <cell r="D33" t="str">
            <v>Zach Wilson</v>
          </cell>
          <cell r="F33">
            <v>213</v>
          </cell>
          <cell r="G33">
            <v>383</v>
          </cell>
          <cell r="H33">
            <v>55.6</v>
          </cell>
          <cell r="I33">
            <v>9</v>
          </cell>
          <cell r="J33">
            <v>11</v>
          </cell>
          <cell r="K33">
            <v>44</v>
          </cell>
          <cell r="L33">
            <v>29</v>
          </cell>
          <cell r="M33">
            <v>185</v>
          </cell>
          <cell r="N33">
            <v>4</v>
          </cell>
          <cell r="O33">
            <v>1</v>
          </cell>
          <cell r="P33">
            <v>162.9</v>
          </cell>
          <cell r="Q33">
            <v>13</v>
          </cell>
        </row>
        <row r="34">
          <cell r="B34">
            <v>2021</v>
          </cell>
          <cell r="C34">
            <v>31</v>
          </cell>
          <cell r="D34" t="str">
            <v>Justin Fields</v>
          </cell>
          <cell r="F34">
            <v>159</v>
          </cell>
          <cell r="G34">
            <v>270</v>
          </cell>
          <cell r="H34">
            <v>58.9</v>
          </cell>
          <cell r="I34">
            <v>7</v>
          </cell>
          <cell r="J34">
            <v>10</v>
          </cell>
          <cell r="K34">
            <v>36</v>
          </cell>
          <cell r="L34">
            <v>72</v>
          </cell>
          <cell r="M34">
            <v>420</v>
          </cell>
          <cell r="N34">
            <v>2</v>
          </cell>
          <cell r="O34">
            <v>5</v>
          </cell>
          <cell r="P34">
            <v>136.9</v>
          </cell>
          <cell r="Q34">
            <v>12</v>
          </cell>
        </row>
        <row r="35">
          <cell r="B35">
            <v>2021</v>
          </cell>
          <cell r="C35">
            <v>32</v>
          </cell>
          <cell r="D35" t="str">
            <v>Taysom Hill</v>
          </cell>
          <cell r="F35">
            <v>78</v>
          </cell>
          <cell r="G35">
            <v>134</v>
          </cell>
          <cell r="H35">
            <v>58.2</v>
          </cell>
          <cell r="I35">
            <v>4</v>
          </cell>
          <cell r="J35">
            <v>5</v>
          </cell>
          <cell r="K35">
            <v>9</v>
          </cell>
          <cell r="L35">
            <v>70</v>
          </cell>
          <cell r="M35">
            <v>374</v>
          </cell>
          <cell r="N35">
            <v>5</v>
          </cell>
          <cell r="O35">
            <v>0</v>
          </cell>
          <cell r="P35">
            <v>124.8</v>
          </cell>
          <cell r="Q35">
            <v>12</v>
          </cell>
        </row>
        <row r="36">
          <cell r="B36">
            <v>2021</v>
          </cell>
          <cell r="C36">
            <v>33</v>
          </cell>
          <cell r="D36" t="str">
            <v>Jameis Winston</v>
          </cell>
          <cell r="F36">
            <v>95</v>
          </cell>
          <cell r="G36">
            <v>161</v>
          </cell>
          <cell r="H36">
            <v>59</v>
          </cell>
          <cell r="I36">
            <v>14</v>
          </cell>
          <cell r="J36">
            <v>3</v>
          </cell>
          <cell r="K36">
            <v>11</v>
          </cell>
          <cell r="L36">
            <v>32</v>
          </cell>
          <cell r="M36">
            <v>166</v>
          </cell>
          <cell r="N36">
            <v>1</v>
          </cell>
          <cell r="O36">
            <v>1</v>
          </cell>
          <cell r="P36">
            <v>120.3</v>
          </cell>
          <cell r="Q36">
            <v>7</v>
          </cell>
        </row>
        <row r="37">
          <cell r="B37">
            <v>2021</v>
          </cell>
          <cell r="C37">
            <v>34</v>
          </cell>
          <cell r="D37" t="str">
            <v>Trevor Siemian</v>
          </cell>
          <cell r="F37">
            <v>108</v>
          </cell>
          <cell r="G37">
            <v>188</v>
          </cell>
          <cell r="H37">
            <v>57.4</v>
          </cell>
          <cell r="I37">
            <v>11</v>
          </cell>
          <cell r="J37">
            <v>3</v>
          </cell>
          <cell r="K37">
            <v>9</v>
          </cell>
          <cell r="L37">
            <v>9</v>
          </cell>
          <cell r="M37">
            <v>20</v>
          </cell>
          <cell r="N37">
            <v>1</v>
          </cell>
          <cell r="O37">
            <v>1</v>
          </cell>
          <cell r="P37">
            <v>93.2</v>
          </cell>
          <cell r="Q37">
            <v>6</v>
          </cell>
        </row>
        <row r="38">
          <cell r="B38">
            <v>2021</v>
          </cell>
          <cell r="C38">
            <v>35</v>
          </cell>
          <cell r="D38" t="str">
            <v>Andy Dalton</v>
          </cell>
          <cell r="F38">
            <v>149</v>
          </cell>
          <cell r="G38">
            <v>236</v>
          </cell>
          <cell r="H38">
            <v>63.1</v>
          </cell>
          <cell r="I38">
            <v>8</v>
          </cell>
          <cell r="J38">
            <v>9</v>
          </cell>
          <cell r="K38">
            <v>18</v>
          </cell>
          <cell r="L38">
            <v>16</v>
          </cell>
          <cell r="M38">
            <v>76</v>
          </cell>
          <cell r="N38">
            <v>0</v>
          </cell>
          <cell r="O38">
            <v>1</v>
          </cell>
          <cell r="P38">
            <v>93.1</v>
          </cell>
          <cell r="Q38">
            <v>8</v>
          </cell>
        </row>
        <row r="39">
          <cell r="B39">
            <v>2021</v>
          </cell>
          <cell r="C39">
            <v>36</v>
          </cell>
          <cell r="D39" t="str">
            <v>Cam Newton</v>
          </cell>
          <cell r="F39">
            <v>69</v>
          </cell>
          <cell r="G39">
            <v>126</v>
          </cell>
          <cell r="H39">
            <v>54.8</v>
          </cell>
          <cell r="I39">
            <v>4</v>
          </cell>
          <cell r="J39">
            <v>5</v>
          </cell>
          <cell r="K39">
            <v>10</v>
          </cell>
          <cell r="L39">
            <v>47</v>
          </cell>
          <cell r="M39">
            <v>230</v>
          </cell>
          <cell r="N39">
            <v>5</v>
          </cell>
          <cell r="O39">
            <v>1</v>
          </cell>
          <cell r="P39">
            <v>91.3</v>
          </cell>
          <cell r="Q39">
            <v>8</v>
          </cell>
        </row>
        <row r="40">
          <cell r="B40">
            <v>2021</v>
          </cell>
          <cell r="C40">
            <v>37</v>
          </cell>
          <cell r="D40" t="str">
            <v>Tyler Huntley</v>
          </cell>
          <cell r="F40">
            <v>122</v>
          </cell>
          <cell r="G40">
            <v>188</v>
          </cell>
          <cell r="H40">
            <v>64.900000000000006</v>
          </cell>
          <cell r="I40">
            <v>3</v>
          </cell>
          <cell r="J40">
            <v>4</v>
          </cell>
          <cell r="K40">
            <v>18</v>
          </cell>
          <cell r="L40">
            <v>47</v>
          </cell>
          <cell r="M40">
            <v>294</v>
          </cell>
          <cell r="N40">
            <v>2</v>
          </cell>
          <cell r="O40">
            <v>3</v>
          </cell>
          <cell r="P40">
            <v>86.7</v>
          </cell>
          <cell r="Q40">
            <v>7</v>
          </cell>
        </row>
        <row r="41">
          <cell r="B41">
            <v>2021</v>
          </cell>
          <cell r="C41">
            <v>38</v>
          </cell>
          <cell r="D41" t="str">
            <v>Tyrod Taylor</v>
          </cell>
          <cell r="F41">
            <v>91</v>
          </cell>
          <cell r="G41">
            <v>150</v>
          </cell>
          <cell r="H41">
            <v>60.7</v>
          </cell>
          <cell r="I41">
            <v>5</v>
          </cell>
          <cell r="J41">
            <v>5</v>
          </cell>
          <cell r="K41">
            <v>13</v>
          </cell>
          <cell r="L41">
            <v>19</v>
          </cell>
          <cell r="M41">
            <v>151</v>
          </cell>
          <cell r="N41">
            <v>3</v>
          </cell>
          <cell r="O41">
            <v>0</v>
          </cell>
          <cell r="P41">
            <v>86.7</v>
          </cell>
          <cell r="Q41">
            <v>6</v>
          </cell>
        </row>
        <row r="42">
          <cell r="B42">
            <v>2021</v>
          </cell>
          <cell r="C42">
            <v>39</v>
          </cell>
          <cell r="D42" t="str">
            <v>Jacoby Brissett</v>
          </cell>
          <cell r="F42">
            <v>141</v>
          </cell>
          <cell r="G42">
            <v>225</v>
          </cell>
          <cell r="H42">
            <v>62.7</v>
          </cell>
          <cell r="I42">
            <v>5</v>
          </cell>
          <cell r="J42">
            <v>4</v>
          </cell>
          <cell r="K42">
            <v>19</v>
          </cell>
          <cell r="L42">
            <v>19</v>
          </cell>
          <cell r="M42">
            <v>70</v>
          </cell>
          <cell r="N42">
            <v>1</v>
          </cell>
          <cell r="O42">
            <v>3</v>
          </cell>
          <cell r="P42">
            <v>76.400000000000006</v>
          </cell>
          <cell r="Q42">
            <v>11</v>
          </cell>
        </row>
        <row r="43">
          <cell r="B43">
            <v>2021</v>
          </cell>
          <cell r="C43">
            <v>40</v>
          </cell>
          <cell r="D43" t="str">
            <v>Trey Lance</v>
          </cell>
          <cell r="F43">
            <v>41</v>
          </cell>
          <cell r="G43">
            <v>71</v>
          </cell>
          <cell r="H43">
            <v>57.7</v>
          </cell>
          <cell r="I43">
            <v>5</v>
          </cell>
          <cell r="J43">
            <v>2</v>
          </cell>
          <cell r="K43">
            <v>4</v>
          </cell>
          <cell r="L43">
            <v>38</v>
          </cell>
          <cell r="M43">
            <v>168</v>
          </cell>
          <cell r="N43">
            <v>1</v>
          </cell>
          <cell r="O43">
            <v>0</v>
          </cell>
          <cell r="P43">
            <v>67</v>
          </cell>
          <cell r="Q43">
            <v>6</v>
          </cell>
        </row>
        <row r="44">
          <cell r="B44">
            <v>2021</v>
          </cell>
          <cell r="C44">
            <v>41</v>
          </cell>
          <cell r="D44" t="str">
            <v>Geno Smith</v>
          </cell>
          <cell r="F44">
            <v>65</v>
          </cell>
          <cell r="G44">
            <v>95</v>
          </cell>
          <cell r="H44">
            <v>68.400000000000006</v>
          </cell>
          <cell r="I44">
            <v>5</v>
          </cell>
          <cell r="J44">
            <v>1</v>
          </cell>
          <cell r="K44">
            <v>13</v>
          </cell>
          <cell r="L44">
            <v>9</v>
          </cell>
          <cell r="M44">
            <v>42</v>
          </cell>
          <cell r="N44">
            <v>1</v>
          </cell>
          <cell r="O44">
            <v>1</v>
          </cell>
          <cell r="P44">
            <v>55.3</v>
          </cell>
          <cell r="Q44">
            <v>4</v>
          </cell>
        </row>
        <row r="45">
          <cell r="B45">
            <v>2021</v>
          </cell>
          <cell r="C45">
            <v>42</v>
          </cell>
          <cell r="D45" t="str">
            <v>Drew Lock</v>
          </cell>
          <cell r="F45">
            <v>67</v>
          </cell>
          <cell r="G45">
            <v>111</v>
          </cell>
          <cell r="H45">
            <v>60.4</v>
          </cell>
          <cell r="I45">
            <v>2</v>
          </cell>
          <cell r="J45">
            <v>2</v>
          </cell>
          <cell r="K45">
            <v>9</v>
          </cell>
          <cell r="L45">
            <v>10</v>
          </cell>
          <cell r="M45">
            <v>53</v>
          </cell>
          <cell r="N45">
            <v>2</v>
          </cell>
          <cell r="O45">
            <v>1</v>
          </cell>
          <cell r="P45">
            <v>53.3</v>
          </cell>
          <cell r="Q45">
            <v>6</v>
          </cell>
        </row>
        <row r="46">
          <cell r="B46">
            <v>2021</v>
          </cell>
          <cell r="C46">
            <v>43</v>
          </cell>
          <cell r="D46" t="str">
            <v>Mike White</v>
          </cell>
          <cell r="F46">
            <v>88</v>
          </cell>
          <cell r="G46">
            <v>132</v>
          </cell>
          <cell r="H46">
            <v>66.7</v>
          </cell>
          <cell r="I46">
            <v>5</v>
          </cell>
          <cell r="J46">
            <v>8</v>
          </cell>
          <cell r="K46">
            <v>4</v>
          </cell>
          <cell r="L46">
            <v>5</v>
          </cell>
          <cell r="M46">
            <v>-1</v>
          </cell>
          <cell r="N46">
            <v>0</v>
          </cell>
          <cell r="O46">
            <v>0</v>
          </cell>
          <cell r="P46">
            <v>52</v>
          </cell>
          <cell r="Q46">
            <v>4</v>
          </cell>
        </row>
        <row r="47">
          <cell r="B47">
            <v>2021</v>
          </cell>
          <cell r="C47">
            <v>44</v>
          </cell>
          <cell r="D47" t="str">
            <v>Josh Johnson</v>
          </cell>
          <cell r="F47">
            <v>57</v>
          </cell>
          <cell r="G47">
            <v>85</v>
          </cell>
          <cell r="H47">
            <v>67.099999999999994</v>
          </cell>
          <cell r="I47">
            <v>5</v>
          </cell>
          <cell r="J47">
            <v>2</v>
          </cell>
          <cell r="K47">
            <v>3</v>
          </cell>
          <cell r="L47">
            <v>9</v>
          </cell>
          <cell r="M47">
            <v>28</v>
          </cell>
          <cell r="N47">
            <v>0</v>
          </cell>
          <cell r="O47">
            <v>0</v>
          </cell>
          <cell r="P47">
            <v>48.4</v>
          </cell>
          <cell r="Q47">
            <v>4</v>
          </cell>
        </row>
        <row r="48">
          <cell r="B48">
            <v>2021</v>
          </cell>
          <cell r="C48">
            <v>45</v>
          </cell>
          <cell r="D48" t="str">
            <v>Colt McCoy</v>
          </cell>
          <cell r="F48">
            <v>74</v>
          </cell>
          <cell r="G48">
            <v>99</v>
          </cell>
          <cell r="H48">
            <v>74.7</v>
          </cell>
          <cell r="I48">
            <v>3</v>
          </cell>
          <cell r="J48">
            <v>1</v>
          </cell>
          <cell r="K48">
            <v>6</v>
          </cell>
          <cell r="L48">
            <v>22</v>
          </cell>
          <cell r="M48">
            <v>37</v>
          </cell>
          <cell r="N48">
            <v>0</v>
          </cell>
          <cell r="O48">
            <v>1</v>
          </cell>
          <cell r="P48">
            <v>42.3</v>
          </cell>
          <cell r="Q48">
            <v>8</v>
          </cell>
        </row>
        <row r="49">
          <cell r="B49">
            <v>2021</v>
          </cell>
          <cell r="C49">
            <v>46</v>
          </cell>
          <cell r="D49" t="str">
            <v>Mike Glennon</v>
          </cell>
          <cell r="F49">
            <v>90</v>
          </cell>
          <cell r="G49">
            <v>167</v>
          </cell>
          <cell r="H49">
            <v>53.9</v>
          </cell>
          <cell r="I49">
            <v>4</v>
          </cell>
          <cell r="J49">
            <v>10</v>
          </cell>
          <cell r="K49">
            <v>9</v>
          </cell>
          <cell r="L49">
            <v>7</v>
          </cell>
          <cell r="M49">
            <v>33</v>
          </cell>
          <cell r="N49">
            <v>1</v>
          </cell>
          <cell r="O49">
            <v>3</v>
          </cell>
          <cell r="P49">
            <v>40.9</v>
          </cell>
          <cell r="Q49">
            <v>6</v>
          </cell>
        </row>
        <row r="50">
          <cell r="B50">
            <v>2021</v>
          </cell>
          <cell r="C50">
            <v>47</v>
          </cell>
          <cell r="D50" t="str">
            <v>Gardner Minshew II</v>
          </cell>
          <cell r="F50">
            <v>41</v>
          </cell>
          <cell r="G50">
            <v>60</v>
          </cell>
          <cell r="H50">
            <v>68.3</v>
          </cell>
          <cell r="I50">
            <v>4</v>
          </cell>
          <cell r="J50">
            <v>1</v>
          </cell>
          <cell r="K50">
            <v>5</v>
          </cell>
          <cell r="L50">
            <v>9</v>
          </cell>
          <cell r="M50">
            <v>21</v>
          </cell>
          <cell r="N50">
            <v>0</v>
          </cell>
          <cell r="O50">
            <v>0</v>
          </cell>
          <cell r="P50">
            <v>34.6</v>
          </cell>
          <cell r="Q50">
            <v>3</v>
          </cell>
        </row>
        <row r="51">
          <cell r="B51">
            <v>2021</v>
          </cell>
          <cell r="C51">
            <v>48</v>
          </cell>
          <cell r="D51" t="str">
            <v>Tim Boyle</v>
          </cell>
          <cell r="F51">
            <v>61</v>
          </cell>
          <cell r="G51">
            <v>94</v>
          </cell>
          <cell r="H51">
            <v>64.900000000000006</v>
          </cell>
          <cell r="I51">
            <v>3</v>
          </cell>
          <cell r="J51">
            <v>6</v>
          </cell>
          <cell r="K51">
            <v>0</v>
          </cell>
          <cell r="L51">
            <v>2</v>
          </cell>
          <cell r="M51">
            <v>13</v>
          </cell>
          <cell r="N51">
            <v>0</v>
          </cell>
          <cell r="O51">
            <v>0</v>
          </cell>
          <cell r="P51">
            <v>30.4</v>
          </cell>
          <cell r="Q51">
            <v>4</v>
          </cell>
        </row>
        <row r="52">
          <cell r="B52">
            <v>2021</v>
          </cell>
          <cell r="C52">
            <v>49</v>
          </cell>
          <cell r="D52" t="str">
            <v>Case Keenum</v>
          </cell>
          <cell r="F52">
            <v>47</v>
          </cell>
          <cell r="G52">
            <v>72</v>
          </cell>
          <cell r="H52">
            <v>65.3</v>
          </cell>
          <cell r="I52">
            <v>3</v>
          </cell>
          <cell r="J52">
            <v>1</v>
          </cell>
          <cell r="K52">
            <v>5</v>
          </cell>
          <cell r="L52">
            <v>12</v>
          </cell>
          <cell r="M52">
            <v>22</v>
          </cell>
          <cell r="N52">
            <v>0</v>
          </cell>
          <cell r="O52">
            <v>1</v>
          </cell>
          <cell r="P52">
            <v>29.6</v>
          </cell>
          <cell r="Q52">
            <v>5</v>
          </cell>
        </row>
        <row r="53">
          <cell r="B53">
            <v>2021</v>
          </cell>
          <cell r="C53">
            <v>50</v>
          </cell>
          <cell r="D53" t="str">
            <v>Cooper Rush</v>
          </cell>
          <cell r="F53">
            <v>30</v>
          </cell>
          <cell r="G53">
            <v>47</v>
          </cell>
          <cell r="H53">
            <v>63.8</v>
          </cell>
          <cell r="I53">
            <v>3</v>
          </cell>
          <cell r="J53">
            <v>1</v>
          </cell>
          <cell r="K53">
            <v>3</v>
          </cell>
          <cell r="L53">
            <v>9</v>
          </cell>
          <cell r="M53">
            <v>-8</v>
          </cell>
          <cell r="N53">
            <v>0</v>
          </cell>
          <cell r="O53">
            <v>1</v>
          </cell>
          <cell r="P53">
            <v>25.1</v>
          </cell>
          <cell r="Q53">
            <v>4</v>
          </cell>
        </row>
        <row r="54">
          <cell r="B54">
            <v>2021</v>
          </cell>
          <cell r="C54">
            <v>51</v>
          </cell>
          <cell r="D54" t="str">
            <v>Jordan Love</v>
          </cell>
          <cell r="F54">
            <v>36</v>
          </cell>
          <cell r="G54">
            <v>62</v>
          </cell>
          <cell r="H54">
            <v>58.1</v>
          </cell>
          <cell r="I54">
            <v>2</v>
          </cell>
          <cell r="J54">
            <v>3</v>
          </cell>
          <cell r="K54">
            <v>3</v>
          </cell>
          <cell r="L54">
            <v>12</v>
          </cell>
          <cell r="M54">
            <v>27</v>
          </cell>
          <cell r="N54">
            <v>0</v>
          </cell>
          <cell r="O54">
            <v>1</v>
          </cell>
          <cell r="P54">
            <v>24.2</v>
          </cell>
          <cell r="Q54">
            <v>6</v>
          </cell>
        </row>
        <row r="55">
          <cell r="B55">
            <v>2021</v>
          </cell>
          <cell r="C55">
            <v>52</v>
          </cell>
          <cell r="D55" t="str">
            <v>Joe Flacco</v>
          </cell>
          <cell r="F55">
            <v>27</v>
          </cell>
          <cell r="G55">
            <v>42</v>
          </cell>
          <cell r="H55">
            <v>64.3</v>
          </cell>
          <cell r="I55">
            <v>3</v>
          </cell>
          <cell r="J55">
            <v>0</v>
          </cell>
          <cell r="K55">
            <v>2</v>
          </cell>
          <cell r="L55">
            <v>2</v>
          </cell>
          <cell r="M55">
            <v>3</v>
          </cell>
          <cell r="N55">
            <v>0</v>
          </cell>
          <cell r="O55">
            <v>1</v>
          </cell>
          <cell r="P55">
            <v>23.8</v>
          </cell>
          <cell r="Q55">
            <v>2</v>
          </cell>
        </row>
        <row r="56">
          <cell r="B56">
            <v>2021</v>
          </cell>
          <cell r="C56">
            <v>53</v>
          </cell>
          <cell r="D56" t="str">
            <v>Mason Rudolph</v>
          </cell>
          <cell r="F56">
            <v>35</v>
          </cell>
          <cell r="G56">
            <v>58</v>
          </cell>
          <cell r="H56">
            <v>60.3</v>
          </cell>
          <cell r="I56">
            <v>1</v>
          </cell>
          <cell r="J56">
            <v>1</v>
          </cell>
          <cell r="K56">
            <v>0</v>
          </cell>
          <cell r="L56">
            <v>5</v>
          </cell>
          <cell r="M56">
            <v>53</v>
          </cell>
          <cell r="N56">
            <v>0</v>
          </cell>
          <cell r="O56">
            <v>0</v>
          </cell>
          <cell r="P56">
            <v>19.399999999999999</v>
          </cell>
          <cell r="Q56">
            <v>2</v>
          </cell>
        </row>
        <row r="57">
          <cell r="B57">
            <v>2021</v>
          </cell>
          <cell r="C57">
            <v>54</v>
          </cell>
          <cell r="D57" t="str">
            <v>P.J. Walker</v>
          </cell>
          <cell r="F57">
            <v>36</v>
          </cell>
          <cell r="G57">
            <v>66</v>
          </cell>
          <cell r="H57">
            <v>54.5</v>
          </cell>
          <cell r="I57">
            <v>1</v>
          </cell>
          <cell r="J57">
            <v>3</v>
          </cell>
          <cell r="K57">
            <v>7</v>
          </cell>
          <cell r="L57">
            <v>7</v>
          </cell>
          <cell r="M57">
            <v>13</v>
          </cell>
          <cell r="N57">
            <v>0</v>
          </cell>
          <cell r="O57">
            <v>1</v>
          </cell>
          <cell r="P57">
            <v>16.8</v>
          </cell>
          <cell r="Q57">
            <v>5</v>
          </cell>
        </row>
        <row r="58">
          <cell r="B58">
            <v>2021</v>
          </cell>
          <cell r="C58">
            <v>55</v>
          </cell>
          <cell r="D58" t="str">
            <v>Nick Foles</v>
          </cell>
          <cell r="F58">
            <v>24</v>
          </cell>
          <cell r="G58">
            <v>35</v>
          </cell>
          <cell r="H58">
            <v>68.599999999999994</v>
          </cell>
          <cell r="I58">
            <v>1</v>
          </cell>
          <cell r="J58">
            <v>0</v>
          </cell>
          <cell r="K58">
            <v>4</v>
          </cell>
          <cell r="L58">
            <v>4</v>
          </cell>
          <cell r="M58">
            <v>8</v>
          </cell>
          <cell r="N58">
            <v>0</v>
          </cell>
          <cell r="O58">
            <v>0</v>
          </cell>
          <cell r="P58">
            <v>16.8</v>
          </cell>
          <cell r="Q58">
            <v>1</v>
          </cell>
        </row>
        <row r="59">
          <cell r="B59">
            <v>2021</v>
          </cell>
          <cell r="C59">
            <v>56</v>
          </cell>
          <cell r="D59" t="str">
            <v>Marcus Mariota</v>
          </cell>
          <cell r="F59">
            <v>1</v>
          </cell>
          <cell r="G59">
            <v>2</v>
          </cell>
          <cell r="H59">
            <v>50</v>
          </cell>
          <cell r="I59">
            <v>0</v>
          </cell>
          <cell r="J59">
            <v>0</v>
          </cell>
          <cell r="K59">
            <v>0</v>
          </cell>
          <cell r="L59">
            <v>13</v>
          </cell>
          <cell r="M59">
            <v>87</v>
          </cell>
          <cell r="N59">
            <v>1</v>
          </cell>
          <cell r="O59">
            <v>0</v>
          </cell>
          <cell r="P59">
            <v>14.9</v>
          </cell>
          <cell r="Q59">
            <v>7</v>
          </cell>
        </row>
        <row r="60">
          <cell r="B60">
            <v>2021</v>
          </cell>
          <cell r="C60">
            <v>57</v>
          </cell>
          <cell r="D60" t="str">
            <v>Jake Fromm</v>
          </cell>
          <cell r="F60">
            <v>27</v>
          </cell>
          <cell r="G60">
            <v>60</v>
          </cell>
          <cell r="H60">
            <v>45</v>
          </cell>
          <cell r="I60">
            <v>1</v>
          </cell>
          <cell r="J60">
            <v>3</v>
          </cell>
          <cell r="K60">
            <v>6</v>
          </cell>
          <cell r="L60">
            <v>8</v>
          </cell>
          <cell r="M60">
            <v>65</v>
          </cell>
          <cell r="N60">
            <v>0</v>
          </cell>
          <cell r="O60">
            <v>1</v>
          </cell>
          <cell r="P60">
            <v>13.9</v>
          </cell>
          <cell r="Q60">
            <v>3</v>
          </cell>
        </row>
        <row r="61">
          <cell r="B61">
            <v>2021</v>
          </cell>
          <cell r="C61">
            <v>58</v>
          </cell>
          <cell r="D61" t="str">
            <v>Brandon Allen</v>
          </cell>
          <cell r="F61">
            <v>17</v>
          </cell>
          <cell r="G61">
            <v>34</v>
          </cell>
          <cell r="H61">
            <v>50</v>
          </cell>
          <cell r="I61">
            <v>2</v>
          </cell>
          <cell r="J61">
            <v>0</v>
          </cell>
          <cell r="K61">
            <v>4</v>
          </cell>
          <cell r="L61">
            <v>7</v>
          </cell>
          <cell r="M61">
            <v>-1</v>
          </cell>
          <cell r="N61">
            <v>0</v>
          </cell>
          <cell r="O61">
            <v>0</v>
          </cell>
          <cell r="P61">
            <v>13.8</v>
          </cell>
          <cell r="Q61">
            <v>5</v>
          </cell>
        </row>
        <row r="62">
          <cell r="B62">
            <v>2021</v>
          </cell>
          <cell r="C62">
            <v>59</v>
          </cell>
          <cell r="D62" t="str">
            <v>Sean Mannion</v>
          </cell>
          <cell r="F62">
            <v>22</v>
          </cell>
          <cell r="G62">
            <v>36</v>
          </cell>
          <cell r="H62">
            <v>61.1</v>
          </cell>
          <cell r="I62">
            <v>1</v>
          </cell>
          <cell r="J62">
            <v>0</v>
          </cell>
          <cell r="K62">
            <v>2</v>
          </cell>
          <cell r="L62">
            <v>2</v>
          </cell>
          <cell r="M62">
            <v>14</v>
          </cell>
          <cell r="N62">
            <v>0</v>
          </cell>
          <cell r="O62">
            <v>0</v>
          </cell>
          <cell r="P62">
            <v>13</v>
          </cell>
          <cell r="Q62">
            <v>1</v>
          </cell>
        </row>
        <row r="63">
          <cell r="B63">
            <v>2021</v>
          </cell>
          <cell r="C63">
            <v>60</v>
          </cell>
          <cell r="D63" t="str">
            <v>Brian Hoyer</v>
          </cell>
          <cell r="F63">
            <v>9</v>
          </cell>
          <cell r="G63">
            <v>11</v>
          </cell>
          <cell r="H63">
            <v>81.8</v>
          </cell>
          <cell r="I63">
            <v>1</v>
          </cell>
          <cell r="J63">
            <v>0</v>
          </cell>
          <cell r="K63">
            <v>0</v>
          </cell>
          <cell r="L63">
            <v>11</v>
          </cell>
          <cell r="M63">
            <v>-8</v>
          </cell>
          <cell r="N63">
            <v>0</v>
          </cell>
          <cell r="O63">
            <v>0</v>
          </cell>
          <cell r="P63">
            <v>12.3</v>
          </cell>
          <cell r="Q63">
            <v>5</v>
          </cell>
        </row>
        <row r="64">
          <cell r="B64">
            <v>2021</v>
          </cell>
          <cell r="C64">
            <v>61</v>
          </cell>
          <cell r="D64" t="str">
            <v>Nick Mullens</v>
          </cell>
          <cell r="F64">
            <v>20</v>
          </cell>
          <cell r="G64">
            <v>30</v>
          </cell>
          <cell r="H64">
            <v>66.7</v>
          </cell>
          <cell r="I64">
            <v>1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9.9</v>
          </cell>
          <cell r="Q64">
            <v>1</v>
          </cell>
        </row>
        <row r="65">
          <cell r="B65">
            <v>2021</v>
          </cell>
          <cell r="C65">
            <v>62</v>
          </cell>
          <cell r="D65" t="str">
            <v>Mitchell Trubisky</v>
          </cell>
          <cell r="F65">
            <v>6</v>
          </cell>
          <cell r="G65">
            <v>8</v>
          </cell>
          <cell r="H65">
            <v>75</v>
          </cell>
          <cell r="I65">
            <v>0</v>
          </cell>
          <cell r="J65">
            <v>1</v>
          </cell>
          <cell r="K65">
            <v>0</v>
          </cell>
          <cell r="L65">
            <v>13</v>
          </cell>
          <cell r="M65">
            <v>24</v>
          </cell>
          <cell r="N65">
            <v>1</v>
          </cell>
          <cell r="O65">
            <v>0</v>
          </cell>
          <cell r="P65">
            <v>9.1</v>
          </cell>
          <cell r="Q65">
            <v>5</v>
          </cell>
        </row>
        <row r="66">
          <cell r="B66">
            <v>2021</v>
          </cell>
          <cell r="C66">
            <v>63</v>
          </cell>
          <cell r="D66" t="str">
            <v>Kyle Allen</v>
          </cell>
          <cell r="F66">
            <v>12</v>
          </cell>
          <cell r="G66">
            <v>19</v>
          </cell>
          <cell r="H66">
            <v>63.2</v>
          </cell>
          <cell r="I66">
            <v>1</v>
          </cell>
          <cell r="J66">
            <v>0</v>
          </cell>
          <cell r="K66">
            <v>2</v>
          </cell>
          <cell r="L66">
            <v>2</v>
          </cell>
          <cell r="M66">
            <v>11</v>
          </cell>
          <cell r="N66">
            <v>0</v>
          </cell>
          <cell r="O66">
            <v>1</v>
          </cell>
          <cell r="P66">
            <v>7.9</v>
          </cell>
          <cell r="Q66">
            <v>2</v>
          </cell>
        </row>
        <row r="67">
          <cell r="B67">
            <v>2021</v>
          </cell>
          <cell r="C67">
            <v>64</v>
          </cell>
          <cell r="D67" t="str">
            <v>Garrett Gilbert</v>
          </cell>
          <cell r="F67">
            <v>20</v>
          </cell>
          <cell r="G67">
            <v>31</v>
          </cell>
          <cell r="H67">
            <v>64.5</v>
          </cell>
          <cell r="I67">
            <v>0</v>
          </cell>
          <cell r="J67">
            <v>0</v>
          </cell>
          <cell r="K67">
            <v>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7.8</v>
          </cell>
          <cell r="Q67">
            <v>1</v>
          </cell>
        </row>
        <row r="68">
          <cell r="B68">
            <v>2021</v>
          </cell>
          <cell r="C68">
            <v>65</v>
          </cell>
          <cell r="D68" t="str">
            <v>Ian Book</v>
          </cell>
          <cell r="F68">
            <v>12</v>
          </cell>
          <cell r="G68">
            <v>20</v>
          </cell>
          <cell r="H68">
            <v>60</v>
          </cell>
          <cell r="I68">
            <v>0</v>
          </cell>
          <cell r="J68">
            <v>2</v>
          </cell>
          <cell r="K68">
            <v>8</v>
          </cell>
          <cell r="L68">
            <v>3</v>
          </cell>
          <cell r="M68">
            <v>6</v>
          </cell>
          <cell r="N68">
            <v>0</v>
          </cell>
          <cell r="O68">
            <v>0</v>
          </cell>
          <cell r="P68">
            <v>4</v>
          </cell>
          <cell r="Q68">
            <v>1</v>
          </cell>
        </row>
        <row r="69">
          <cell r="B69">
            <v>2021</v>
          </cell>
          <cell r="C69">
            <v>66</v>
          </cell>
          <cell r="D69" t="str">
            <v>Chad Henne</v>
          </cell>
          <cell r="F69">
            <v>11</v>
          </cell>
          <cell r="G69">
            <v>16</v>
          </cell>
          <cell r="H69">
            <v>68.8</v>
          </cell>
          <cell r="I69">
            <v>0</v>
          </cell>
          <cell r="J69">
            <v>0</v>
          </cell>
          <cell r="K69">
            <v>0</v>
          </cell>
          <cell r="L69">
            <v>8</v>
          </cell>
          <cell r="M69">
            <v>0</v>
          </cell>
          <cell r="N69">
            <v>0</v>
          </cell>
          <cell r="O69">
            <v>0</v>
          </cell>
          <cell r="P69">
            <v>3.3</v>
          </cell>
          <cell r="Q69">
            <v>4</v>
          </cell>
        </row>
        <row r="70">
          <cell r="B70">
            <v>2021</v>
          </cell>
          <cell r="C70">
            <v>67</v>
          </cell>
          <cell r="D70" t="str">
            <v>Chris Streveler</v>
          </cell>
          <cell r="F70">
            <v>6</v>
          </cell>
          <cell r="G70">
            <v>9</v>
          </cell>
          <cell r="H70">
            <v>66.7</v>
          </cell>
          <cell r="I70">
            <v>0</v>
          </cell>
          <cell r="J70">
            <v>0</v>
          </cell>
          <cell r="K70">
            <v>2</v>
          </cell>
          <cell r="L70">
            <v>3</v>
          </cell>
          <cell r="M70">
            <v>6</v>
          </cell>
          <cell r="N70">
            <v>0</v>
          </cell>
          <cell r="O70">
            <v>0</v>
          </cell>
          <cell r="P70">
            <v>2</v>
          </cell>
          <cell r="Q70">
            <v>2</v>
          </cell>
        </row>
        <row r="71">
          <cell r="B71">
            <v>2021</v>
          </cell>
          <cell r="C71">
            <v>68</v>
          </cell>
          <cell r="D71" t="str">
            <v>Blaine Gabbert</v>
          </cell>
          <cell r="F71">
            <v>7</v>
          </cell>
          <cell r="G71">
            <v>11</v>
          </cell>
          <cell r="H71">
            <v>63.6</v>
          </cell>
          <cell r="I71">
            <v>0</v>
          </cell>
          <cell r="J71">
            <v>0</v>
          </cell>
          <cell r="K71">
            <v>1</v>
          </cell>
          <cell r="L71">
            <v>9</v>
          </cell>
          <cell r="M71">
            <v>-7</v>
          </cell>
          <cell r="N71">
            <v>0</v>
          </cell>
          <cell r="O71">
            <v>0</v>
          </cell>
          <cell r="P71">
            <v>1.9</v>
          </cell>
          <cell r="Q71">
            <v>6</v>
          </cell>
        </row>
        <row r="72">
          <cell r="B72">
            <v>2021</v>
          </cell>
          <cell r="C72">
            <v>69</v>
          </cell>
          <cell r="D72" t="str">
            <v>C.J. Beathard</v>
          </cell>
          <cell r="F72">
            <v>2</v>
          </cell>
          <cell r="G72">
            <v>2</v>
          </cell>
          <cell r="H72">
            <v>100</v>
          </cell>
          <cell r="I72">
            <v>0</v>
          </cell>
          <cell r="J72">
            <v>0</v>
          </cell>
          <cell r="K72">
            <v>0</v>
          </cell>
          <cell r="L72">
            <v>1</v>
          </cell>
          <cell r="M72">
            <v>2</v>
          </cell>
          <cell r="N72">
            <v>0</v>
          </cell>
          <cell r="O72">
            <v>0</v>
          </cell>
          <cell r="P72">
            <v>1.5</v>
          </cell>
          <cell r="Q72">
            <v>2</v>
          </cell>
        </row>
        <row r="73">
          <cell r="B73">
            <v>2021</v>
          </cell>
          <cell r="C73">
            <v>70</v>
          </cell>
          <cell r="D73" t="str">
            <v>Sam Ehlinger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3</v>
          </cell>
          <cell r="M73">
            <v>9</v>
          </cell>
          <cell r="N73">
            <v>0</v>
          </cell>
          <cell r="O73">
            <v>0</v>
          </cell>
          <cell r="P73">
            <v>0.9</v>
          </cell>
          <cell r="Q73">
            <v>3</v>
          </cell>
        </row>
        <row r="74">
          <cell r="B74">
            <v>2021</v>
          </cell>
          <cell r="C74">
            <v>71</v>
          </cell>
          <cell r="D74" t="str">
            <v>Ryan Fitzpatrick</v>
          </cell>
          <cell r="F74">
            <v>3</v>
          </cell>
          <cell r="G74">
            <v>6</v>
          </cell>
          <cell r="H74">
            <v>50</v>
          </cell>
          <cell r="I74">
            <v>0</v>
          </cell>
          <cell r="J74">
            <v>0</v>
          </cell>
          <cell r="K74">
            <v>1</v>
          </cell>
          <cell r="L74">
            <v>1</v>
          </cell>
          <cell r="M74">
            <v>2</v>
          </cell>
          <cell r="N74">
            <v>0</v>
          </cell>
          <cell r="O74">
            <v>0</v>
          </cell>
          <cell r="P74">
            <v>0.7</v>
          </cell>
          <cell r="Q74">
            <v>1</v>
          </cell>
        </row>
        <row r="75">
          <cell r="B75">
            <v>2021</v>
          </cell>
          <cell r="C75">
            <v>72</v>
          </cell>
          <cell r="D75" t="str">
            <v>David Blough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1</v>
          </cell>
          <cell r="L75">
            <v>1</v>
          </cell>
          <cell r="M75">
            <v>6</v>
          </cell>
          <cell r="N75">
            <v>0</v>
          </cell>
          <cell r="O75">
            <v>0</v>
          </cell>
          <cell r="P75">
            <v>0.6</v>
          </cell>
          <cell r="Q75">
            <v>1</v>
          </cell>
        </row>
        <row r="76">
          <cell r="B76">
            <v>2021</v>
          </cell>
          <cell r="C76">
            <v>73</v>
          </cell>
          <cell r="D76" t="str">
            <v>Nathan Peterman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2</v>
          </cell>
          <cell r="M76">
            <v>2</v>
          </cell>
          <cell r="N76">
            <v>0</v>
          </cell>
          <cell r="O76">
            <v>0</v>
          </cell>
          <cell r="P76">
            <v>0.2</v>
          </cell>
          <cell r="Q76">
            <v>1</v>
          </cell>
        </row>
        <row r="77">
          <cell r="B77">
            <v>2021</v>
          </cell>
          <cell r="C77">
            <v>74</v>
          </cell>
          <cell r="D77" t="str">
            <v>Kellen Mond</v>
          </cell>
          <cell r="F77">
            <v>2</v>
          </cell>
          <cell r="G77">
            <v>3</v>
          </cell>
          <cell r="H77">
            <v>66.7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0.2</v>
          </cell>
          <cell r="Q77">
            <v>2</v>
          </cell>
        </row>
        <row r="82">
          <cell r="B82">
            <v>2021</v>
          </cell>
          <cell r="C82">
            <v>79</v>
          </cell>
          <cell r="D82" t="str">
            <v>Trace McSorley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</v>
          </cell>
        </row>
        <row r="84">
          <cell r="B84">
            <v>2021</v>
          </cell>
          <cell r="C84">
            <v>81</v>
          </cell>
          <cell r="D84" t="str">
            <v>Brett Rypien</v>
          </cell>
          <cell r="F84">
            <v>0</v>
          </cell>
          <cell r="G84">
            <v>2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1</v>
          </cell>
        </row>
        <row r="97">
          <cell r="B97">
            <v>2021</v>
          </cell>
          <cell r="C97">
            <v>94</v>
          </cell>
          <cell r="D97" t="str">
            <v>Jacob Eason</v>
          </cell>
          <cell r="F97">
            <v>2</v>
          </cell>
          <cell r="G97">
            <v>5</v>
          </cell>
          <cell r="H97">
            <v>40</v>
          </cell>
          <cell r="I97">
            <v>0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1</v>
          </cell>
        </row>
        <row r="118">
          <cell r="B118">
            <v>2021</v>
          </cell>
          <cell r="C118">
            <v>115</v>
          </cell>
          <cell r="D118" t="str">
            <v>Kurt Benkert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</v>
          </cell>
          <cell r="M118">
            <v>-1</v>
          </cell>
          <cell r="N118">
            <v>0</v>
          </cell>
          <cell r="O118">
            <v>0</v>
          </cell>
          <cell r="P118">
            <v>-0.1</v>
          </cell>
          <cell r="Q118">
            <v>1</v>
          </cell>
        </row>
        <row r="119">
          <cell r="B119">
            <v>2021</v>
          </cell>
          <cell r="C119">
            <v>116</v>
          </cell>
          <cell r="D119" t="str">
            <v>Chase Daniel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2</v>
          </cell>
          <cell r="M119">
            <v>-2</v>
          </cell>
          <cell r="N119">
            <v>0</v>
          </cell>
          <cell r="O119">
            <v>0</v>
          </cell>
          <cell r="P119">
            <v>-0.2</v>
          </cell>
          <cell r="Q119">
            <v>1</v>
          </cell>
        </row>
        <row r="120">
          <cell r="B120">
            <v>2021</v>
          </cell>
          <cell r="C120">
            <v>117</v>
          </cell>
          <cell r="D120" t="str">
            <v>Davis Webb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</v>
          </cell>
          <cell r="M120">
            <v>-3</v>
          </cell>
          <cell r="N120">
            <v>0</v>
          </cell>
          <cell r="O120">
            <v>0</v>
          </cell>
          <cell r="P120">
            <v>-0.3</v>
          </cell>
          <cell r="Q120">
            <v>1</v>
          </cell>
        </row>
        <row r="121">
          <cell r="B121">
            <v>2021</v>
          </cell>
          <cell r="C121">
            <v>118</v>
          </cell>
          <cell r="D121" t="str">
            <v>Feleipe Franks</v>
          </cell>
          <cell r="F121">
            <v>0</v>
          </cell>
          <cell r="G121">
            <v>1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3</v>
          </cell>
          <cell r="M121">
            <v>6</v>
          </cell>
          <cell r="N121">
            <v>0</v>
          </cell>
          <cell r="O121">
            <v>0</v>
          </cell>
          <cell r="P121">
            <v>-0.4</v>
          </cell>
          <cell r="Q121">
            <v>6</v>
          </cell>
        </row>
        <row r="122">
          <cell r="B122">
            <v>2021</v>
          </cell>
          <cell r="C122">
            <v>119</v>
          </cell>
          <cell r="D122" t="str">
            <v>Logan Woodside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</v>
          </cell>
          <cell r="M122">
            <v>-6</v>
          </cell>
          <cell r="N122">
            <v>0</v>
          </cell>
          <cell r="O122">
            <v>0</v>
          </cell>
          <cell r="P122">
            <v>-0.6</v>
          </cell>
          <cell r="Q122">
            <v>4</v>
          </cell>
        </row>
        <row r="123">
          <cell r="B123">
            <v>2021</v>
          </cell>
          <cell r="C123">
            <v>120</v>
          </cell>
          <cell r="D123" t="str">
            <v>John Wolford</v>
          </cell>
          <cell r="F123">
            <v>1</v>
          </cell>
          <cell r="G123">
            <v>4</v>
          </cell>
          <cell r="H123">
            <v>25</v>
          </cell>
          <cell r="I123">
            <v>0</v>
          </cell>
          <cell r="J123">
            <v>1</v>
          </cell>
          <cell r="K123">
            <v>1</v>
          </cell>
          <cell r="L123">
            <v>2</v>
          </cell>
          <cell r="M123">
            <v>-1</v>
          </cell>
          <cell r="N123">
            <v>0</v>
          </cell>
          <cell r="O123">
            <v>0</v>
          </cell>
          <cell r="P123">
            <v>-0.9</v>
          </cell>
          <cell r="Q123">
            <v>2</v>
          </cell>
        </row>
        <row r="124">
          <cell r="B124">
            <v>2021</v>
          </cell>
          <cell r="C124">
            <v>121</v>
          </cell>
          <cell r="D124" t="str">
            <v>Josh Rosen</v>
          </cell>
          <cell r="F124">
            <v>2</v>
          </cell>
          <cell r="G124">
            <v>11</v>
          </cell>
          <cell r="H124">
            <v>18.2</v>
          </cell>
          <cell r="I124">
            <v>0</v>
          </cell>
          <cell r="J124">
            <v>2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-1.2</v>
          </cell>
          <cell r="Q124">
            <v>3</v>
          </cell>
        </row>
        <row r="125">
          <cell r="B125">
            <v>2020</v>
          </cell>
          <cell r="C125">
            <v>1</v>
          </cell>
          <cell r="D125" t="str">
            <v>Josh Allen</v>
          </cell>
          <cell r="F125">
            <v>396</v>
          </cell>
          <cell r="G125">
            <v>572</v>
          </cell>
          <cell r="H125">
            <v>69.2</v>
          </cell>
          <cell r="I125">
            <v>37</v>
          </cell>
          <cell r="J125">
            <v>10</v>
          </cell>
          <cell r="K125">
            <v>26</v>
          </cell>
          <cell r="L125">
            <v>102</v>
          </cell>
          <cell r="M125">
            <v>421</v>
          </cell>
          <cell r="N125">
            <v>8</v>
          </cell>
          <cell r="O125">
            <v>6</v>
          </cell>
          <cell r="P125">
            <v>405.7</v>
          </cell>
          <cell r="Q125">
            <v>16</v>
          </cell>
        </row>
        <row r="126">
          <cell r="B126">
            <v>2020</v>
          </cell>
          <cell r="C126">
            <v>2</v>
          </cell>
          <cell r="D126" t="str">
            <v>Kyler Murray</v>
          </cell>
          <cell r="F126">
            <v>375</v>
          </cell>
          <cell r="G126">
            <v>558</v>
          </cell>
          <cell r="H126">
            <v>67.2</v>
          </cell>
          <cell r="I126">
            <v>26</v>
          </cell>
          <cell r="J126">
            <v>12</v>
          </cell>
          <cell r="K126">
            <v>27</v>
          </cell>
          <cell r="L126">
            <v>133</v>
          </cell>
          <cell r="M126">
            <v>819</v>
          </cell>
          <cell r="N126">
            <v>11</v>
          </cell>
          <cell r="O126">
            <v>4</v>
          </cell>
          <cell r="P126">
            <v>390.7</v>
          </cell>
          <cell r="Q126">
            <v>16</v>
          </cell>
        </row>
        <row r="127">
          <cell r="B127">
            <v>2020</v>
          </cell>
          <cell r="C127">
            <v>3</v>
          </cell>
          <cell r="D127" t="str">
            <v>Aaron Rodgers</v>
          </cell>
          <cell r="F127">
            <v>372</v>
          </cell>
          <cell r="G127">
            <v>526</v>
          </cell>
          <cell r="H127">
            <v>70.7</v>
          </cell>
          <cell r="I127">
            <v>48</v>
          </cell>
          <cell r="J127">
            <v>5</v>
          </cell>
          <cell r="K127">
            <v>20</v>
          </cell>
          <cell r="L127">
            <v>38</v>
          </cell>
          <cell r="M127">
            <v>149</v>
          </cell>
          <cell r="N127">
            <v>3</v>
          </cell>
          <cell r="O127">
            <v>2</v>
          </cell>
          <cell r="P127">
            <v>387.6</v>
          </cell>
          <cell r="Q127">
            <v>16</v>
          </cell>
        </row>
        <row r="128">
          <cell r="B128">
            <v>2020</v>
          </cell>
          <cell r="C128">
            <v>4</v>
          </cell>
          <cell r="D128" t="str">
            <v>Patrick Mahomes II</v>
          </cell>
          <cell r="F128">
            <v>390</v>
          </cell>
          <cell r="G128">
            <v>588</v>
          </cell>
          <cell r="H128">
            <v>66.3</v>
          </cell>
          <cell r="I128">
            <v>38</v>
          </cell>
          <cell r="J128">
            <v>6</v>
          </cell>
          <cell r="K128">
            <v>22</v>
          </cell>
          <cell r="L128">
            <v>62</v>
          </cell>
          <cell r="M128">
            <v>308</v>
          </cell>
          <cell r="N128">
            <v>2</v>
          </cell>
          <cell r="O128">
            <v>2</v>
          </cell>
          <cell r="P128">
            <v>380.3</v>
          </cell>
          <cell r="Q128">
            <v>15</v>
          </cell>
        </row>
        <row r="129">
          <cell r="B129">
            <v>2020</v>
          </cell>
          <cell r="C129">
            <v>5</v>
          </cell>
          <cell r="D129" t="str">
            <v>Deshaun Watson</v>
          </cell>
          <cell r="F129">
            <v>382</v>
          </cell>
          <cell r="G129">
            <v>544</v>
          </cell>
          <cell r="H129">
            <v>70.2</v>
          </cell>
          <cell r="I129">
            <v>33</v>
          </cell>
          <cell r="J129">
            <v>7</v>
          </cell>
          <cell r="K129">
            <v>49</v>
          </cell>
          <cell r="L129">
            <v>90</v>
          </cell>
          <cell r="M129">
            <v>444</v>
          </cell>
          <cell r="N129">
            <v>3</v>
          </cell>
          <cell r="O129">
            <v>3</v>
          </cell>
          <cell r="P129">
            <v>376.4</v>
          </cell>
          <cell r="Q129">
            <v>16</v>
          </cell>
        </row>
        <row r="130">
          <cell r="B130">
            <v>2020</v>
          </cell>
          <cell r="C130">
            <v>6</v>
          </cell>
          <cell r="D130" t="str">
            <v>Russell Wilson</v>
          </cell>
          <cell r="F130">
            <v>384</v>
          </cell>
          <cell r="G130">
            <v>558</v>
          </cell>
          <cell r="H130">
            <v>68.8</v>
          </cell>
          <cell r="I130">
            <v>40</v>
          </cell>
          <cell r="J130">
            <v>13</v>
          </cell>
          <cell r="K130">
            <v>47</v>
          </cell>
          <cell r="L130">
            <v>83</v>
          </cell>
          <cell r="M130">
            <v>513</v>
          </cell>
          <cell r="N130">
            <v>2</v>
          </cell>
          <cell r="O130">
            <v>4</v>
          </cell>
          <cell r="P130">
            <v>372.6</v>
          </cell>
          <cell r="Q130">
            <v>16</v>
          </cell>
        </row>
        <row r="131">
          <cell r="B131">
            <v>2020</v>
          </cell>
          <cell r="C131">
            <v>7</v>
          </cell>
          <cell r="D131" t="str">
            <v>Ryan Tannehill</v>
          </cell>
          <cell r="F131">
            <v>315</v>
          </cell>
          <cell r="G131">
            <v>481</v>
          </cell>
          <cell r="H131">
            <v>65.5</v>
          </cell>
          <cell r="I131">
            <v>33</v>
          </cell>
          <cell r="J131">
            <v>7</v>
          </cell>
          <cell r="K131">
            <v>24</v>
          </cell>
          <cell r="L131">
            <v>43</v>
          </cell>
          <cell r="M131">
            <v>266</v>
          </cell>
          <cell r="N131">
            <v>7</v>
          </cell>
          <cell r="O131">
            <v>1</v>
          </cell>
          <cell r="P131">
            <v>350.8</v>
          </cell>
          <cell r="Q131">
            <v>16</v>
          </cell>
        </row>
        <row r="132">
          <cell r="B132">
            <v>2020</v>
          </cell>
          <cell r="C132">
            <v>8</v>
          </cell>
          <cell r="D132" t="str">
            <v>Tom Brady</v>
          </cell>
          <cell r="F132">
            <v>401</v>
          </cell>
          <cell r="G132">
            <v>610</v>
          </cell>
          <cell r="H132">
            <v>65.7</v>
          </cell>
          <cell r="I132">
            <v>40</v>
          </cell>
          <cell r="J132">
            <v>12</v>
          </cell>
          <cell r="K132">
            <v>21</v>
          </cell>
          <cell r="L132">
            <v>30</v>
          </cell>
          <cell r="M132">
            <v>6</v>
          </cell>
          <cell r="N132">
            <v>3</v>
          </cell>
          <cell r="O132">
            <v>1</v>
          </cell>
          <cell r="P132">
            <v>350</v>
          </cell>
          <cell r="Q132">
            <v>16</v>
          </cell>
        </row>
        <row r="133">
          <cell r="B133">
            <v>2020</v>
          </cell>
          <cell r="C133">
            <v>9</v>
          </cell>
          <cell r="D133" t="str">
            <v>Justin Herbert</v>
          </cell>
          <cell r="F133">
            <v>396</v>
          </cell>
          <cell r="G133">
            <v>595</v>
          </cell>
          <cell r="H133">
            <v>66.599999999999994</v>
          </cell>
          <cell r="I133">
            <v>31</v>
          </cell>
          <cell r="J133">
            <v>10</v>
          </cell>
          <cell r="K133">
            <v>32</v>
          </cell>
          <cell r="L133">
            <v>55</v>
          </cell>
          <cell r="M133">
            <v>234</v>
          </cell>
          <cell r="N133">
            <v>5</v>
          </cell>
          <cell r="O133">
            <v>1</v>
          </cell>
          <cell r="P133">
            <v>342.8</v>
          </cell>
          <cell r="Q133">
            <v>15</v>
          </cell>
        </row>
        <row r="134">
          <cell r="B134">
            <v>2020</v>
          </cell>
          <cell r="C134">
            <v>10</v>
          </cell>
          <cell r="D134" t="str">
            <v>Lamar Jackson</v>
          </cell>
          <cell r="F134">
            <v>242</v>
          </cell>
          <cell r="G134">
            <v>376</v>
          </cell>
          <cell r="H134">
            <v>64.400000000000006</v>
          </cell>
          <cell r="I134">
            <v>26</v>
          </cell>
          <cell r="J134">
            <v>9</v>
          </cell>
          <cell r="K134">
            <v>29</v>
          </cell>
          <cell r="L134">
            <v>159</v>
          </cell>
          <cell r="M134">
            <v>1005</v>
          </cell>
          <cell r="N134">
            <v>7</v>
          </cell>
          <cell r="O134">
            <v>4</v>
          </cell>
          <cell r="P134">
            <v>341.7</v>
          </cell>
          <cell r="Q134">
            <v>15</v>
          </cell>
        </row>
        <row r="135">
          <cell r="B135">
            <v>2020</v>
          </cell>
          <cell r="C135">
            <v>11</v>
          </cell>
          <cell r="D135" t="str">
            <v>Kirk Cousins</v>
          </cell>
          <cell r="F135">
            <v>349</v>
          </cell>
          <cell r="G135">
            <v>516</v>
          </cell>
          <cell r="H135">
            <v>67.599999999999994</v>
          </cell>
          <cell r="I135">
            <v>35</v>
          </cell>
          <cell r="J135">
            <v>13</v>
          </cell>
          <cell r="K135">
            <v>39</v>
          </cell>
          <cell r="L135">
            <v>32</v>
          </cell>
          <cell r="M135">
            <v>156</v>
          </cell>
          <cell r="N135">
            <v>1</v>
          </cell>
          <cell r="O135">
            <v>5</v>
          </cell>
          <cell r="P135">
            <v>319.2</v>
          </cell>
          <cell r="Q135">
            <v>16</v>
          </cell>
        </row>
        <row r="136">
          <cell r="B136">
            <v>2020</v>
          </cell>
          <cell r="C136">
            <v>12</v>
          </cell>
          <cell r="D136" t="str">
            <v>Matt Ryan</v>
          </cell>
          <cell r="F136">
            <v>407</v>
          </cell>
          <cell r="G136">
            <v>626</v>
          </cell>
          <cell r="H136">
            <v>65</v>
          </cell>
          <cell r="I136">
            <v>26</v>
          </cell>
          <cell r="J136">
            <v>11</v>
          </cell>
          <cell r="K136">
            <v>41</v>
          </cell>
          <cell r="L136">
            <v>29</v>
          </cell>
          <cell r="M136">
            <v>92</v>
          </cell>
          <cell r="N136">
            <v>2</v>
          </cell>
          <cell r="O136">
            <v>3</v>
          </cell>
          <cell r="P136">
            <v>293.3</v>
          </cell>
          <cell r="Q136">
            <v>16</v>
          </cell>
        </row>
        <row r="137">
          <cell r="B137">
            <v>2020</v>
          </cell>
          <cell r="C137">
            <v>13</v>
          </cell>
          <cell r="D137" t="str">
            <v>Derek Carr</v>
          </cell>
          <cell r="F137">
            <v>348</v>
          </cell>
          <cell r="G137">
            <v>517</v>
          </cell>
          <cell r="H137">
            <v>67.3</v>
          </cell>
          <cell r="I137">
            <v>27</v>
          </cell>
          <cell r="J137">
            <v>9</v>
          </cell>
          <cell r="K137">
            <v>26</v>
          </cell>
          <cell r="L137">
            <v>39</v>
          </cell>
          <cell r="M137">
            <v>140</v>
          </cell>
          <cell r="N137">
            <v>3</v>
          </cell>
          <cell r="O137">
            <v>8</v>
          </cell>
          <cell r="P137">
            <v>281</v>
          </cell>
          <cell r="Q137">
            <v>16</v>
          </cell>
        </row>
        <row r="138">
          <cell r="B138">
            <v>2020</v>
          </cell>
          <cell r="C138">
            <v>14</v>
          </cell>
          <cell r="D138" t="str">
            <v>Ben Roethlisberger</v>
          </cell>
          <cell r="F138">
            <v>399</v>
          </cell>
          <cell r="G138">
            <v>608</v>
          </cell>
          <cell r="H138">
            <v>65.599999999999994</v>
          </cell>
          <cell r="I138">
            <v>33</v>
          </cell>
          <cell r="J138">
            <v>10</v>
          </cell>
          <cell r="K138">
            <v>13</v>
          </cell>
          <cell r="L138">
            <v>25</v>
          </cell>
          <cell r="M138">
            <v>11</v>
          </cell>
          <cell r="N138">
            <v>0</v>
          </cell>
          <cell r="O138">
            <v>1</v>
          </cell>
          <cell r="P138">
            <v>277.2</v>
          </cell>
          <cell r="Q138">
            <v>15</v>
          </cell>
        </row>
        <row r="139">
          <cell r="B139">
            <v>2020</v>
          </cell>
          <cell r="C139">
            <v>15</v>
          </cell>
          <cell r="D139" t="str">
            <v>Matthew Stafford</v>
          </cell>
          <cell r="F139">
            <v>339</v>
          </cell>
          <cell r="G139">
            <v>528</v>
          </cell>
          <cell r="H139">
            <v>64.2</v>
          </cell>
          <cell r="I139">
            <v>26</v>
          </cell>
          <cell r="J139">
            <v>10</v>
          </cell>
          <cell r="K139">
            <v>38</v>
          </cell>
          <cell r="L139">
            <v>29</v>
          </cell>
          <cell r="M139">
            <v>112</v>
          </cell>
          <cell r="N139">
            <v>0</v>
          </cell>
          <cell r="O139">
            <v>1</v>
          </cell>
          <cell r="P139">
            <v>270.5</v>
          </cell>
          <cell r="Q139">
            <v>16</v>
          </cell>
        </row>
        <row r="140">
          <cell r="B140">
            <v>2020</v>
          </cell>
          <cell r="C140">
            <v>16</v>
          </cell>
          <cell r="D140" t="str">
            <v>Cam Newton</v>
          </cell>
          <cell r="F140">
            <v>242</v>
          </cell>
          <cell r="G140">
            <v>368</v>
          </cell>
          <cell r="H140">
            <v>65.8</v>
          </cell>
          <cell r="I140">
            <v>8</v>
          </cell>
          <cell r="J140">
            <v>10</v>
          </cell>
          <cell r="K140">
            <v>31</v>
          </cell>
          <cell r="L140">
            <v>137</v>
          </cell>
          <cell r="M140">
            <v>592</v>
          </cell>
          <cell r="N140">
            <v>12</v>
          </cell>
          <cell r="O140">
            <v>1</v>
          </cell>
          <cell r="P140">
            <v>270.3</v>
          </cell>
          <cell r="Q140">
            <v>15</v>
          </cell>
        </row>
        <row r="141">
          <cell r="B141">
            <v>2020</v>
          </cell>
          <cell r="C141">
            <v>17</v>
          </cell>
          <cell r="D141" t="str">
            <v>Baker Mayfield</v>
          </cell>
          <cell r="F141">
            <v>305</v>
          </cell>
          <cell r="G141">
            <v>486</v>
          </cell>
          <cell r="H141">
            <v>62.8</v>
          </cell>
          <cell r="I141">
            <v>26</v>
          </cell>
          <cell r="J141">
            <v>8</v>
          </cell>
          <cell r="K141">
            <v>26</v>
          </cell>
          <cell r="L141">
            <v>54</v>
          </cell>
          <cell r="M141">
            <v>165</v>
          </cell>
          <cell r="N141">
            <v>1</v>
          </cell>
          <cell r="O141">
            <v>4</v>
          </cell>
          <cell r="P141">
            <v>256.3</v>
          </cell>
          <cell r="Q141">
            <v>16</v>
          </cell>
        </row>
        <row r="142">
          <cell r="B142">
            <v>2020</v>
          </cell>
          <cell r="C142">
            <v>18</v>
          </cell>
          <cell r="D142" t="str">
            <v>Jared Goff</v>
          </cell>
          <cell r="F142">
            <v>370</v>
          </cell>
          <cell r="G142">
            <v>552</v>
          </cell>
          <cell r="H142">
            <v>67</v>
          </cell>
          <cell r="I142">
            <v>20</v>
          </cell>
          <cell r="J142">
            <v>13</v>
          </cell>
          <cell r="K142">
            <v>23</v>
          </cell>
          <cell r="L142">
            <v>51</v>
          </cell>
          <cell r="M142">
            <v>99</v>
          </cell>
          <cell r="N142">
            <v>4</v>
          </cell>
          <cell r="O142">
            <v>4</v>
          </cell>
          <cell r="P142">
            <v>253</v>
          </cell>
          <cell r="Q142">
            <v>15</v>
          </cell>
        </row>
        <row r="143">
          <cell r="B143">
            <v>2020</v>
          </cell>
          <cell r="C143">
            <v>19</v>
          </cell>
          <cell r="D143" t="str">
            <v>Teddy Bridgewater</v>
          </cell>
          <cell r="F143">
            <v>340</v>
          </cell>
          <cell r="G143">
            <v>492</v>
          </cell>
          <cell r="H143">
            <v>69.099999999999994</v>
          </cell>
          <cell r="I143">
            <v>15</v>
          </cell>
          <cell r="J143">
            <v>11</v>
          </cell>
          <cell r="K143">
            <v>31</v>
          </cell>
          <cell r="L143">
            <v>53</v>
          </cell>
          <cell r="M143">
            <v>279</v>
          </cell>
          <cell r="N143">
            <v>5</v>
          </cell>
          <cell r="O143">
            <v>3</v>
          </cell>
          <cell r="P143">
            <v>252.1</v>
          </cell>
          <cell r="Q143">
            <v>15</v>
          </cell>
        </row>
        <row r="144">
          <cell r="B144">
            <v>2020</v>
          </cell>
          <cell r="C144">
            <v>20</v>
          </cell>
          <cell r="D144" t="str">
            <v>Philip Rivers</v>
          </cell>
          <cell r="F144">
            <v>369</v>
          </cell>
          <cell r="G144">
            <v>543</v>
          </cell>
          <cell r="H144">
            <v>68</v>
          </cell>
          <cell r="I144">
            <v>24</v>
          </cell>
          <cell r="J144">
            <v>11</v>
          </cell>
          <cell r="K144">
            <v>19</v>
          </cell>
          <cell r="L144">
            <v>18</v>
          </cell>
          <cell r="M144">
            <v>-8</v>
          </cell>
          <cell r="N144">
            <v>0</v>
          </cell>
          <cell r="O144">
            <v>1</v>
          </cell>
          <cell r="P144">
            <v>251</v>
          </cell>
          <cell r="Q144">
            <v>16</v>
          </cell>
        </row>
        <row r="145">
          <cell r="B145">
            <v>2020</v>
          </cell>
          <cell r="C145">
            <v>21</v>
          </cell>
          <cell r="D145" t="str">
            <v>Drew Brees</v>
          </cell>
          <cell r="F145">
            <v>275</v>
          </cell>
          <cell r="G145">
            <v>390</v>
          </cell>
          <cell r="H145">
            <v>70.5</v>
          </cell>
          <cell r="I145">
            <v>24</v>
          </cell>
          <cell r="J145">
            <v>6</v>
          </cell>
          <cell r="K145">
            <v>13</v>
          </cell>
          <cell r="L145">
            <v>18</v>
          </cell>
          <cell r="M145">
            <v>-2</v>
          </cell>
          <cell r="N145">
            <v>2</v>
          </cell>
          <cell r="O145">
            <v>2</v>
          </cell>
          <cell r="P145">
            <v>215.4</v>
          </cell>
          <cell r="Q145">
            <v>12</v>
          </cell>
        </row>
        <row r="146">
          <cell r="B146">
            <v>2020</v>
          </cell>
          <cell r="C146">
            <v>22</v>
          </cell>
          <cell r="D146" t="str">
            <v>Carson Wentz</v>
          </cell>
          <cell r="F146">
            <v>251</v>
          </cell>
          <cell r="G146">
            <v>437</v>
          </cell>
          <cell r="H146">
            <v>57.4</v>
          </cell>
          <cell r="I146">
            <v>16</v>
          </cell>
          <cell r="J146">
            <v>15</v>
          </cell>
          <cell r="K146">
            <v>50</v>
          </cell>
          <cell r="L146">
            <v>52</v>
          </cell>
          <cell r="M146">
            <v>276</v>
          </cell>
          <cell r="N146">
            <v>5</v>
          </cell>
          <cell r="O146">
            <v>4</v>
          </cell>
          <cell r="P146">
            <v>213.4</v>
          </cell>
          <cell r="Q146">
            <v>12</v>
          </cell>
        </row>
        <row r="147">
          <cell r="B147">
            <v>2020</v>
          </cell>
          <cell r="C147">
            <v>23</v>
          </cell>
          <cell r="D147" t="str">
            <v>Drew Lock</v>
          </cell>
          <cell r="F147">
            <v>254</v>
          </cell>
          <cell r="G147">
            <v>443</v>
          </cell>
          <cell r="H147">
            <v>57.3</v>
          </cell>
          <cell r="I147">
            <v>16</v>
          </cell>
          <cell r="J147">
            <v>15</v>
          </cell>
          <cell r="K147">
            <v>19</v>
          </cell>
          <cell r="L147">
            <v>44</v>
          </cell>
          <cell r="M147">
            <v>160</v>
          </cell>
          <cell r="N147">
            <v>3</v>
          </cell>
          <cell r="O147">
            <v>3</v>
          </cell>
          <cell r="P147">
            <v>196.4</v>
          </cell>
          <cell r="Q147">
            <v>13</v>
          </cell>
        </row>
        <row r="148">
          <cell r="B148">
            <v>2020</v>
          </cell>
          <cell r="C148">
            <v>24</v>
          </cell>
          <cell r="D148" t="str">
            <v>Daniel Jones</v>
          </cell>
          <cell r="F148">
            <v>280</v>
          </cell>
          <cell r="G148">
            <v>448</v>
          </cell>
          <cell r="H148">
            <v>62.5</v>
          </cell>
          <cell r="I148">
            <v>11</v>
          </cell>
          <cell r="J148">
            <v>10</v>
          </cell>
          <cell r="K148">
            <v>45</v>
          </cell>
          <cell r="L148">
            <v>65</v>
          </cell>
          <cell r="M148">
            <v>423</v>
          </cell>
          <cell r="N148">
            <v>1</v>
          </cell>
          <cell r="O148">
            <v>6</v>
          </cell>
          <cell r="P148">
            <v>190.2</v>
          </cell>
          <cell r="Q148">
            <v>14</v>
          </cell>
        </row>
        <row r="149">
          <cell r="B149">
            <v>2020</v>
          </cell>
          <cell r="C149">
            <v>25</v>
          </cell>
          <cell r="D149" t="str">
            <v>Joe Burrow</v>
          </cell>
          <cell r="F149">
            <v>264</v>
          </cell>
          <cell r="G149">
            <v>404</v>
          </cell>
          <cell r="H149">
            <v>65.3</v>
          </cell>
          <cell r="I149">
            <v>13</v>
          </cell>
          <cell r="J149">
            <v>5</v>
          </cell>
          <cell r="K149">
            <v>32</v>
          </cell>
          <cell r="L149">
            <v>37</v>
          </cell>
          <cell r="M149">
            <v>142</v>
          </cell>
          <cell r="N149">
            <v>3</v>
          </cell>
          <cell r="O149">
            <v>4</v>
          </cell>
          <cell r="P149">
            <v>178.6</v>
          </cell>
          <cell r="Q149">
            <v>10</v>
          </cell>
        </row>
        <row r="150">
          <cell r="B150">
            <v>2020</v>
          </cell>
          <cell r="C150">
            <v>26</v>
          </cell>
          <cell r="D150" t="str">
            <v>Gardner Minshew II</v>
          </cell>
          <cell r="F150">
            <v>216</v>
          </cell>
          <cell r="G150">
            <v>327</v>
          </cell>
          <cell r="H150">
            <v>66.099999999999994</v>
          </cell>
          <cell r="I150">
            <v>16</v>
          </cell>
          <cell r="J150">
            <v>5</v>
          </cell>
          <cell r="K150">
            <v>27</v>
          </cell>
          <cell r="L150">
            <v>29</v>
          </cell>
          <cell r="M150">
            <v>153</v>
          </cell>
          <cell r="N150">
            <v>1</v>
          </cell>
          <cell r="O150">
            <v>4</v>
          </cell>
          <cell r="P150">
            <v>165</v>
          </cell>
          <cell r="Q150">
            <v>9</v>
          </cell>
        </row>
        <row r="151">
          <cell r="B151">
            <v>2020</v>
          </cell>
          <cell r="C151">
            <v>27</v>
          </cell>
          <cell r="D151" t="str">
            <v>Mitchell Trubisky</v>
          </cell>
          <cell r="F151">
            <v>199</v>
          </cell>
          <cell r="G151">
            <v>297</v>
          </cell>
          <cell r="H151">
            <v>67</v>
          </cell>
          <cell r="I151">
            <v>16</v>
          </cell>
          <cell r="J151">
            <v>8</v>
          </cell>
          <cell r="K151">
            <v>18</v>
          </cell>
          <cell r="L151">
            <v>33</v>
          </cell>
          <cell r="M151">
            <v>195</v>
          </cell>
          <cell r="N151">
            <v>1</v>
          </cell>
          <cell r="O151">
            <v>2</v>
          </cell>
          <cell r="P151">
            <v>161.80000000000001</v>
          </cell>
          <cell r="Q151">
            <v>10</v>
          </cell>
        </row>
        <row r="152">
          <cell r="B152">
            <v>2020</v>
          </cell>
          <cell r="C152">
            <v>28</v>
          </cell>
          <cell r="D152" t="str">
            <v>Ryan Fitzpatrick</v>
          </cell>
          <cell r="F152">
            <v>183</v>
          </cell>
          <cell r="G152">
            <v>267</v>
          </cell>
          <cell r="H152">
            <v>68.5</v>
          </cell>
          <cell r="I152">
            <v>13</v>
          </cell>
          <cell r="J152">
            <v>8</v>
          </cell>
          <cell r="K152">
            <v>14</v>
          </cell>
          <cell r="L152">
            <v>30</v>
          </cell>
          <cell r="M152">
            <v>151</v>
          </cell>
          <cell r="N152">
            <v>2</v>
          </cell>
          <cell r="O152">
            <v>0</v>
          </cell>
          <cell r="P152">
            <v>161.19999999999999</v>
          </cell>
          <cell r="Q152">
            <v>10</v>
          </cell>
        </row>
        <row r="153">
          <cell r="B153">
            <v>2020</v>
          </cell>
          <cell r="C153">
            <v>29</v>
          </cell>
          <cell r="D153" t="str">
            <v>Taysom Hill</v>
          </cell>
          <cell r="F153">
            <v>88</v>
          </cell>
          <cell r="G153">
            <v>121</v>
          </cell>
          <cell r="H153">
            <v>72.7</v>
          </cell>
          <cell r="I153">
            <v>4</v>
          </cell>
          <cell r="J153">
            <v>2</v>
          </cell>
          <cell r="K153">
            <v>14</v>
          </cell>
          <cell r="L153">
            <v>87</v>
          </cell>
          <cell r="M153">
            <v>457</v>
          </cell>
          <cell r="N153">
            <v>8</v>
          </cell>
          <cell r="O153">
            <v>5</v>
          </cell>
          <cell r="P153">
            <v>154.5</v>
          </cell>
          <cell r="Q153">
            <v>16</v>
          </cell>
        </row>
        <row r="154">
          <cell r="B154">
            <v>2020</v>
          </cell>
          <cell r="C154">
            <v>30</v>
          </cell>
          <cell r="D154" t="str">
            <v>Sam Darnold</v>
          </cell>
          <cell r="F154">
            <v>217</v>
          </cell>
          <cell r="G154">
            <v>364</v>
          </cell>
          <cell r="H154">
            <v>59.6</v>
          </cell>
          <cell r="I154">
            <v>9</v>
          </cell>
          <cell r="J154">
            <v>11</v>
          </cell>
          <cell r="K154">
            <v>35</v>
          </cell>
          <cell r="L154">
            <v>37</v>
          </cell>
          <cell r="M154">
            <v>217</v>
          </cell>
          <cell r="N154">
            <v>2</v>
          </cell>
          <cell r="O154">
            <v>2</v>
          </cell>
          <cell r="P154">
            <v>145</v>
          </cell>
          <cell r="Q154">
            <v>12</v>
          </cell>
        </row>
        <row r="155">
          <cell r="B155">
            <v>2020</v>
          </cell>
          <cell r="C155">
            <v>31</v>
          </cell>
          <cell r="D155" t="str">
            <v>Andy Dalton</v>
          </cell>
          <cell r="F155">
            <v>216</v>
          </cell>
          <cell r="G155">
            <v>333</v>
          </cell>
          <cell r="H155">
            <v>64.900000000000006</v>
          </cell>
          <cell r="I155">
            <v>14</v>
          </cell>
          <cell r="J155">
            <v>8</v>
          </cell>
          <cell r="K155">
            <v>24</v>
          </cell>
          <cell r="L155">
            <v>28</v>
          </cell>
          <cell r="M155">
            <v>114</v>
          </cell>
          <cell r="N155">
            <v>0</v>
          </cell>
          <cell r="O155">
            <v>1</v>
          </cell>
          <cell r="P155">
            <v>144.4</v>
          </cell>
          <cell r="Q155">
            <v>11</v>
          </cell>
        </row>
        <row r="156">
          <cell r="B156">
            <v>2020</v>
          </cell>
          <cell r="C156">
            <v>32</v>
          </cell>
          <cell r="D156" t="str">
            <v>Tua Tagovailoa</v>
          </cell>
          <cell r="F156">
            <v>186</v>
          </cell>
          <cell r="G156">
            <v>290</v>
          </cell>
          <cell r="H156">
            <v>64.099999999999994</v>
          </cell>
          <cell r="I156">
            <v>11</v>
          </cell>
          <cell r="J156">
            <v>5</v>
          </cell>
          <cell r="K156">
            <v>20</v>
          </cell>
          <cell r="L156">
            <v>36</v>
          </cell>
          <cell r="M156">
            <v>109</v>
          </cell>
          <cell r="N156">
            <v>3</v>
          </cell>
          <cell r="O156">
            <v>1</v>
          </cell>
          <cell r="P156">
            <v>140.4</v>
          </cell>
          <cell r="Q156">
            <v>10</v>
          </cell>
        </row>
        <row r="157">
          <cell r="B157">
            <v>2020</v>
          </cell>
          <cell r="C157">
            <v>33</v>
          </cell>
          <cell r="D157" t="str">
            <v>Dak Prescott</v>
          </cell>
          <cell r="F157">
            <v>151</v>
          </cell>
          <cell r="G157">
            <v>222</v>
          </cell>
          <cell r="H157">
            <v>68</v>
          </cell>
          <cell r="I157">
            <v>9</v>
          </cell>
          <cell r="J157">
            <v>4</v>
          </cell>
          <cell r="K157">
            <v>10</v>
          </cell>
          <cell r="L157">
            <v>18</v>
          </cell>
          <cell r="M157">
            <v>93</v>
          </cell>
          <cell r="N157">
            <v>3</v>
          </cell>
          <cell r="O157">
            <v>3</v>
          </cell>
          <cell r="P157">
            <v>139.1</v>
          </cell>
          <cell r="Q157">
            <v>5</v>
          </cell>
        </row>
        <row r="158">
          <cell r="B158">
            <v>2020</v>
          </cell>
          <cell r="C158">
            <v>34</v>
          </cell>
          <cell r="D158" t="str">
            <v>Nick Mullens</v>
          </cell>
          <cell r="F158">
            <v>211</v>
          </cell>
          <cell r="G158">
            <v>326</v>
          </cell>
          <cell r="H158">
            <v>64.7</v>
          </cell>
          <cell r="I158">
            <v>12</v>
          </cell>
          <cell r="J158">
            <v>12</v>
          </cell>
          <cell r="K158">
            <v>19</v>
          </cell>
          <cell r="L158">
            <v>9</v>
          </cell>
          <cell r="M158">
            <v>8</v>
          </cell>
          <cell r="N158">
            <v>0</v>
          </cell>
          <cell r="O158">
            <v>4</v>
          </cell>
          <cell r="P158">
            <v>128.19999999999999</v>
          </cell>
          <cell r="Q158">
            <v>10</v>
          </cell>
        </row>
        <row r="159">
          <cell r="B159">
            <v>2020</v>
          </cell>
          <cell r="C159">
            <v>35</v>
          </cell>
          <cell r="D159" t="str">
            <v>Jalen Hurts</v>
          </cell>
          <cell r="F159">
            <v>77</v>
          </cell>
          <cell r="G159">
            <v>148</v>
          </cell>
          <cell r="H159">
            <v>52</v>
          </cell>
          <cell r="I159">
            <v>6</v>
          </cell>
          <cell r="J159">
            <v>4</v>
          </cell>
          <cell r="K159">
            <v>13</v>
          </cell>
          <cell r="L159">
            <v>63</v>
          </cell>
          <cell r="M159">
            <v>354</v>
          </cell>
          <cell r="N159">
            <v>3</v>
          </cell>
          <cell r="O159">
            <v>2</v>
          </cell>
          <cell r="P159">
            <v>113</v>
          </cell>
          <cell r="Q159">
            <v>15</v>
          </cell>
        </row>
        <row r="160">
          <cell r="B160">
            <v>2020</v>
          </cell>
          <cell r="C160">
            <v>36</v>
          </cell>
          <cell r="D160" t="str">
            <v>Nick Foles</v>
          </cell>
          <cell r="F160">
            <v>202</v>
          </cell>
          <cell r="G160">
            <v>312</v>
          </cell>
          <cell r="H160">
            <v>64.7</v>
          </cell>
          <cell r="I160">
            <v>10</v>
          </cell>
          <cell r="J160">
            <v>8</v>
          </cell>
          <cell r="K160">
            <v>18</v>
          </cell>
          <cell r="L160">
            <v>16</v>
          </cell>
          <cell r="M160">
            <v>1</v>
          </cell>
          <cell r="N160">
            <v>1</v>
          </cell>
          <cell r="O160">
            <v>0</v>
          </cell>
          <cell r="P160">
            <v>112.1</v>
          </cell>
          <cell r="Q160">
            <v>9</v>
          </cell>
        </row>
        <row r="161">
          <cell r="B161">
            <v>2020</v>
          </cell>
          <cell r="C161">
            <v>37</v>
          </cell>
          <cell r="D161" t="str">
            <v>Alex Smith</v>
          </cell>
          <cell r="F161">
            <v>168</v>
          </cell>
          <cell r="G161">
            <v>252</v>
          </cell>
          <cell r="H161">
            <v>66.7</v>
          </cell>
          <cell r="I161">
            <v>6</v>
          </cell>
          <cell r="J161">
            <v>8</v>
          </cell>
          <cell r="K161">
            <v>22</v>
          </cell>
          <cell r="L161">
            <v>10</v>
          </cell>
          <cell r="M161">
            <v>3</v>
          </cell>
          <cell r="N161">
            <v>0</v>
          </cell>
          <cell r="O161">
            <v>0</v>
          </cell>
          <cell r="P161">
            <v>79.599999999999994</v>
          </cell>
          <cell r="Q161">
            <v>8</v>
          </cell>
        </row>
        <row r="162">
          <cell r="B162">
            <v>2020</v>
          </cell>
          <cell r="C162">
            <v>38</v>
          </cell>
          <cell r="D162" t="str">
            <v>Dwayne Haskins</v>
          </cell>
          <cell r="F162">
            <v>148</v>
          </cell>
          <cell r="G162">
            <v>241</v>
          </cell>
          <cell r="H162">
            <v>61.4</v>
          </cell>
          <cell r="I162">
            <v>5</v>
          </cell>
          <cell r="J162">
            <v>7</v>
          </cell>
          <cell r="K162">
            <v>20</v>
          </cell>
          <cell r="L162">
            <v>20</v>
          </cell>
          <cell r="M162">
            <v>46</v>
          </cell>
          <cell r="N162">
            <v>1</v>
          </cell>
          <cell r="O162">
            <v>3</v>
          </cell>
          <cell r="P162">
            <v>75.2</v>
          </cell>
          <cell r="Q162">
            <v>7</v>
          </cell>
        </row>
        <row r="163">
          <cell r="B163">
            <v>2020</v>
          </cell>
          <cell r="C163">
            <v>39</v>
          </cell>
          <cell r="D163" t="str">
            <v>Jimmy Garoppolo</v>
          </cell>
          <cell r="F163">
            <v>94</v>
          </cell>
          <cell r="G163">
            <v>140</v>
          </cell>
          <cell r="H163">
            <v>67.099999999999994</v>
          </cell>
          <cell r="I163">
            <v>7</v>
          </cell>
          <cell r="J163">
            <v>5</v>
          </cell>
          <cell r="K163">
            <v>11</v>
          </cell>
          <cell r="L163">
            <v>10</v>
          </cell>
          <cell r="M163">
            <v>25</v>
          </cell>
          <cell r="N163">
            <v>0</v>
          </cell>
          <cell r="O163">
            <v>0</v>
          </cell>
          <cell r="P163">
            <v>69.400000000000006</v>
          </cell>
          <cell r="Q163">
            <v>6</v>
          </cell>
        </row>
        <row r="164">
          <cell r="B164">
            <v>2020</v>
          </cell>
          <cell r="C164">
            <v>40</v>
          </cell>
          <cell r="D164" t="str">
            <v>Mike Glennon</v>
          </cell>
          <cell r="F164">
            <v>111</v>
          </cell>
          <cell r="G164">
            <v>179</v>
          </cell>
          <cell r="H164">
            <v>62</v>
          </cell>
          <cell r="I164">
            <v>7</v>
          </cell>
          <cell r="J164">
            <v>5</v>
          </cell>
          <cell r="K164">
            <v>9</v>
          </cell>
          <cell r="L164">
            <v>6</v>
          </cell>
          <cell r="M164">
            <v>17</v>
          </cell>
          <cell r="N164">
            <v>0</v>
          </cell>
          <cell r="O164">
            <v>2</v>
          </cell>
          <cell r="P164">
            <v>65.5</v>
          </cell>
          <cell r="Q164">
            <v>5</v>
          </cell>
        </row>
        <row r="165">
          <cell r="B165">
            <v>2020</v>
          </cell>
          <cell r="C165">
            <v>41</v>
          </cell>
          <cell r="D165" t="str">
            <v>Joe Flacco</v>
          </cell>
          <cell r="F165">
            <v>74</v>
          </cell>
          <cell r="G165">
            <v>134</v>
          </cell>
          <cell r="H165">
            <v>55.2</v>
          </cell>
          <cell r="I165">
            <v>6</v>
          </cell>
          <cell r="J165">
            <v>3</v>
          </cell>
          <cell r="K165">
            <v>7</v>
          </cell>
          <cell r="L165">
            <v>6</v>
          </cell>
          <cell r="M165">
            <v>22</v>
          </cell>
          <cell r="N165">
            <v>0</v>
          </cell>
          <cell r="O165">
            <v>0</v>
          </cell>
          <cell r="P165">
            <v>57.7</v>
          </cell>
          <cell r="Q165">
            <v>5</v>
          </cell>
        </row>
        <row r="166">
          <cell r="B166">
            <v>2020</v>
          </cell>
          <cell r="C166">
            <v>42</v>
          </cell>
          <cell r="D166" t="str">
            <v>Brandon Allen</v>
          </cell>
          <cell r="F166">
            <v>90</v>
          </cell>
          <cell r="G166">
            <v>142</v>
          </cell>
          <cell r="H166">
            <v>63.4</v>
          </cell>
          <cell r="I166">
            <v>5</v>
          </cell>
          <cell r="J166">
            <v>4</v>
          </cell>
          <cell r="K166">
            <v>7</v>
          </cell>
          <cell r="L166">
            <v>13</v>
          </cell>
          <cell r="M166">
            <v>27</v>
          </cell>
          <cell r="N166">
            <v>0</v>
          </cell>
          <cell r="O166">
            <v>1</v>
          </cell>
          <cell r="P166">
            <v>53.6</v>
          </cell>
          <cell r="Q166">
            <v>5</v>
          </cell>
        </row>
        <row r="167">
          <cell r="B167">
            <v>2020</v>
          </cell>
          <cell r="C167">
            <v>43</v>
          </cell>
          <cell r="D167" t="str">
            <v>C.J. Beathard</v>
          </cell>
          <cell r="F167">
            <v>66</v>
          </cell>
          <cell r="G167">
            <v>104</v>
          </cell>
          <cell r="H167">
            <v>63.5</v>
          </cell>
          <cell r="I167">
            <v>6</v>
          </cell>
          <cell r="J167">
            <v>0</v>
          </cell>
          <cell r="K167">
            <v>9</v>
          </cell>
          <cell r="L167">
            <v>6</v>
          </cell>
          <cell r="M167">
            <v>28</v>
          </cell>
          <cell r="N167">
            <v>0</v>
          </cell>
          <cell r="O167">
            <v>3</v>
          </cell>
          <cell r="P167">
            <v>52.3</v>
          </cell>
          <cell r="Q167">
            <v>6</v>
          </cell>
        </row>
        <row r="168">
          <cell r="B168">
            <v>2020</v>
          </cell>
          <cell r="C168">
            <v>44</v>
          </cell>
          <cell r="D168" t="str">
            <v>Kyle Allen</v>
          </cell>
          <cell r="F168">
            <v>60</v>
          </cell>
          <cell r="G168">
            <v>87</v>
          </cell>
          <cell r="H168">
            <v>69</v>
          </cell>
          <cell r="I168">
            <v>4</v>
          </cell>
          <cell r="J168">
            <v>1</v>
          </cell>
          <cell r="K168">
            <v>7</v>
          </cell>
          <cell r="L168">
            <v>7</v>
          </cell>
          <cell r="M168">
            <v>26</v>
          </cell>
          <cell r="N168">
            <v>1</v>
          </cell>
          <cell r="O168">
            <v>1</v>
          </cell>
          <cell r="P168">
            <v>46.1</v>
          </cell>
          <cell r="Q168">
            <v>4</v>
          </cell>
        </row>
        <row r="169">
          <cell r="B169">
            <v>2020</v>
          </cell>
          <cell r="C169">
            <v>45</v>
          </cell>
          <cell r="D169" t="str">
            <v>Jake Luton</v>
          </cell>
          <cell r="F169">
            <v>60</v>
          </cell>
          <cell r="G169">
            <v>110</v>
          </cell>
          <cell r="H169">
            <v>54.5</v>
          </cell>
          <cell r="I169">
            <v>2</v>
          </cell>
          <cell r="J169">
            <v>6</v>
          </cell>
          <cell r="K169">
            <v>7</v>
          </cell>
          <cell r="L169">
            <v>1</v>
          </cell>
          <cell r="M169">
            <v>13</v>
          </cell>
          <cell r="N169">
            <v>1</v>
          </cell>
          <cell r="O169">
            <v>0</v>
          </cell>
          <cell r="P169">
            <v>34.299999999999997</v>
          </cell>
          <cell r="Q169">
            <v>3</v>
          </cell>
        </row>
        <row r="170">
          <cell r="B170">
            <v>2020</v>
          </cell>
          <cell r="C170">
            <v>46</v>
          </cell>
          <cell r="D170" t="str">
            <v>Jeff Driskel</v>
          </cell>
          <cell r="F170">
            <v>35</v>
          </cell>
          <cell r="G170">
            <v>64</v>
          </cell>
          <cell r="H170">
            <v>54.7</v>
          </cell>
          <cell r="I170">
            <v>3</v>
          </cell>
          <cell r="J170">
            <v>2</v>
          </cell>
          <cell r="K170">
            <v>11</v>
          </cell>
          <cell r="L170">
            <v>6</v>
          </cell>
          <cell r="M170">
            <v>28</v>
          </cell>
          <cell r="N170">
            <v>0</v>
          </cell>
          <cell r="O170">
            <v>0</v>
          </cell>
          <cell r="P170">
            <v>32</v>
          </cell>
          <cell r="Q170">
            <v>3</v>
          </cell>
        </row>
        <row r="171">
          <cell r="B171">
            <v>2020</v>
          </cell>
          <cell r="C171">
            <v>47</v>
          </cell>
          <cell r="D171" t="str">
            <v>Marcus Mariota</v>
          </cell>
          <cell r="F171">
            <v>17</v>
          </cell>
          <cell r="G171">
            <v>28</v>
          </cell>
          <cell r="H171">
            <v>60.7</v>
          </cell>
          <cell r="I171">
            <v>1</v>
          </cell>
          <cell r="J171">
            <v>1</v>
          </cell>
          <cell r="K171">
            <v>0</v>
          </cell>
          <cell r="L171">
            <v>9</v>
          </cell>
          <cell r="M171">
            <v>88</v>
          </cell>
          <cell r="N171">
            <v>1</v>
          </cell>
          <cell r="O171">
            <v>0</v>
          </cell>
          <cell r="P171">
            <v>26.8</v>
          </cell>
          <cell r="Q171">
            <v>1</v>
          </cell>
        </row>
        <row r="172">
          <cell r="B172">
            <v>2020</v>
          </cell>
          <cell r="C172">
            <v>48</v>
          </cell>
          <cell r="D172" t="str">
            <v>Chad Henne</v>
          </cell>
          <cell r="F172">
            <v>28</v>
          </cell>
          <cell r="G172">
            <v>38</v>
          </cell>
          <cell r="H172">
            <v>73.7</v>
          </cell>
          <cell r="I172">
            <v>2</v>
          </cell>
          <cell r="J172">
            <v>0</v>
          </cell>
          <cell r="K172">
            <v>2</v>
          </cell>
          <cell r="L172">
            <v>7</v>
          </cell>
          <cell r="M172">
            <v>-2</v>
          </cell>
          <cell r="N172">
            <v>1</v>
          </cell>
          <cell r="O172">
            <v>0</v>
          </cell>
          <cell r="P172">
            <v>23.7</v>
          </cell>
          <cell r="Q172">
            <v>3</v>
          </cell>
        </row>
        <row r="173">
          <cell r="B173">
            <v>2020</v>
          </cell>
          <cell r="C173">
            <v>49</v>
          </cell>
          <cell r="D173" t="str">
            <v>Ryan Finley</v>
          </cell>
          <cell r="F173">
            <v>17</v>
          </cell>
          <cell r="G173">
            <v>32</v>
          </cell>
          <cell r="H173">
            <v>53.1</v>
          </cell>
          <cell r="I173">
            <v>1</v>
          </cell>
          <cell r="J173">
            <v>2</v>
          </cell>
          <cell r="K173">
            <v>9</v>
          </cell>
          <cell r="L173">
            <v>11</v>
          </cell>
          <cell r="M173">
            <v>66</v>
          </cell>
          <cell r="N173">
            <v>1</v>
          </cell>
          <cell r="O173">
            <v>0</v>
          </cell>
          <cell r="P173">
            <v>21.2</v>
          </cell>
          <cell r="Q173">
            <v>5</v>
          </cell>
        </row>
        <row r="174">
          <cell r="B174">
            <v>2020</v>
          </cell>
          <cell r="C174">
            <v>50</v>
          </cell>
          <cell r="D174" t="str">
            <v>Jacoby Brissett</v>
          </cell>
          <cell r="F174">
            <v>2</v>
          </cell>
          <cell r="G174">
            <v>8</v>
          </cell>
          <cell r="H174">
            <v>25</v>
          </cell>
          <cell r="I174">
            <v>0</v>
          </cell>
          <cell r="J174">
            <v>0</v>
          </cell>
          <cell r="K174">
            <v>2</v>
          </cell>
          <cell r="L174">
            <v>17</v>
          </cell>
          <cell r="M174">
            <v>19</v>
          </cell>
          <cell r="N174">
            <v>3</v>
          </cell>
          <cell r="O174">
            <v>0</v>
          </cell>
          <cell r="P174">
            <v>20.6</v>
          </cell>
          <cell r="Q174">
            <v>11</v>
          </cell>
        </row>
        <row r="175">
          <cell r="B175">
            <v>2020</v>
          </cell>
          <cell r="C175">
            <v>51</v>
          </cell>
          <cell r="D175" t="str">
            <v>Mason Rudolph</v>
          </cell>
          <cell r="F175">
            <v>25</v>
          </cell>
          <cell r="G175">
            <v>43</v>
          </cell>
          <cell r="H175">
            <v>58.1</v>
          </cell>
          <cell r="I175">
            <v>2</v>
          </cell>
          <cell r="J175">
            <v>1</v>
          </cell>
          <cell r="K175">
            <v>1</v>
          </cell>
          <cell r="L175">
            <v>7</v>
          </cell>
          <cell r="M175">
            <v>-6</v>
          </cell>
          <cell r="N175">
            <v>0</v>
          </cell>
          <cell r="O175">
            <v>0</v>
          </cell>
          <cell r="P175">
            <v>19.3</v>
          </cell>
          <cell r="Q175">
            <v>5</v>
          </cell>
        </row>
        <row r="176">
          <cell r="B176">
            <v>2020</v>
          </cell>
          <cell r="C176">
            <v>52</v>
          </cell>
          <cell r="D176" t="str">
            <v>Colt McCoy</v>
          </cell>
          <cell r="F176">
            <v>40</v>
          </cell>
          <cell r="G176">
            <v>66</v>
          </cell>
          <cell r="H176">
            <v>60.6</v>
          </cell>
          <cell r="I176">
            <v>1</v>
          </cell>
          <cell r="J176">
            <v>1</v>
          </cell>
          <cell r="K176">
            <v>5</v>
          </cell>
          <cell r="L176">
            <v>9</v>
          </cell>
          <cell r="M176">
            <v>12</v>
          </cell>
          <cell r="N176">
            <v>0</v>
          </cell>
          <cell r="O176">
            <v>1</v>
          </cell>
          <cell r="P176">
            <v>19.100000000000001</v>
          </cell>
          <cell r="Q176">
            <v>4</v>
          </cell>
        </row>
        <row r="177">
          <cell r="B177">
            <v>2020</v>
          </cell>
          <cell r="C177">
            <v>53</v>
          </cell>
          <cell r="D177" t="str">
            <v>Jarrett Stidham</v>
          </cell>
          <cell r="F177">
            <v>22</v>
          </cell>
          <cell r="G177">
            <v>44</v>
          </cell>
          <cell r="H177">
            <v>50</v>
          </cell>
          <cell r="I177">
            <v>2</v>
          </cell>
          <cell r="J177">
            <v>3</v>
          </cell>
          <cell r="K177">
            <v>4</v>
          </cell>
          <cell r="L177">
            <v>7</v>
          </cell>
          <cell r="M177">
            <v>7</v>
          </cell>
          <cell r="N177">
            <v>0</v>
          </cell>
          <cell r="O177">
            <v>0</v>
          </cell>
          <cell r="P177">
            <v>16</v>
          </cell>
          <cell r="Q177">
            <v>5</v>
          </cell>
        </row>
        <row r="178">
          <cell r="B178">
            <v>2020</v>
          </cell>
          <cell r="C178">
            <v>54</v>
          </cell>
          <cell r="D178" t="str">
            <v>Garrett Gilbert</v>
          </cell>
          <cell r="F178">
            <v>21</v>
          </cell>
          <cell r="G178">
            <v>38</v>
          </cell>
          <cell r="H178">
            <v>55.3</v>
          </cell>
          <cell r="I178">
            <v>1</v>
          </cell>
          <cell r="J178">
            <v>1</v>
          </cell>
          <cell r="K178">
            <v>2</v>
          </cell>
          <cell r="L178">
            <v>3</v>
          </cell>
          <cell r="M178">
            <v>28</v>
          </cell>
          <cell r="N178">
            <v>0</v>
          </cell>
          <cell r="O178">
            <v>0</v>
          </cell>
          <cell r="P178">
            <v>15.5</v>
          </cell>
          <cell r="Q178">
            <v>2</v>
          </cell>
        </row>
        <row r="179">
          <cell r="B179">
            <v>2020</v>
          </cell>
          <cell r="C179">
            <v>55</v>
          </cell>
          <cell r="D179" t="str">
            <v>Blaine Gabbert</v>
          </cell>
          <cell r="F179">
            <v>9</v>
          </cell>
          <cell r="G179">
            <v>16</v>
          </cell>
          <cell r="H179">
            <v>56.3</v>
          </cell>
          <cell r="I179">
            <v>2</v>
          </cell>
          <cell r="J179">
            <v>0</v>
          </cell>
          <cell r="K179">
            <v>1</v>
          </cell>
          <cell r="L179">
            <v>9</v>
          </cell>
          <cell r="M179">
            <v>16</v>
          </cell>
          <cell r="N179">
            <v>0</v>
          </cell>
          <cell r="O179">
            <v>0</v>
          </cell>
          <cell r="P179">
            <v>15.3</v>
          </cell>
          <cell r="Q179">
            <v>4</v>
          </cell>
        </row>
        <row r="180">
          <cell r="B180">
            <v>2020</v>
          </cell>
          <cell r="C180">
            <v>56</v>
          </cell>
          <cell r="D180" t="str">
            <v>Brett Rypien</v>
          </cell>
          <cell r="F180">
            <v>27</v>
          </cell>
          <cell r="G180">
            <v>40</v>
          </cell>
          <cell r="H180">
            <v>67.5</v>
          </cell>
          <cell r="I180">
            <v>2</v>
          </cell>
          <cell r="J180">
            <v>4</v>
          </cell>
          <cell r="K180">
            <v>1</v>
          </cell>
          <cell r="L180">
            <v>5</v>
          </cell>
          <cell r="M180">
            <v>-5</v>
          </cell>
          <cell r="N180">
            <v>0</v>
          </cell>
          <cell r="O180">
            <v>0</v>
          </cell>
          <cell r="P180">
            <v>15.3</v>
          </cell>
          <cell r="Q180">
            <v>3</v>
          </cell>
        </row>
        <row r="181">
          <cell r="B181">
            <v>2020</v>
          </cell>
          <cell r="C181">
            <v>57</v>
          </cell>
          <cell r="D181" t="str">
            <v>Chase Daniel</v>
          </cell>
          <cell r="F181">
            <v>29</v>
          </cell>
          <cell r="G181">
            <v>43</v>
          </cell>
          <cell r="H181">
            <v>67.400000000000006</v>
          </cell>
          <cell r="I181">
            <v>1</v>
          </cell>
          <cell r="J181">
            <v>2</v>
          </cell>
          <cell r="K181">
            <v>3</v>
          </cell>
          <cell r="L181">
            <v>2</v>
          </cell>
          <cell r="M181">
            <v>16</v>
          </cell>
          <cell r="N181">
            <v>0</v>
          </cell>
          <cell r="O181">
            <v>0</v>
          </cell>
          <cell r="P181">
            <v>14.2</v>
          </cell>
          <cell r="Q181">
            <v>4</v>
          </cell>
        </row>
        <row r="182">
          <cell r="B182">
            <v>2020</v>
          </cell>
          <cell r="C182">
            <v>58</v>
          </cell>
          <cell r="D182" t="str">
            <v>John Wolford</v>
          </cell>
          <cell r="F182">
            <v>22</v>
          </cell>
          <cell r="G182">
            <v>38</v>
          </cell>
          <cell r="H182">
            <v>57.9</v>
          </cell>
          <cell r="I182">
            <v>0</v>
          </cell>
          <cell r="J182">
            <v>1</v>
          </cell>
          <cell r="K182">
            <v>2</v>
          </cell>
          <cell r="L182">
            <v>6</v>
          </cell>
          <cell r="M182">
            <v>56</v>
          </cell>
          <cell r="N182">
            <v>0</v>
          </cell>
          <cell r="O182">
            <v>0</v>
          </cell>
          <cell r="P182">
            <v>13.8</v>
          </cell>
          <cell r="Q182">
            <v>1</v>
          </cell>
        </row>
        <row r="183">
          <cell r="B183">
            <v>2020</v>
          </cell>
          <cell r="C183">
            <v>59</v>
          </cell>
          <cell r="D183" t="str">
            <v>P.J. Walker</v>
          </cell>
          <cell r="F183">
            <v>32</v>
          </cell>
          <cell r="G183">
            <v>56</v>
          </cell>
          <cell r="H183">
            <v>57.1</v>
          </cell>
          <cell r="I183">
            <v>1</v>
          </cell>
          <cell r="J183">
            <v>5</v>
          </cell>
          <cell r="K183">
            <v>4</v>
          </cell>
          <cell r="L183">
            <v>5</v>
          </cell>
          <cell r="M183">
            <v>-2</v>
          </cell>
          <cell r="N183">
            <v>0</v>
          </cell>
          <cell r="O183">
            <v>0</v>
          </cell>
          <cell r="P183">
            <v>13.5</v>
          </cell>
          <cell r="Q183">
            <v>4</v>
          </cell>
        </row>
        <row r="184">
          <cell r="B184">
            <v>2020</v>
          </cell>
          <cell r="C184">
            <v>60</v>
          </cell>
          <cell r="D184" t="str">
            <v>Taylor Heinicke</v>
          </cell>
          <cell r="F184">
            <v>12</v>
          </cell>
          <cell r="G184">
            <v>19</v>
          </cell>
          <cell r="H184">
            <v>63.2</v>
          </cell>
          <cell r="I184">
            <v>1</v>
          </cell>
          <cell r="J184">
            <v>0</v>
          </cell>
          <cell r="K184">
            <v>1</v>
          </cell>
          <cell r="L184">
            <v>3</v>
          </cell>
          <cell r="M184">
            <v>22</v>
          </cell>
          <cell r="N184">
            <v>0</v>
          </cell>
          <cell r="O184">
            <v>0</v>
          </cell>
          <cell r="P184">
            <v>11.7</v>
          </cell>
          <cell r="Q184">
            <v>1</v>
          </cell>
        </row>
        <row r="185">
          <cell r="B185">
            <v>2020</v>
          </cell>
          <cell r="C185">
            <v>61</v>
          </cell>
          <cell r="D185" t="str">
            <v>Matt Barkley</v>
          </cell>
          <cell r="F185">
            <v>11</v>
          </cell>
          <cell r="G185">
            <v>21</v>
          </cell>
          <cell r="H185">
            <v>52.4</v>
          </cell>
          <cell r="I185">
            <v>1</v>
          </cell>
          <cell r="J185">
            <v>1</v>
          </cell>
          <cell r="K185">
            <v>1</v>
          </cell>
          <cell r="L185">
            <v>6</v>
          </cell>
          <cell r="M185">
            <v>-6</v>
          </cell>
          <cell r="N185">
            <v>0</v>
          </cell>
          <cell r="O185">
            <v>0</v>
          </cell>
          <cell r="P185">
            <v>10.3</v>
          </cell>
          <cell r="Q185">
            <v>5</v>
          </cell>
        </row>
        <row r="186">
          <cell r="B186">
            <v>2020</v>
          </cell>
          <cell r="C186">
            <v>62</v>
          </cell>
          <cell r="D186" t="str">
            <v>Trace McSorley</v>
          </cell>
          <cell r="F186">
            <v>3</v>
          </cell>
          <cell r="G186">
            <v>10</v>
          </cell>
          <cell r="H186">
            <v>30</v>
          </cell>
          <cell r="I186">
            <v>1</v>
          </cell>
          <cell r="J186">
            <v>0</v>
          </cell>
          <cell r="K186">
            <v>0</v>
          </cell>
          <cell r="L186">
            <v>5</v>
          </cell>
          <cell r="M186">
            <v>17</v>
          </cell>
          <cell r="N186">
            <v>0</v>
          </cell>
          <cell r="O186">
            <v>0</v>
          </cell>
          <cell r="P186">
            <v>9.3000000000000007</v>
          </cell>
          <cell r="Q186">
            <v>2</v>
          </cell>
        </row>
        <row r="187">
          <cell r="B187">
            <v>2020</v>
          </cell>
          <cell r="C187">
            <v>63</v>
          </cell>
          <cell r="D187" t="str">
            <v>Tyrod Taylor</v>
          </cell>
          <cell r="F187">
            <v>16</v>
          </cell>
          <cell r="G187">
            <v>30</v>
          </cell>
          <cell r="H187">
            <v>53.3</v>
          </cell>
          <cell r="I187">
            <v>0</v>
          </cell>
          <cell r="J187">
            <v>0</v>
          </cell>
          <cell r="K187">
            <v>2</v>
          </cell>
          <cell r="L187">
            <v>6</v>
          </cell>
          <cell r="M187">
            <v>7</v>
          </cell>
          <cell r="N187">
            <v>0</v>
          </cell>
          <cell r="O187">
            <v>0</v>
          </cell>
          <cell r="P187">
            <v>9</v>
          </cell>
          <cell r="Q187">
            <v>2</v>
          </cell>
        </row>
        <row r="188">
          <cell r="B188">
            <v>2020</v>
          </cell>
          <cell r="C188">
            <v>64</v>
          </cell>
          <cell r="D188" t="str">
            <v>Chris Streveler</v>
          </cell>
          <cell r="F188">
            <v>11</v>
          </cell>
          <cell r="G188">
            <v>16</v>
          </cell>
          <cell r="H188">
            <v>68.8</v>
          </cell>
          <cell r="I188">
            <v>1</v>
          </cell>
          <cell r="J188">
            <v>1</v>
          </cell>
          <cell r="K188">
            <v>2</v>
          </cell>
          <cell r="L188">
            <v>4</v>
          </cell>
          <cell r="M188">
            <v>15</v>
          </cell>
          <cell r="N188">
            <v>0</v>
          </cell>
          <cell r="O188">
            <v>0</v>
          </cell>
          <cell r="P188">
            <v>8.6999999999999993</v>
          </cell>
          <cell r="Q188">
            <v>5</v>
          </cell>
        </row>
        <row r="189">
          <cell r="B189">
            <v>2020</v>
          </cell>
          <cell r="C189">
            <v>65</v>
          </cell>
          <cell r="D189" t="str">
            <v>Ben DiNucci</v>
          </cell>
          <cell r="F189">
            <v>23</v>
          </cell>
          <cell r="G189">
            <v>43</v>
          </cell>
          <cell r="H189">
            <v>53.5</v>
          </cell>
          <cell r="I189">
            <v>0</v>
          </cell>
          <cell r="J189">
            <v>0</v>
          </cell>
          <cell r="K189">
            <v>7</v>
          </cell>
          <cell r="L189">
            <v>6</v>
          </cell>
          <cell r="M189">
            <v>22</v>
          </cell>
          <cell r="N189">
            <v>0</v>
          </cell>
          <cell r="O189">
            <v>2</v>
          </cell>
          <cell r="P189">
            <v>7</v>
          </cell>
          <cell r="Q189">
            <v>3</v>
          </cell>
        </row>
        <row r="190">
          <cell r="B190">
            <v>2020</v>
          </cell>
          <cell r="C190">
            <v>66</v>
          </cell>
          <cell r="D190" t="str">
            <v>Robert Griffin III</v>
          </cell>
          <cell r="F190">
            <v>8</v>
          </cell>
          <cell r="G190">
            <v>14</v>
          </cell>
          <cell r="H190">
            <v>57.1</v>
          </cell>
          <cell r="I190">
            <v>0</v>
          </cell>
          <cell r="J190">
            <v>2</v>
          </cell>
          <cell r="K190">
            <v>3</v>
          </cell>
          <cell r="L190">
            <v>12</v>
          </cell>
          <cell r="M190">
            <v>69</v>
          </cell>
          <cell r="N190">
            <v>0</v>
          </cell>
          <cell r="O190">
            <v>1</v>
          </cell>
          <cell r="P190">
            <v>4.5999999999999996</v>
          </cell>
          <cell r="Q190">
            <v>4</v>
          </cell>
        </row>
        <row r="191">
          <cell r="B191">
            <v>2020</v>
          </cell>
          <cell r="C191">
            <v>67</v>
          </cell>
          <cell r="D191" t="str">
            <v>Brian Hoyer</v>
          </cell>
          <cell r="F191">
            <v>15</v>
          </cell>
          <cell r="G191">
            <v>24</v>
          </cell>
          <cell r="H191">
            <v>62.5</v>
          </cell>
          <cell r="I191">
            <v>0</v>
          </cell>
          <cell r="J191">
            <v>1</v>
          </cell>
          <cell r="K191">
            <v>2</v>
          </cell>
          <cell r="L191">
            <v>1</v>
          </cell>
          <cell r="M191">
            <v>8</v>
          </cell>
          <cell r="N191">
            <v>0</v>
          </cell>
          <cell r="O191">
            <v>1</v>
          </cell>
          <cell r="P191">
            <v>3</v>
          </cell>
          <cell r="Q191">
            <v>1</v>
          </cell>
        </row>
        <row r="192">
          <cell r="B192">
            <v>2020</v>
          </cell>
          <cell r="C192">
            <v>68</v>
          </cell>
          <cell r="D192" t="str">
            <v>Tyler Huntley</v>
          </cell>
          <cell r="F192">
            <v>3</v>
          </cell>
          <cell r="G192">
            <v>5</v>
          </cell>
          <cell r="H192">
            <v>60</v>
          </cell>
          <cell r="I192">
            <v>0</v>
          </cell>
          <cell r="J192">
            <v>0</v>
          </cell>
          <cell r="K192">
            <v>0</v>
          </cell>
          <cell r="L192">
            <v>10</v>
          </cell>
          <cell r="M192">
            <v>23</v>
          </cell>
          <cell r="N192">
            <v>0</v>
          </cell>
          <cell r="O192">
            <v>0</v>
          </cell>
          <cell r="P192">
            <v>2.9</v>
          </cell>
          <cell r="Q192">
            <v>2</v>
          </cell>
        </row>
        <row r="193">
          <cell r="B193">
            <v>2020</v>
          </cell>
          <cell r="C193">
            <v>69</v>
          </cell>
          <cell r="D193" t="str">
            <v>David Blough</v>
          </cell>
          <cell r="F193">
            <v>6</v>
          </cell>
          <cell r="G193">
            <v>10</v>
          </cell>
          <cell r="H193">
            <v>60</v>
          </cell>
          <cell r="I193">
            <v>0</v>
          </cell>
          <cell r="J193">
            <v>1</v>
          </cell>
          <cell r="K193">
            <v>1</v>
          </cell>
          <cell r="L193">
            <v>1</v>
          </cell>
          <cell r="M193">
            <v>18</v>
          </cell>
          <cell r="N193">
            <v>0</v>
          </cell>
          <cell r="O193">
            <v>0</v>
          </cell>
          <cell r="P193">
            <v>2.8</v>
          </cell>
          <cell r="Q193">
            <v>1</v>
          </cell>
        </row>
        <row r="194">
          <cell r="B194">
            <v>2020</v>
          </cell>
          <cell r="C194">
            <v>70</v>
          </cell>
          <cell r="D194" t="str">
            <v>Tommy Stevens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</v>
          </cell>
          <cell r="M194">
            <v>24</v>
          </cell>
          <cell r="N194">
            <v>0</v>
          </cell>
          <cell r="O194">
            <v>0</v>
          </cell>
          <cell r="P194">
            <v>2.4</v>
          </cell>
          <cell r="Q194">
            <v>1</v>
          </cell>
        </row>
        <row r="195">
          <cell r="B195">
            <v>2020</v>
          </cell>
          <cell r="C195">
            <v>71</v>
          </cell>
          <cell r="D195" t="str">
            <v>Jameis Winston</v>
          </cell>
          <cell r="F195">
            <v>7</v>
          </cell>
          <cell r="G195">
            <v>11</v>
          </cell>
          <cell r="H195">
            <v>63.6</v>
          </cell>
          <cell r="I195">
            <v>0</v>
          </cell>
          <cell r="J195">
            <v>0</v>
          </cell>
          <cell r="K195">
            <v>2</v>
          </cell>
          <cell r="L195">
            <v>8</v>
          </cell>
          <cell r="M195">
            <v>-6</v>
          </cell>
          <cell r="N195">
            <v>0</v>
          </cell>
          <cell r="O195">
            <v>0</v>
          </cell>
          <cell r="P195">
            <v>2.4</v>
          </cell>
          <cell r="Q195">
            <v>4</v>
          </cell>
        </row>
        <row r="196">
          <cell r="B196">
            <v>2020</v>
          </cell>
          <cell r="C196">
            <v>72</v>
          </cell>
          <cell r="D196" t="str">
            <v>Joshua Dobbs</v>
          </cell>
          <cell r="F196">
            <v>4</v>
          </cell>
          <cell r="G196">
            <v>5</v>
          </cell>
          <cell r="H196">
            <v>80</v>
          </cell>
          <cell r="I196">
            <v>0</v>
          </cell>
          <cell r="J196">
            <v>0</v>
          </cell>
          <cell r="K196">
            <v>0</v>
          </cell>
          <cell r="L196">
            <v>2</v>
          </cell>
          <cell r="M196">
            <v>20</v>
          </cell>
          <cell r="N196">
            <v>0</v>
          </cell>
          <cell r="O196">
            <v>0</v>
          </cell>
          <cell r="P196">
            <v>2.1</v>
          </cell>
          <cell r="Q196">
            <v>1</v>
          </cell>
        </row>
        <row r="197">
          <cell r="B197">
            <v>2020</v>
          </cell>
          <cell r="C197">
            <v>73</v>
          </cell>
          <cell r="D197" t="str">
            <v>Nathan Peterman</v>
          </cell>
          <cell r="F197">
            <v>3</v>
          </cell>
          <cell r="G197">
            <v>5</v>
          </cell>
          <cell r="H197">
            <v>60</v>
          </cell>
          <cell r="I197">
            <v>0</v>
          </cell>
          <cell r="J197">
            <v>0</v>
          </cell>
          <cell r="K197">
            <v>2</v>
          </cell>
          <cell r="L197">
            <v>1</v>
          </cell>
          <cell r="M197">
            <v>9</v>
          </cell>
          <cell r="N197">
            <v>0</v>
          </cell>
          <cell r="O197">
            <v>0</v>
          </cell>
          <cell r="P197">
            <v>1.9</v>
          </cell>
          <cell r="Q197">
            <v>1</v>
          </cell>
        </row>
        <row r="198">
          <cell r="B198">
            <v>2020</v>
          </cell>
          <cell r="C198">
            <v>74</v>
          </cell>
          <cell r="D198" t="str">
            <v>Case Keenum</v>
          </cell>
          <cell r="F198">
            <v>5</v>
          </cell>
          <cell r="G198">
            <v>10</v>
          </cell>
          <cell r="H198">
            <v>50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1.8</v>
          </cell>
          <cell r="Q198">
            <v>2</v>
          </cell>
        </row>
        <row r="199">
          <cell r="B199">
            <v>2020</v>
          </cell>
          <cell r="C199">
            <v>75</v>
          </cell>
          <cell r="D199" t="str">
            <v>Logan Woodside</v>
          </cell>
          <cell r="F199">
            <v>1</v>
          </cell>
          <cell r="G199">
            <v>3</v>
          </cell>
          <cell r="H199">
            <v>33.299999999999997</v>
          </cell>
          <cell r="I199">
            <v>0</v>
          </cell>
          <cell r="J199">
            <v>0</v>
          </cell>
          <cell r="K199">
            <v>0</v>
          </cell>
          <cell r="L199">
            <v>7</v>
          </cell>
          <cell r="M199">
            <v>10</v>
          </cell>
          <cell r="N199">
            <v>0</v>
          </cell>
          <cell r="O199">
            <v>0</v>
          </cell>
          <cell r="P199">
            <v>1.3</v>
          </cell>
          <cell r="Q199">
            <v>6</v>
          </cell>
        </row>
        <row r="200">
          <cell r="B200">
            <v>2020</v>
          </cell>
          <cell r="C200">
            <v>76</v>
          </cell>
          <cell r="D200" t="str">
            <v>Geno Smith</v>
          </cell>
          <cell r="F200">
            <v>4</v>
          </cell>
          <cell r="G200">
            <v>5</v>
          </cell>
          <cell r="H200">
            <v>80</v>
          </cell>
          <cell r="I200">
            <v>0</v>
          </cell>
          <cell r="J200">
            <v>0</v>
          </cell>
          <cell r="K200">
            <v>1</v>
          </cell>
          <cell r="L200">
            <v>2</v>
          </cell>
          <cell r="M200">
            <v>-2</v>
          </cell>
          <cell r="N200">
            <v>0</v>
          </cell>
          <cell r="O200">
            <v>0</v>
          </cell>
          <cell r="P200">
            <v>1.1000000000000001</v>
          </cell>
          <cell r="Q200">
            <v>1</v>
          </cell>
        </row>
        <row r="201">
          <cell r="B201">
            <v>2020</v>
          </cell>
          <cell r="C201">
            <v>77</v>
          </cell>
          <cell r="D201" t="str">
            <v>AJ McCarron</v>
          </cell>
          <cell r="F201">
            <v>1</v>
          </cell>
          <cell r="G201">
            <v>1</v>
          </cell>
          <cell r="H201">
            <v>100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0.8</v>
          </cell>
          <cell r="Q201">
            <v>2</v>
          </cell>
        </row>
        <row r="202">
          <cell r="B202">
            <v>2020</v>
          </cell>
          <cell r="C202">
            <v>78</v>
          </cell>
          <cell r="D202" t="str">
            <v>Tyler Bray</v>
          </cell>
          <cell r="F202">
            <v>1</v>
          </cell>
          <cell r="G202">
            <v>5</v>
          </cell>
          <cell r="H202">
            <v>20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0.7</v>
          </cell>
          <cell r="Q202">
            <v>1</v>
          </cell>
        </row>
        <row r="203">
          <cell r="B203">
            <v>2020</v>
          </cell>
          <cell r="C203">
            <v>79</v>
          </cell>
          <cell r="D203" t="str">
            <v>John Lovett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3</v>
          </cell>
          <cell r="M203">
            <v>6</v>
          </cell>
          <cell r="N203">
            <v>0</v>
          </cell>
          <cell r="O203">
            <v>0</v>
          </cell>
          <cell r="P203">
            <v>0.6</v>
          </cell>
          <cell r="Q203">
            <v>8</v>
          </cell>
        </row>
        <row r="205">
          <cell r="B205">
            <v>2020</v>
          </cell>
          <cell r="C205">
            <v>81</v>
          </cell>
          <cell r="D205" t="str">
            <v>Easton Stick</v>
          </cell>
          <cell r="F205">
            <v>1</v>
          </cell>
          <cell r="G205">
            <v>1</v>
          </cell>
          <cell r="H205">
            <v>100</v>
          </cell>
          <cell r="I205">
            <v>0</v>
          </cell>
          <cell r="J205">
            <v>0</v>
          </cell>
          <cell r="K205">
            <v>0</v>
          </cell>
          <cell r="L205">
            <v>1</v>
          </cell>
          <cell r="M205">
            <v>-2</v>
          </cell>
          <cell r="N205">
            <v>0</v>
          </cell>
          <cell r="O205">
            <v>0</v>
          </cell>
          <cell r="P205">
            <v>0</v>
          </cell>
          <cell r="Q205">
            <v>1</v>
          </cell>
        </row>
        <row r="238">
          <cell r="B238">
            <v>2020</v>
          </cell>
          <cell r="C238">
            <v>114</v>
          </cell>
          <cell r="D238" t="str">
            <v>Joe Webb III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2</v>
          </cell>
        </row>
        <row r="246">
          <cell r="B246">
            <v>2020</v>
          </cell>
          <cell r="C246">
            <v>122</v>
          </cell>
          <cell r="D246" t="str">
            <v>Mike White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1</v>
          </cell>
        </row>
        <row r="253">
          <cell r="B253">
            <v>2020</v>
          </cell>
          <cell r="C253">
            <v>129</v>
          </cell>
          <cell r="D253" t="str">
            <v>Matt Schaub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</v>
          </cell>
          <cell r="M253">
            <v>-4</v>
          </cell>
          <cell r="N253">
            <v>0</v>
          </cell>
          <cell r="O253">
            <v>0</v>
          </cell>
          <cell r="P253">
            <v>-0.4</v>
          </cell>
          <cell r="Q253">
            <v>1</v>
          </cell>
        </row>
        <row r="254">
          <cell r="B254">
            <v>2020</v>
          </cell>
          <cell r="C254">
            <v>130</v>
          </cell>
          <cell r="D254" t="str">
            <v>Nate Sudfeld</v>
          </cell>
          <cell r="F254">
            <v>5</v>
          </cell>
          <cell r="G254">
            <v>12</v>
          </cell>
          <cell r="H254">
            <v>41.7</v>
          </cell>
          <cell r="I254">
            <v>0</v>
          </cell>
          <cell r="J254">
            <v>1</v>
          </cell>
          <cell r="K254">
            <v>2</v>
          </cell>
          <cell r="L254">
            <v>2</v>
          </cell>
          <cell r="M254">
            <v>12</v>
          </cell>
          <cell r="N254">
            <v>0</v>
          </cell>
          <cell r="O254">
            <v>1</v>
          </cell>
          <cell r="P254">
            <v>-0.5</v>
          </cell>
          <cell r="Q254">
            <v>1</v>
          </cell>
        </row>
        <row r="255">
          <cell r="B255">
            <v>2020</v>
          </cell>
          <cell r="C255">
            <v>131</v>
          </cell>
          <cell r="D255" t="str">
            <v>Tim Boyle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</v>
          </cell>
          <cell r="L255">
            <v>13</v>
          </cell>
          <cell r="M255">
            <v>-9</v>
          </cell>
          <cell r="N255">
            <v>0</v>
          </cell>
          <cell r="O255">
            <v>0</v>
          </cell>
          <cell r="P255">
            <v>-0.9</v>
          </cell>
          <cell r="Q255">
            <v>8</v>
          </cell>
        </row>
        <row r="256">
          <cell r="B256">
            <v>2019</v>
          </cell>
          <cell r="C256">
            <v>1</v>
          </cell>
          <cell r="D256" t="str">
            <v>Lamar Jackson</v>
          </cell>
          <cell r="F256">
            <v>265</v>
          </cell>
          <cell r="G256">
            <v>401</v>
          </cell>
          <cell r="H256">
            <v>66.099999999999994</v>
          </cell>
          <cell r="I256">
            <v>36</v>
          </cell>
          <cell r="J256">
            <v>6</v>
          </cell>
          <cell r="K256">
            <v>23</v>
          </cell>
          <cell r="L256">
            <v>176</v>
          </cell>
          <cell r="M256">
            <v>1206</v>
          </cell>
          <cell r="N256">
            <v>7</v>
          </cell>
          <cell r="O256">
            <v>2</v>
          </cell>
          <cell r="P256">
            <v>421.7</v>
          </cell>
          <cell r="Q256">
            <v>15</v>
          </cell>
        </row>
        <row r="257">
          <cell r="B257">
            <v>2019</v>
          </cell>
          <cell r="C257">
            <v>2</v>
          </cell>
          <cell r="D257" t="str">
            <v>Dak Prescott</v>
          </cell>
          <cell r="F257">
            <v>388</v>
          </cell>
          <cell r="G257">
            <v>596</v>
          </cell>
          <cell r="H257">
            <v>65.099999999999994</v>
          </cell>
          <cell r="I257">
            <v>30</v>
          </cell>
          <cell r="J257">
            <v>11</v>
          </cell>
          <cell r="K257">
            <v>23</v>
          </cell>
          <cell r="L257">
            <v>52</v>
          </cell>
          <cell r="M257">
            <v>277</v>
          </cell>
          <cell r="N257">
            <v>3</v>
          </cell>
          <cell r="O257">
            <v>2</v>
          </cell>
          <cell r="P257">
            <v>348.9</v>
          </cell>
          <cell r="Q257">
            <v>16</v>
          </cell>
        </row>
        <row r="258">
          <cell r="B258">
            <v>2019</v>
          </cell>
          <cell r="C258">
            <v>3</v>
          </cell>
          <cell r="D258" t="str">
            <v>Jameis Winston</v>
          </cell>
          <cell r="F258">
            <v>380</v>
          </cell>
          <cell r="G258">
            <v>626</v>
          </cell>
          <cell r="H258">
            <v>60.7</v>
          </cell>
          <cell r="I258">
            <v>33</v>
          </cell>
          <cell r="J258">
            <v>30</v>
          </cell>
          <cell r="K258">
            <v>47</v>
          </cell>
          <cell r="L258">
            <v>59</v>
          </cell>
          <cell r="M258">
            <v>250</v>
          </cell>
          <cell r="N258">
            <v>1</v>
          </cell>
          <cell r="O258">
            <v>5</v>
          </cell>
          <cell r="P258">
            <v>335.2</v>
          </cell>
          <cell r="Q258">
            <v>16</v>
          </cell>
        </row>
        <row r="259">
          <cell r="B259">
            <v>2019</v>
          </cell>
          <cell r="C259">
            <v>4</v>
          </cell>
          <cell r="D259" t="str">
            <v>Russell Wilson</v>
          </cell>
          <cell r="F259">
            <v>341</v>
          </cell>
          <cell r="G259">
            <v>516</v>
          </cell>
          <cell r="H259">
            <v>66.099999999999994</v>
          </cell>
          <cell r="I259">
            <v>31</v>
          </cell>
          <cell r="J259">
            <v>5</v>
          </cell>
          <cell r="K259">
            <v>48</v>
          </cell>
          <cell r="L259">
            <v>75</v>
          </cell>
          <cell r="M259">
            <v>342</v>
          </cell>
          <cell r="N259">
            <v>3</v>
          </cell>
          <cell r="O259">
            <v>2</v>
          </cell>
          <cell r="P259">
            <v>333.5</v>
          </cell>
          <cell r="Q259">
            <v>16</v>
          </cell>
        </row>
        <row r="260">
          <cell r="B260">
            <v>2019</v>
          </cell>
          <cell r="C260">
            <v>5</v>
          </cell>
          <cell r="D260" t="str">
            <v>Deshaun Watson</v>
          </cell>
          <cell r="F260">
            <v>333</v>
          </cell>
          <cell r="G260">
            <v>495</v>
          </cell>
          <cell r="H260">
            <v>67.3</v>
          </cell>
          <cell r="I260">
            <v>26</v>
          </cell>
          <cell r="J260">
            <v>12</v>
          </cell>
          <cell r="K260">
            <v>44</v>
          </cell>
          <cell r="L260">
            <v>82</v>
          </cell>
          <cell r="M260">
            <v>413</v>
          </cell>
          <cell r="N260">
            <v>7</v>
          </cell>
          <cell r="O260">
            <v>3</v>
          </cell>
          <cell r="P260">
            <v>332.5</v>
          </cell>
          <cell r="Q260">
            <v>15</v>
          </cell>
        </row>
        <row r="261">
          <cell r="B261">
            <v>2019</v>
          </cell>
          <cell r="C261">
            <v>6</v>
          </cell>
          <cell r="D261" t="str">
            <v>Josh Allen</v>
          </cell>
          <cell r="F261">
            <v>271</v>
          </cell>
          <cell r="G261">
            <v>461</v>
          </cell>
          <cell r="H261">
            <v>58.8</v>
          </cell>
          <cell r="I261">
            <v>20</v>
          </cell>
          <cell r="J261">
            <v>9</v>
          </cell>
          <cell r="K261">
            <v>38</v>
          </cell>
          <cell r="L261">
            <v>109</v>
          </cell>
          <cell r="M261">
            <v>510</v>
          </cell>
          <cell r="N261">
            <v>9</v>
          </cell>
          <cell r="O261">
            <v>4</v>
          </cell>
          <cell r="P261">
            <v>297.5</v>
          </cell>
          <cell r="Q261">
            <v>16</v>
          </cell>
        </row>
        <row r="262">
          <cell r="B262">
            <v>2019</v>
          </cell>
          <cell r="C262">
            <v>7</v>
          </cell>
          <cell r="D262" t="str">
            <v>Kyler Murray</v>
          </cell>
          <cell r="F262">
            <v>349</v>
          </cell>
          <cell r="G262">
            <v>542</v>
          </cell>
          <cell r="H262">
            <v>64.400000000000006</v>
          </cell>
          <cell r="I262">
            <v>20</v>
          </cell>
          <cell r="J262">
            <v>12</v>
          </cell>
          <cell r="K262">
            <v>48</v>
          </cell>
          <cell r="L262">
            <v>93</v>
          </cell>
          <cell r="M262">
            <v>544</v>
          </cell>
          <cell r="N262">
            <v>4</v>
          </cell>
          <cell r="O262">
            <v>2</v>
          </cell>
          <cell r="P262">
            <v>297.3</v>
          </cell>
          <cell r="Q262">
            <v>16</v>
          </cell>
        </row>
        <row r="263">
          <cell r="B263">
            <v>2019</v>
          </cell>
          <cell r="C263">
            <v>8</v>
          </cell>
          <cell r="D263" t="str">
            <v>Patrick Mahomes II</v>
          </cell>
          <cell r="F263">
            <v>319</v>
          </cell>
          <cell r="G263">
            <v>484</v>
          </cell>
          <cell r="H263">
            <v>65.900000000000006</v>
          </cell>
          <cell r="I263">
            <v>26</v>
          </cell>
          <cell r="J263">
            <v>5</v>
          </cell>
          <cell r="K263">
            <v>17</v>
          </cell>
          <cell r="L263">
            <v>43</v>
          </cell>
          <cell r="M263">
            <v>218</v>
          </cell>
          <cell r="N263">
            <v>2</v>
          </cell>
          <cell r="O263">
            <v>2</v>
          </cell>
          <cell r="P263">
            <v>291.89999999999998</v>
          </cell>
          <cell r="Q263">
            <v>14</v>
          </cell>
        </row>
        <row r="264">
          <cell r="B264">
            <v>2019</v>
          </cell>
          <cell r="C264">
            <v>9</v>
          </cell>
          <cell r="D264" t="str">
            <v>Carson Wentz</v>
          </cell>
          <cell r="F264">
            <v>388</v>
          </cell>
          <cell r="G264">
            <v>607</v>
          </cell>
          <cell r="H264">
            <v>63.9</v>
          </cell>
          <cell r="I264">
            <v>27</v>
          </cell>
          <cell r="J264">
            <v>7</v>
          </cell>
          <cell r="K264">
            <v>37</v>
          </cell>
          <cell r="L264">
            <v>62</v>
          </cell>
          <cell r="M264">
            <v>243</v>
          </cell>
          <cell r="N264">
            <v>1</v>
          </cell>
          <cell r="O264">
            <v>7</v>
          </cell>
          <cell r="P264">
            <v>282.89999999999998</v>
          </cell>
          <cell r="Q264">
            <v>16</v>
          </cell>
        </row>
        <row r="265">
          <cell r="B265">
            <v>2019</v>
          </cell>
          <cell r="C265">
            <v>10</v>
          </cell>
          <cell r="D265" t="str">
            <v>Aaron Rodgers</v>
          </cell>
          <cell r="F265">
            <v>353</v>
          </cell>
          <cell r="G265">
            <v>569</v>
          </cell>
          <cell r="H265">
            <v>62</v>
          </cell>
          <cell r="I265">
            <v>26</v>
          </cell>
          <cell r="J265">
            <v>4</v>
          </cell>
          <cell r="K265">
            <v>36</v>
          </cell>
          <cell r="L265">
            <v>46</v>
          </cell>
          <cell r="M265">
            <v>183</v>
          </cell>
          <cell r="N265">
            <v>1</v>
          </cell>
          <cell r="O265">
            <v>4</v>
          </cell>
          <cell r="P265">
            <v>282.3</v>
          </cell>
          <cell r="Q265">
            <v>16</v>
          </cell>
        </row>
        <row r="266">
          <cell r="B266">
            <v>2019</v>
          </cell>
          <cell r="C266">
            <v>11</v>
          </cell>
          <cell r="D266" t="str">
            <v>Matt Ryan</v>
          </cell>
          <cell r="F266">
            <v>408</v>
          </cell>
          <cell r="G266">
            <v>616</v>
          </cell>
          <cell r="H266">
            <v>66.2</v>
          </cell>
          <cell r="I266">
            <v>26</v>
          </cell>
          <cell r="J266">
            <v>14</v>
          </cell>
          <cell r="K266">
            <v>48</v>
          </cell>
          <cell r="L266">
            <v>34</v>
          </cell>
          <cell r="M266">
            <v>147</v>
          </cell>
          <cell r="N266">
            <v>1</v>
          </cell>
          <cell r="O266">
            <v>5</v>
          </cell>
          <cell r="P266">
            <v>281.39999999999998</v>
          </cell>
          <cell r="Q266">
            <v>15</v>
          </cell>
        </row>
        <row r="267">
          <cell r="B267">
            <v>2019</v>
          </cell>
          <cell r="C267">
            <v>12</v>
          </cell>
          <cell r="D267" t="str">
            <v>Tom Brady</v>
          </cell>
          <cell r="F267">
            <v>373</v>
          </cell>
          <cell r="G267">
            <v>613</v>
          </cell>
          <cell r="H267">
            <v>60.8</v>
          </cell>
          <cell r="I267">
            <v>24</v>
          </cell>
          <cell r="J267">
            <v>8</v>
          </cell>
          <cell r="K267">
            <v>27</v>
          </cell>
          <cell r="L267">
            <v>26</v>
          </cell>
          <cell r="M267">
            <v>34</v>
          </cell>
          <cell r="N267">
            <v>3</v>
          </cell>
          <cell r="O267">
            <v>1</v>
          </cell>
          <cell r="P267">
            <v>271.60000000000002</v>
          </cell>
          <cell r="Q267">
            <v>16</v>
          </cell>
        </row>
        <row r="268">
          <cell r="B268">
            <v>2019</v>
          </cell>
          <cell r="C268">
            <v>13</v>
          </cell>
          <cell r="D268" t="str">
            <v>Jared Goff</v>
          </cell>
          <cell r="F268">
            <v>394</v>
          </cell>
          <cell r="G268">
            <v>626</v>
          </cell>
          <cell r="H268">
            <v>62.9</v>
          </cell>
          <cell r="I268">
            <v>22</v>
          </cell>
          <cell r="J268">
            <v>16</v>
          </cell>
          <cell r="K268">
            <v>22</v>
          </cell>
          <cell r="L268">
            <v>33</v>
          </cell>
          <cell r="M268">
            <v>40</v>
          </cell>
          <cell r="N268">
            <v>2</v>
          </cell>
          <cell r="O268">
            <v>5</v>
          </cell>
          <cell r="P268">
            <v>263.5</v>
          </cell>
          <cell r="Q268">
            <v>16</v>
          </cell>
        </row>
        <row r="269">
          <cell r="B269">
            <v>2019</v>
          </cell>
          <cell r="C269">
            <v>14</v>
          </cell>
          <cell r="D269" t="str">
            <v>Jimmy Garoppolo</v>
          </cell>
          <cell r="F269">
            <v>329</v>
          </cell>
          <cell r="G269">
            <v>476</v>
          </cell>
          <cell r="H269">
            <v>69.099999999999994</v>
          </cell>
          <cell r="I269">
            <v>27</v>
          </cell>
          <cell r="J269">
            <v>13</v>
          </cell>
          <cell r="K269">
            <v>36</v>
          </cell>
          <cell r="L269">
            <v>46</v>
          </cell>
          <cell r="M269">
            <v>62</v>
          </cell>
          <cell r="N269">
            <v>1</v>
          </cell>
          <cell r="O269">
            <v>5</v>
          </cell>
          <cell r="P269">
            <v>260.2</v>
          </cell>
          <cell r="Q269">
            <v>16</v>
          </cell>
        </row>
        <row r="270">
          <cell r="B270">
            <v>2019</v>
          </cell>
          <cell r="C270">
            <v>15</v>
          </cell>
          <cell r="D270" t="str">
            <v>Philip Rivers</v>
          </cell>
          <cell r="F270">
            <v>390</v>
          </cell>
          <cell r="G270">
            <v>591</v>
          </cell>
          <cell r="H270">
            <v>66</v>
          </cell>
          <cell r="I270">
            <v>23</v>
          </cell>
          <cell r="J270">
            <v>20</v>
          </cell>
          <cell r="K270">
            <v>34</v>
          </cell>
          <cell r="L270">
            <v>12</v>
          </cell>
          <cell r="M270">
            <v>29</v>
          </cell>
          <cell r="N270">
            <v>0</v>
          </cell>
          <cell r="O270">
            <v>3</v>
          </cell>
          <cell r="P270">
            <v>255.5</v>
          </cell>
          <cell r="Q270">
            <v>16</v>
          </cell>
        </row>
        <row r="271">
          <cell r="B271">
            <v>2019</v>
          </cell>
          <cell r="C271">
            <v>16</v>
          </cell>
          <cell r="D271" t="str">
            <v>Ryan Fitzpatrick</v>
          </cell>
          <cell r="F271">
            <v>311</v>
          </cell>
          <cell r="G271">
            <v>502</v>
          </cell>
          <cell r="H271">
            <v>62</v>
          </cell>
          <cell r="I271">
            <v>20</v>
          </cell>
          <cell r="J271">
            <v>13</v>
          </cell>
          <cell r="K271">
            <v>40</v>
          </cell>
          <cell r="L271">
            <v>54</v>
          </cell>
          <cell r="M271">
            <v>243</v>
          </cell>
          <cell r="N271">
            <v>4</v>
          </cell>
          <cell r="O271">
            <v>2</v>
          </cell>
          <cell r="P271">
            <v>254.7</v>
          </cell>
          <cell r="Q271">
            <v>15</v>
          </cell>
        </row>
        <row r="272">
          <cell r="B272">
            <v>2019</v>
          </cell>
          <cell r="C272">
            <v>17</v>
          </cell>
          <cell r="D272" t="str">
            <v>Derek Carr</v>
          </cell>
          <cell r="F272">
            <v>361</v>
          </cell>
          <cell r="G272">
            <v>513</v>
          </cell>
          <cell r="H272">
            <v>70.400000000000006</v>
          </cell>
          <cell r="I272">
            <v>21</v>
          </cell>
          <cell r="J272">
            <v>8</v>
          </cell>
          <cell r="K272">
            <v>29</v>
          </cell>
          <cell r="L272">
            <v>27</v>
          </cell>
          <cell r="M272">
            <v>82</v>
          </cell>
          <cell r="N272">
            <v>2</v>
          </cell>
          <cell r="O272">
            <v>3</v>
          </cell>
          <cell r="P272">
            <v>252.5</v>
          </cell>
          <cell r="Q272">
            <v>16</v>
          </cell>
        </row>
        <row r="273">
          <cell r="B273">
            <v>2019</v>
          </cell>
          <cell r="C273">
            <v>18</v>
          </cell>
          <cell r="D273" t="str">
            <v>Kirk Cousins</v>
          </cell>
          <cell r="F273">
            <v>307</v>
          </cell>
          <cell r="G273">
            <v>444</v>
          </cell>
          <cell r="H273">
            <v>69.099999999999994</v>
          </cell>
          <cell r="I273">
            <v>26</v>
          </cell>
          <cell r="J273">
            <v>6</v>
          </cell>
          <cell r="K273">
            <v>28</v>
          </cell>
          <cell r="L273">
            <v>31</v>
          </cell>
          <cell r="M273">
            <v>63</v>
          </cell>
          <cell r="N273">
            <v>1</v>
          </cell>
          <cell r="O273">
            <v>3</v>
          </cell>
          <cell r="P273">
            <v>250.4</v>
          </cell>
          <cell r="Q273">
            <v>15</v>
          </cell>
        </row>
        <row r="274">
          <cell r="B274">
            <v>2019</v>
          </cell>
          <cell r="C274">
            <v>19</v>
          </cell>
          <cell r="D274" t="str">
            <v>Baker Mayfield</v>
          </cell>
          <cell r="F274">
            <v>317</v>
          </cell>
          <cell r="G274">
            <v>534</v>
          </cell>
          <cell r="H274">
            <v>59.4</v>
          </cell>
          <cell r="I274">
            <v>22</v>
          </cell>
          <cell r="J274">
            <v>21</v>
          </cell>
          <cell r="K274">
            <v>40</v>
          </cell>
          <cell r="L274">
            <v>28</v>
          </cell>
          <cell r="M274">
            <v>141</v>
          </cell>
          <cell r="N274">
            <v>3</v>
          </cell>
          <cell r="O274">
            <v>2</v>
          </cell>
          <cell r="P274">
            <v>250.3</v>
          </cell>
          <cell r="Q274">
            <v>16</v>
          </cell>
        </row>
        <row r="275">
          <cell r="B275">
            <v>2019</v>
          </cell>
          <cell r="C275">
            <v>20</v>
          </cell>
          <cell r="D275" t="str">
            <v>Gardner Minshew II</v>
          </cell>
          <cell r="F275">
            <v>285</v>
          </cell>
          <cell r="G275">
            <v>470</v>
          </cell>
          <cell r="H275">
            <v>60.6</v>
          </cell>
          <cell r="I275">
            <v>21</v>
          </cell>
          <cell r="J275">
            <v>6</v>
          </cell>
          <cell r="K275">
            <v>33</v>
          </cell>
          <cell r="L275">
            <v>67</v>
          </cell>
          <cell r="M275">
            <v>344</v>
          </cell>
          <cell r="N275">
            <v>0</v>
          </cell>
          <cell r="O275">
            <v>7</v>
          </cell>
          <cell r="P275">
            <v>235.3</v>
          </cell>
          <cell r="Q275">
            <v>14</v>
          </cell>
        </row>
        <row r="276">
          <cell r="B276">
            <v>2019</v>
          </cell>
          <cell r="C276">
            <v>21</v>
          </cell>
          <cell r="D276" t="str">
            <v>Ryan Tannehill</v>
          </cell>
          <cell r="F276">
            <v>201</v>
          </cell>
          <cell r="G276">
            <v>286</v>
          </cell>
          <cell r="H276">
            <v>70.3</v>
          </cell>
          <cell r="I276">
            <v>22</v>
          </cell>
          <cell r="J276">
            <v>6</v>
          </cell>
          <cell r="K276">
            <v>31</v>
          </cell>
          <cell r="L276">
            <v>43</v>
          </cell>
          <cell r="M276">
            <v>185</v>
          </cell>
          <cell r="N276">
            <v>4</v>
          </cell>
          <cell r="O276">
            <v>3</v>
          </cell>
          <cell r="P276">
            <v>230.2</v>
          </cell>
          <cell r="Q276">
            <v>12</v>
          </cell>
        </row>
        <row r="277">
          <cell r="B277">
            <v>2019</v>
          </cell>
          <cell r="C277">
            <v>22</v>
          </cell>
          <cell r="D277" t="str">
            <v>Drew Brees</v>
          </cell>
          <cell r="F277">
            <v>281</v>
          </cell>
          <cell r="G277">
            <v>378</v>
          </cell>
          <cell r="H277">
            <v>74.3</v>
          </cell>
          <cell r="I277">
            <v>27</v>
          </cell>
          <cell r="J277">
            <v>4</v>
          </cell>
          <cell r="K277">
            <v>12</v>
          </cell>
          <cell r="L277">
            <v>9</v>
          </cell>
          <cell r="M277">
            <v>-4</v>
          </cell>
          <cell r="N277">
            <v>1</v>
          </cell>
          <cell r="O277">
            <v>0</v>
          </cell>
          <cell r="P277">
            <v>228.8</v>
          </cell>
          <cell r="Q277">
            <v>11</v>
          </cell>
        </row>
        <row r="278">
          <cell r="B278">
            <v>2019</v>
          </cell>
          <cell r="C278">
            <v>23</v>
          </cell>
          <cell r="D278" t="str">
            <v>Daniel Jones</v>
          </cell>
          <cell r="F278">
            <v>284</v>
          </cell>
          <cell r="G278">
            <v>459</v>
          </cell>
          <cell r="H278">
            <v>61.9</v>
          </cell>
          <cell r="I278">
            <v>24</v>
          </cell>
          <cell r="J278">
            <v>12</v>
          </cell>
          <cell r="K278">
            <v>38</v>
          </cell>
          <cell r="L278">
            <v>45</v>
          </cell>
          <cell r="M278">
            <v>279</v>
          </cell>
          <cell r="N278">
            <v>2</v>
          </cell>
          <cell r="O278">
            <v>11</v>
          </cell>
          <cell r="P278">
            <v>226.9</v>
          </cell>
          <cell r="Q278">
            <v>13</v>
          </cell>
        </row>
        <row r="279">
          <cell r="B279">
            <v>2019</v>
          </cell>
          <cell r="C279">
            <v>24</v>
          </cell>
          <cell r="D279" t="str">
            <v>Jacoby Brissett</v>
          </cell>
          <cell r="F279">
            <v>272</v>
          </cell>
          <cell r="G279">
            <v>447</v>
          </cell>
          <cell r="H279">
            <v>60.9</v>
          </cell>
          <cell r="I279">
            <v>18</v>
          </cell>
          <cell r="J279">
            <v>6</v>
          </cell>
          <cell r="K279">
            <v>27</v>
          </cell>
          <cell r="L279">
            <v>56</v>
          </cell>
          <cell r="M279">
            <v>228</v>
          </cell>
          <cell r="N279">
            <v>4</v>
          </cell>
          <cell r="O279">
            <v>5</v>
          </cell>
          <cell r="P279">
            <v>223.2</v>
          </cell>
          <cell r="Q279">
            <v>15</v>
          </cell>
        </row>
        <row r="280">
          <cell r="B280">
            <v>2019</v>
          </cell>
          <cell r="C280">
            <v>25</v>
          </cell>
          <cell r="D280" t="str">
            <v>Andy Dalton</v>
          </cell>
          <cell r="F280">
            <v>314</v>
          </cell>
          <cell r="G280">
            <v>528</v>
          </cell>
          <cell r="H280">
            <v>59.5</v>
          </cell>
          <cell r="I280">
            <v>16</v>
          </cell>
          <cell r="J280">
            <v>14</v>
          </cell>
          <cell r="K280">
            <v>37</v>
          </cell>
          <cell r="L280">
            <v>32</v>
          </cell>
          <cell r="M280">
            <v>73</v>
          </cell>
          <cell r="N280">
            <v>4</v>
          </cell>
          <cell r="O280">
            <v>4</v>
          </cell>
          <cell r="P280">
            <v>217</v>
          </cell>
          <cell r="Q280">
            <v>13</v>
          </cell>
        </row>
        <row r="281">
          <cell r="B281">
            <v>2019</v>
          </cell>
          <cell r="C281">
            <v>26</v>
          </cell>
          <cell r="D281" t="str">
            <v>Mitchell Trubisky</v>
          </cell>
          <cell r="F281">
            <v>326</v>
          </cell>
          <cell r="G281">
            <v>516</v>
          </cell>
          <cell r="H281">
            <v>63.2</v>
          </cell>
          <cell r="I281">
            <v>17</v>
          </cell>
          <cell r="J281">
            <v>10</v>
          </cell>
          <cell r="K281">
            <v>38</v>
          </cell>
          <cell r="L281">
            <v>48</v>
          </cell>
          <cell r="M281">
            <v>193</v>
          </cell>
          <cell r="N281">
            <v>2</v>
          </cell>
          <cell r="O281">
            <v>2</v>
          </cell>
          <cell r="P281">
            <v>212.8</v>
          </cell>
          <cell r="Q281">
            <v>15</v>
          </cell>
        </row>
        <row r="282">
          <cell r="B282">
            <v>2019</v>
          </cell>
          <cell r="C282">
            <v>27</v>
          </cell>
          <cell r="D282" t="str">
            <v>Sam Darnold</v>
          </cell>
          <cell r="F282">
            <v>273</v>
          </cell>
          <cell r="G282">
            <v>441</v>
          </cell>
          <cell r="H282">
            <v>61.9</v>
          </cell>
          <cell r="I282">
            <v>19</v>
          </cell>
          <cell r="J282">
            <v>13</v>
          </cell>
          <cell r="K282">
            <v>33</v>
          </cell>
          <cell r="L282">
            <v>33</v>
          </cell>
          <cell r="M282">
            <v>62</v>
          </cell>
          <cell r="N282">
            <v>2</v>
          </cell>
          <cell r="O282">
            <v>3</v>
          </cell>
          <cell r="P282">
            <v>202.1</v>
          </cell>
          <cell r="Q282">
            <v>13</v>
          </cell>
        </row>
        <row r="283">
          <cell r="B283">
            <v>2019</v>
          </cell>
          <cell r="C283">
            <v>28</v>
          </cell>
          <cell r="D283" t="str">
            <v>Kyle Allen</v>
          </cell>
          <cell r="F283">
            <v>303</v>
          </cell>
          <cell r="G283">
            <v>489</v>
          </cell>
          <cell r="H283">
            <v>62</v>
          </cell>
          <cell r="I283">
            <v>17</v>
          </cell>
          <cell r="J283">
            <v>16</v>
          </cell>
          <cell r="K283">
            <v>46</v>
          </cell>
          <cell r="L283">
            <v>32</v>
          </cell>
          <cell r="M283">
            <v>106</v>
          </cell>
          <cell r="N283">
            <v>2</v>
          </cell>
          <cell r="O283">
            <v>7</v>
          </cell>
          <cell r="P283">
            <v>193.4</v>
          </cell>
          <cell r="Q283">
            <v>14</v>
          </cell>
        </row>
        <row r="284">
          <cell r="B284">
            <v>2019</v>
          </cell>
          <cell r="C284">
            <v>29</v>
          </cell>
          <cell r="D284" t="str">
            <v>Matthew Stafford</v>
          </cell>
          <cell r="F284">
            <v>187</v>
          </cell>
          <cell r="G284">
            <v>291</v>
          </cell>
          <cell r="H284">
            <v>64.3</v>
          </cell>
          <cell r="I284">
            <v>19</v>
          </cell>
          <cell r="J284">
            <v>5</v>
          </cell>
          <cell r="K284">
            <v>18</v>
          </cell>
          <cell r="L284">
            <v>20</v>
          </cell>
          <cell r="M284">
            <v>66</v>
          </cell>
          <cell r="N284">
            <v>0</v>
          </cell>
          <cell r="O284">
            <v>3</v>
          </cell>
          <cell r="P284">
            <v>171.5</v>
          </cell>
          <cell r="Q284">
            <v>8</v>
          </cell>
        </row>
        <row r="285">
          <cell r="B285">
            <v>2019</v>
          </cell>
          <cell r="C285">
            <v>30</v>
          </cell>
          <cell r="D285" t="str">
            <v>Mason Rudolph</v>
          </cell>
          <cell r="F285">
            <v>176</v>
          </cell>
          <cell r="G285">
            <v>283</v>
          </cell>
          <cell r="H285">
            <v>62.2</v>
          </cell>
          <cell r="I285">
            <v>13</v>
          </cell>
          <cell r="J285">
            <v>9</v>
          </cell>
          <cell r="K285">
            <v>15</v>
          </cell>
          <cell r="L285">
            <v>21</v>
          </cell>
          <cell r="M285">
            <v>42</v>
          </cell>
          <cell r="N285">
            <v>0</v>
          </cell>
          <cell r="O285">
            <v>0</v>
          </cell>
          <cell r="P285">
            <v>117.8</v>
          </cell>
          <cell r="Q285">
            <v>10</v>
          </cell>
        </row>
        <row r="286">
          <cell r="B286">
            <v>2019</v>
          </cell>
          <cell r="C286">
            <v>31</v>
          </cell>
          <cell r="D286" t="str">
            <v>Case Keenum</v>
          </cell>
          <cell r="F286">
            <v>160</v>
          </cell>
          <cell r="G286">
            <v>247</v>
          </cell>
          <cell r="H286">
            <v>64.8</v>
          </cell>
          <cell r="I286">
            <v>11</v>
          </cell>
          <cell r="J286">
            <v>5</v>
          </cell>
          <cell r="K286">
            <v>15</v>
          </cell>
          <cell r="L286">
            <v>9</v>
          </cell>
          <cell r="M286">
            <v>12</v>
          </cell>
          <cell r="N286">
            <v>1</v>
          </cell>
          <cell r="O286">
            <v>3</v>
          </cell>
          <cell r="P286">
            <v>108.4</v>
          </cell>
          <cell r="Q286">
            <v>10</v>
          </cell>
        </row>
        <row r="287">
          <cell r="B287">
            <v>2019</v>
          </cell>
          <cell r="C287">
            <v>32</v>
          </cell>
          <cell r="D287" t="str">
            <v>Taysom Hill</v>
          </cell>
          <cell r="F287">
            <v>3</v>
          </cell>
          <cell r="G287">
            <v>6</v>
          </cell>
          <cell r="H287">
            <v>50</v>
          </cell>
          <cell r="I287">
            <v>0</v>
          </cell>
          <cell r="J287">
            <v>0</v>
          </cell>
          <cell r="K287">
            <v>1</v>
          </cell>
          <cell r="L287">
            <v>27</v>
          </cell>
          <cell r="M287">
            <v>156</v>
          </cell>
          <cell r="N287">
            <v>1</v>
          </cell>
          <cell r="O287">
            <v>0</v>
          </cell>
          <cell r="P287">
            <v>92.7</v>
          </cell>
          <cell r="Q287">
            <v>16</v>
          </cell>
        </row>
        <row r="288">
          <cell r="B288">
            <v>2019</v>
          </cell>
          <cell r="C288">
            <v>33</v>
          </cell>
          <cell r="D288" t="str">
            <v>Teddy Bridgewater</v>
          </cell>
          <cell r="F288">
            <v>133</v>
          </cell>
          <cell r="G288">
            <v>196</v>
          </cell>
          <cell r="H288">
            <v>67.900000000000006</v>
          </cell>
          <cell r="I288">
            <v>9</v>
          </cell>
          <cell r="J288">
            <v>2</v>
          </cell>
          <cell r="K288">
            <v>12</v>
          </cell>
          <cell r="L288">
            <v>28</v>
          </cell>
          <cell r="M288">
            <v>31</v>
          </cell>
          <cell r="N288">
            <v>0</v>
          </cell>
          <cell r="O288">
            <v>0</v>
          </cell>
          <cell r="P288">
            <v>92.5</v>
          </cell>
          <cell r="Q288">
            <v>10</v>
          </cell>
        </row>
        <row r="289">
          <cell r="B289">
            <v>2019</v>
          </cell>
          <cell r="C289">
            <v>34</v>
          </cell>
          <cell r="D289" t="str">
            <v>Joe Flacco</v>
          </cell>
          <cell r="F289">
            <v>171</v>
          </cell>
          <cell r="G289">
            <v>262</v>
          </cell>
          <cell r="H289">
            <v>65.3</v>
          </cell>
          <cell r="I289">
            <v>6</v>
          </cell>
          <cell r="J289">
            <v>5</v>
          </cell>
          <cell r="K289">
            <v>26</v>
          </cell>
          <cell r="L289">
            <v>12</v>
          </cell>
          <cell r="M289">
            <v>20</v>
          </cell>
          <cell r="N289">
            <v>0</v>
          </cell>
          <cell r="O289">
            <v>3</v>
          </cell>
          <cell r="P289">
            <v>89.9</v>
          </cell>
          <cell r="Q289">
            <v>8</v>
          </cell>
        </row>
        <row r="290">
          <cell r="B290">
            <v>2019</v>
          </cell>
          <cell r="C290">
            <v>35</v>
          </cell>
          <cell r="D290" t="str">
            <v>Marcus Mariota</v>
          </cell>
          <cell r="F290">
            <v>95</v>
          </cell>
          <cell r="G290">
            <v>160</v>
          </cell>
          <cell r="H290">
            <v>59.4</v>
          </cell>
          <cell r="I290">
            <v>7</v>
          </cell>
          <cell r="J290">
            <v>2</v>
          </cell>
          <cell r="K290">
            <v>25</v>
          </cell>
          <cell r="L290">
            <v>24</v>
          </cell>
          <cell r="M290">
            <v>129</v>
          </cell>
          <cell r="N290">
            <v>0</v>
          </cell>
          <cell r="O290">
            <v>0</v>
          </cell>
          <cell r="P290">
            <v>87.1</v>
          </cell>
          <cell r="Q290">
            <v>7</v>
          </cell>
        </row>
        <row r="291">
          <cell r="B291">
            <v>2019</v>
          </cell>
          <cell r="C291">
            <v>36</v>
          </cell>
          <cell r="D291" t="str">
            <v>Dwayne Haskins</v>
          </cell>
          <cell r="F291">
            <v>119</v>
          </cell>
          <cell r="G291">
            <v>203</v>
          </cell>
          <cell r="H291">
            <v>58.6</v>
          </cell>
          <cell r="I291">
            <v>7</v>
          </cell>
          <cell r="J291">
            <v>7</v>
          </cell>
          <cell r="K291">
            <v>29</v>
          </cell>
          <cell r="L291">
            <v>20</v>
          </cell>
          <cell r="M291">
            <v>101</v>
          </cell>
          <cell r="N291">
            <v>0</v>
          </cell>
          <cell r="O291">
            <v>2</v>
          </cell>
          <cell r="P291">
            <v>83.7</v>
          </cell>
          <cell r="Q291">
            <v>9</v>
          </cell>
        </row>
        <row r="292">
          <cell r="B292">
            <v>2019</v>
          </cell>
          <cell r="C292">
            <v>37</v>
          </cell>
          <cell r="D292" t="str">
            <v>Drew Lock</v>
          </cell>
          <cell r="F292">
            <v>100</v>
          </cell>
          <cell r="G292">
            <v>156</v>
          </cell>
          <cell r="H292">
            <v>64.099999999999994</v>
          </cell>
          <cell r="I292">
            <v>7</v>
          </cell>
          <cell r="J292">
            <v>3</v>
          </cell>
          <cell r="K292">
            <v>5</v>
          </cell>
          <cell r="L292">
            <v>18</v>
          </cell>
          <cell r="M292">
            <v>72</v>
          </cell>
          <cell r="N292">
            <v>0</v>
          </cell>
          <cell r="O292">
            <v>1</v>
          </cell>
          <cell r="P292">
            <v>71.099999999999994</v>
          </cell>
          <cell r="Q292">
            <v>5</v>
          </cell>
        </row>
        <row r="293">
          <cell r="B293">
            <v>2019</v>
          </cell>
          <cell r="C293">
            <v>38</v>
          </cell>
          <cell r="D293" t="str">
            <v>Jeff Driskel</v>
          </cell>
          <cell r="F293">
            <v>62</v>
          </cell>
          <cell r="G293">
            <v>105</v>
          </cell>
          <cell r="H293">
            <v>59</v>
          </cell>
          <cell r="I293">
            <v>4</v>
          </cell>
          <cell r="J293">
            <v>4</v>
          </cell>
          <cell r="K293">
            <v>11</v>
          </cell>
          <cell r="L293">
            <v>22</v>
          </cell>
          <cell r="M293">
            <v>151</v>
          </cell>
          <cell r="N293">
            <v>1</v>
          </cell>
          <cell r="O293">
            <v>0</v>
          </cell>
          <cell r="P293">
            <v>61.7</v>
          </cell>
          <cell r="Q293">
            <v>4</v>
          </cell>
        </row>
        <row r="294">
          <cell r="B294">
            <v>2019</v>
          </cell>
          <cell r="C294">
            <v>39</v>
          </cell>
          <cell r="D294" t="str">
            <v>David Blough</v>
          </cell>
          <cell r="F294">
            <v>94</v>
          </cell>
          <cell r="G294">
            <v>174</v>
          </cell>
          <cell r="H294">
            <v>54</v>
          </cell>
          <cell r="I294">
            <v>4</v>
          </cell>
          <cell r="J294">
            <v>6</v>
          </cell>
          <cell r="K294">
            <v>14</v>
          </cell>
          <cell r="L294">
            <v>8</v>
          </cell>
          <cell r="M294">
            <v>31</v>
          </cell>
          <cell r="N294">
            <v>0</v>
          </cell>
          <cell r="O294">
            <v>0</v>
          </cell>
          <cell r="P294">
            <v>60.9</v>
          </cell>
          <cell r="Q294">
            <v>5</v>
          </cell>
        </row>
        <row r="295">
          <cell r="B295">
            <v>2019</v>
          </cell>
          <cell r="C295">
            <v>40</v>
          </cell>
          <cell r="D295" t="str">
            <v>Devlin Hodges</v>
          </cell>
          <cell r="F295">
            <v>100</v>
          </cell>
          <cell r="G295">
            <v>160</v>
          </cell>
          <cell r="H295">
            <v>62.5</v>
          </cell>
          <cell r="I295">
            <v>5</v>
          </cell>
          <cell r="J295">
            <v>8</v>
          </cell>
          <cell r="K295">
            <v>15</v>
          </cell>
          <cell r="L295">
            <v>21</v>
          </cell>
          <cell r="M295">
            <v>68</v>
          </cell>
          <cell r="N295">
            <v>0</v>
          </cell>
          <cell r="O295">
            <v>1</v>
          </cell>
          <cell r="P295">
            <v>59.4</v>
          </cell>
          <cell r="Q295">
            <v>8</v>
          </cell>
        </row>
        <row r="296">
          <cell r="B296">
            <v>2019</v>
          </cell>
          <cell r="C296">
            <v>41</v>
          </cell>
          <cell r="D296" t="str">
            <v>Eli Manning</v>
          </cell>
          <cell r="F296">
            <v>91</v>
          </cell>
          <cell r="G296">
            <v>147</v>
          </cell>
          <cell r="H296">
            <v>61.9</v>
          </cell>
          <cell r="I296">
            <v>6</v>
          </cell>
          <cell r="J296">
            <v>5</v>
          </cell>
          <cell r="K296">
            <v>5</v>
          </cell>
          <cell r="L296">
            <v>4</v>
          </cell>
          <cell r="M296">
            <v>7</v>
          </cell>
          <cell r="N296">
            <v>0</v>
          </cell>
          <cell r="O296">
            <v>1</v>
          </cell>
          <cell r="P296">
            <v>59.3</v>
          </cell>
          <cell r="Q296">
            <v>4</v>
          </cell>
        </row>
        <row r="297">
          <cell r="B297">
            <v>2019</v>
          </cell>
          <cell r="C297">
            <v>42</v>
          </cell>
          <cell r="D297" t="str">
            <v>Matt Moore</v>
          </cell>
          <cell r="F297">
            <v>59</v>
          </cell>
          <cell r="G297">
            <v>91</v>
          </cell>
          <cell r="H297">
            <v>64.8</v>
          </cell>
          <cell r="I297">
            <v>4</v>
          </cell>
          <cell r="J297">
            <v>0</v>
          </cell>
          <cell r="K297">
            <v>8</v>
          </cell>
          <cell r="L297">
            <v>5</v>
          </cell>
          <cell r="M297">
            <v>-1</v>
          </cell>
          <cell r="N297">
            <v>0</v>
          </cell>
          <cell r="O297">
            <v>0</v>
          </cell>
          <cell r="P297">
            <v>42.3</v>
          </cell>
          <cell r="Q297">
            <v>6</v>
          </cell>
        </row>
        <row r="298">
          <cell r="B298">
            <v>2019</v>
          </cell>
          <cell r="C298">
            <v>43</v>
          </cell>
          <cell r="D298" t="str">
            <v>Nick Foles</v>
          </cell>
          <cell r="F298">
            <v>77</v>
          </cell>
          <cell r="G298">
            <v>117</v>
          </cell>
          <cell r="H298">
            <v>65.8</v>
          </cell>
          <cell r="I298">
            <v>3</v>
          </cell>
          <cell r="J298">
            <v>2</v>
          </cell>
          <cell r="K298">
            <v>8</v>
          </cell>
          <cell r="L298">
            <v>4</v>
          </cell>
          <cell r="M298">
            <v>23</v>
          </cell>
          <cell r="N298">
            <v>0</v>
          </cell>
          <cell r="O298">
            <v>2</v>
          </cell>
          <cell r="P298">
            <v>39.700000000000003</v>
          </cell>
          <cell r="Q298">
            <v>4</v>
          </cell>
        </row>
        <row r="299">
          <cell r="B299">
            <v>2019</v>
          </cell>
          <cell r="C299">
            <v>44</v>
          </cell>
          <cell r="D299" t="str">
            <v>Brandon Allen</v>
          </cell>
          <cell r="F299">
            <v>39</v>
          </cell>
          <cell r="G299">
            <v>84</v>
          </cell>
          <cell r="H299">
            <v>46.4</v>
          </cell>
          <cell r="I299">
            <v>3</v>
          </cell>
          <cell r="J299">
            <v>2</v>
          </cell>
          <cell r="K299">
            <v>9</v>
          </cell>
          <cell r="L299">
            <v>10</v>
          </cell>
          <cell r="M299">
            <v>39</v>
          </cell>
          <cell r="N299">
            <v>0</v>
          </cell>
          <cell r="O299">
            <v>0</v>
          </cell>
          <cell r="P299">
            <v>34.5</v>
          </cell>
          <cell r="Q299">
            <v>3</v>
          </cell>
        </row>
        <row r="300">
          <cell r="B300">
            <v>2019</v>
          </cell>
          <cell r="C300">
            <v>45</v>
          </cell>
          <cell r="D300" t="str">
            <v>Matt Schaub</v>
          </cell>
          <cell r="F300">
            <v>50</v>
          </cell>
          <cell r="G300">
            <v>67</v>
          </cell>
          <cell r="H300">
            <v>74.599999999999994</v>
          </cell>
          <cell r="I300">
            <v>3</v>
          </cell>
          <cell r="J300">
            <v>1</v>
          </cell>
          <cell r="K300">
            <v>2</v>
          </cell>
          <cell r="L300">
            <v>3</v>
          </cell>
          <cell r="M300">
            <v>-3</v>
          </cell>
          <cell r="N300">
            <v>0</v>
          </cell>
          <cell r="O300">
            <v>1</v>
          </cell>
          <cell r="P300">
            <v>33.9</v>
          </cell>
          <cell r="Q300">
            <v>7</v>
          </cell>
        </row>
        <row r="301">
          <cell r="B301">
            <v>2019</v>
          </cell>
          <cell r="C301">
            <v>46</v>
          </cell>
          <cell r="D301" t="str">
            <v>Chase Daniel</v>
          </cell>
          <cell r="F301">
            <v>45</v>
          </cell>
          <cell r="G301">
            <v>64</v>
          </cell>
          <cell r="H301">
            <v>70.3</v>
          </cell>
          <cell r="I301">
            <v>3</v>
          </cell>
          <cell r="J301">
            <v>2</v>
          </cell>
          <cell r="K301">
            <v>7</v>
          </cell>
          <cell r="L301">
            <v>6</v>
          </cell>
          <cell r="M301">
            <v>6</v>
          </cell>
          <cell r="N301">
            <v>0</v>
          </cell>
          <cell r="O301">
            <v>0</v>
          </cell>
          <cell r="P301">
            <v>28</v>
          </cell>
          <cell r="Q301">
            <v>5</v>
          </cell>
        </row>
        <row r="302">
          <cell r="B302">
            <v>2019</v>
          </cell>
          <cell r="C302">
            <v>47</v>
          </cell>
          <cell r="D302" t="str">
            <v>Ryan Finley</v>
          </cell>
          <cell r="F302">
            <v>41</v>
          </cell>
          <cell r="G302">
            <v>87</v>
          </cell>
          <cell r="H302">
            <v>47.1</v>
          </cell>
          <cell r="I302">
            <v>2</v>
          </cell>
          <cell r="J302">
            <v>2</v>
          </cell>
          <cell r="K302">
            <v>11</v>
          </cell>
          <cell r="L302">
            <v>10</v>
          </cell>
          <cell r="M302">
            <v>77</v>
          </cell>
          <cell r="N302">
            <v>0</v>
          </cell>
          <cell r="O302">
            <v>3</v>
          </cell>
          <cell r="P302">
            <v>26.7</v>
          </cell>
          <cell r="Q302">
            <v>3</v>
          </cell>
        </row>
        <row r="303">
          <cell r="B303">
            <v>2019</v>
          </cell>
          <cell r="C303">
            <v>48</v>
          </cell>
          <cell r="D303" t="str">
            <v>Brian Hoyer</v>
          </cell>
          <cell r="F303">
            <v>35</v>
          </cell>
          <cell r="G303">
            <v>65</v>
          </cell>
          <cell r="H303">
            <v>53.8</v>
          </cell>
          <cell r="I303">
            <v>4</v>
          </cell>
          <cell r="J303">
            <v>4</v>
          </cell>
          <cell r="K303">
            <v>5</v>
          </cell>
          <cell r="L303">
            <v>8</v>
          </cell>
          <cell r="M303">
            <v>2</v>
          </cell>
          <cell r="N303">
            <v>0</v>
          </cell>
          <cell r="O303">
            <v>1</v>
          </cell>
          <cell r="P303">
            <v>25.1</v>
          </cell>
          <cell r="Q303">
            <v>5</v>
          </cell>
        </row>
        <row r="304">
          <cell r="B304">
            <v>2019</v>
          </cell>
          <cell r="C304">
            <v>49</v>
          </cell>
          <cell r="D304" t="str">
            <v>Josh Rosen</v>
          </cell>
          <cell r="F304">
            <v>58</v>
          </cell>
          <cell r="G304">
            <v>109</v>
          </cell>
          <cell r="H304">
            <v>53.2</v>
          </cell>
          <cell r="I304">
            <v>1</v>
          </cell>
          <cell r="J304">
            <v>5</v>
          </cell>
          <cell r="K304">
            <v>16</v>
          </cell>
          <cell r="L304">
            <v>3</v>
          </cell>
          <cell r="M304">
            <v>13</v>
          </cell>
          <cell r="N304">
            <v>0</v>
          </cell>
          <cell r="O304">
            <v>0</v>
          </cell>
          <cell r="P304">
            <v>23</v>
          </cell>
          <cell r="Q304">
            <v>6</v>
          </cell>
        </row>
        <row r="305">
          <cell r="B305">
            <v>2019</v>
          </cell>
          <cell r="C305">
            <v>50</v>
          </cell>
          <cell r="D305" t="str">
            <v>Robert Griffin III</v>
          </cell>
          <cell r="F305">
            <v>23</v>
          </cell>
          <cell r="G305">
            <v>38</v>
          </cell>
          <cell r="H305">
            <v>60.5</v>
          </cell>
          <cell r="I305">
            <v>1</v>
          </cell>
          <cell r="J305">
            <v>2</v>
          </cell>
          <cell r="K305">
            <v>5</v>
          </cell>
          <cell r="L305">
            <v>20</v>
          </cell>
          <cell r="M305">
            <v>70</v>
          </cell>
          <cell r="N305">
            <v>0</v>
          </cell>
          <cell r="O305">
            <v>0</v>
          </cell>
          <cell r="P305">
            <v>18</v>
          </cell>
          <cell r="Q305">
            <v>7</v>
          </cell>
        </row>
        <row r="306">
          <cell r="B306">
            <v>2019</v>
          </cell>
          <cell r="C306">
            <v>51</v>
          </cell>
          <cell r="D306" t="str">
            <v>AJ McCarron</v>
          </cell>
          <cell r="F306">
            <v>21</v>
          </cell>
          <cell r="G306">
            <v>37</v>
          </cell>
          <cell r="H306">
            <v>56.8</v>
          </cell>
          <cell r="I306">
            <v>0</v>
          </cell>
          <cell r="J306">
            <v>1</v>
          </cell>
          <cell r="K306">
            <v>5</v>
          </cell>
          <cell r="L306">
            <v>5</v>
          </cell>
          <cell r="M306">
            <v>39</v>
          </cell>
          <cell r="N306">
            <v>1</v>
          </cell>
          <cell r="O306">
            <v>0</v>
          </cell>
          <cell r="P306">
            <v>17.899999999999999</v>
          </cell>
          <cell r="Q306">
            <v>3</v>
          </cell>
        </row>
        <row r="307">
          <cell r="B307">
            <v>2019</v>
          </cell>
          <cell r="C307">
            <v>52</v>
          </cell>
          <cell r="D307" t="str">
            <v>Cam Newton</v>
          </cell>
          <cell r="F307">
            <v>50</v>
          </cell>
          <cell r="G307">
            <v>89</v>
          </cell>
          <cell r="H307">
            <v>56.2</v>
          </cell>
          <cell r="I307">
            <v>0</v>
          </cell>
          <cell r="J307">
            <v>1</v>
          </cell>
          <cell r="K307">
            <v>6</v>
          </cell>
          <cell r="L307">
            <v>5</v>
          </cell>
          <cell r="M307">
            <v>-2</v>
          </cell>
          <cell r="N307">
            <v>0</v>
          </cell>
          <cell r="O307">
            <v>2</v>
          </cell>
          <cell r="P307">
            <v>17.7</v>
          </cell>
          <cell r="Q307">
            <v>2</v>
          </cell>
        </row>
        <row r="308">
          <cell r="B308">
            <v>2019</v>
          </cell>
          <cell r="C308">
            <v>53</v>
          </cell>
          <cell r="D308" t="str">
            <v>Ben Roethlisberger</v>
          </cell>
          <cell r="F308">
            <v>35</v>
          </cell>
          <cell r="G308">
            <v>62</v>
          </cell>
          <cell r="H308">
            <v>56.5</v>
          </cell>
          <cell r="I308">
            <v>0</v>
          </cell>
          <cell r="J308">
            <v>1</v>
          </cell>
          <cell r="K308">
            <v>2</v>
          </cell>
          <cell r="L308">
            <v>1</v>
          </cell>
          <cell r="M308">
            <v>7</v>
          </cell>
          <cell r="N308">
            <v>0</v>
          </cell>
          <cell r="O308">
            <v>0</v>
          </cell>
          <cell r="P308">
            <v>13.7</v>
          </cell>
          <cell r="Q308">
            <v>2</v>
          </cell>
        </row>
        <row r="309">
          <cell r="B309">
            <v>2019</v>
          </cell>
          <cell r="C309">
            <v>54</v>
          </cell>
          <cell r="D309" t="str">
            <v>Luke Falk</v>
          </cell>
          <cell r="F309">
            <v>47</v>
          </cell>
          <cell r="G309">
            <v>73</v>
          </cell>
          <cell r="H309">
            <v>64.400000000000006</v>
          </cell>
          <cell r="I309">
            <v>0</v>
          </cell>
          <cell r="J309">
            <v>3</v>
          </cell>
          <cell r="K309">
            <v>16</v>
          </cell>
          <cell r="L309">
            <v>0</v>
          </cell>
          <cell r="M309">
            <v>0</v>
          </cell>
          <cell r="N309">
            <v>0</v>
          </cell>
          <cell r="O309">
            <v>1</v>
          </cell>
          <cell r="P309">
            <v>11.6</v>
          </cell>
          <cell r="Q309">
            <v>3</v>
          </cell>
        </row>
        <row r="310">
          <cell r="B310">
            <v>2019</v>
          </cell>
          <cell r="C310">
            <v>55</v>
          </cell>
          <cell r="D310" t="str">
            <v>Matt Barkley</v>
          </cell>
          <cell r="F310">
            <v>27</v>
          </cell>
          <cell r="G310">
            <v>51</v>
          </cell>
          <cell r="H310">
            <v>52.9</v>
          </cell>
          <cell r="I310">
            <v>0</v>
          </cell>
          <cell r="J310">
            <v>3</v>
          </cell>
          <cell r="K310">
            <v>2</v>
          </cell>
          <cell r="L310">
            <v>2</v>
          </cell>
          <cell r="M310">
            <v>-4</v>
          </cell>
          <cell r="N310">
            <v>0</v>
          </cell>
          <cell r="O310">
            <v>1</v>
          </cell>
          <cell r="P310">
            <v>9</v>
          </cell>
          <cell r="Q310">
            <v>3</v>
          </cell>
        </row>
        <row r="311">
          <cell r="B311">
            <v>2019</v>
          </cell>
          <cell r="C311">
            <v>56</v>
          </cell>
          <cell r="D311" t="str">
            <v>Brett Hundley</v>
          </cell>
          <cell r="F311">
            <v>5</v>
          </cell>
          <cell r="G311">
            <v>11</v>
          </cell>
          <cell r="H311">
            <v>45.5</v>
          </cell>
          <cell r="I311">
            <v>0</v>
          </cell>
          <cell r="J311">
            <v>0</v>
          </cell>
          <cell r="K311">
            <v>2</v>
          </cell>
          <cell r="L311">
            <v>7</v>
          </cell>
          <cell r="M311">
            <v>41</v>
          </cell>
          <cell r="N311">
            <v>0</v>
          </cell>
          <cell r="O311">
            <v>0</v>
          </cell>
          <cell r="P311">
            <v>6.1</v>
          </cell>
          <cell r="Q311">
            <v>3</v>
          </cell>
        </row>
        <row r="312">
          <cell r="B312">
            <v>2019</v>
          </cell>
          <cell r="C312">
            <v>57</v>
          </cell>
          <cell r="D312" t="str">
            <v>Tyrod Taylor</v>
          </cell>
          <cell r="F312">
            <v>4</v>
          </cell>
          <cell r="G312">
            <v>6</v>
          </cell>
          <cell r="H312">
            <v>66.7</v>
          </cell>
          <cell r="I312">
            <v>1</v>
          </cell>
          <cell r="J312">
            <v>0</v>
          </cell>
          <cell r="K312">
            <v>0</v>
          </cell>
          <cell r="L312">
            <v>10</v>
          </cell>
          <cell r="M312">
            <v>7</v>
          </cell>
          <cell r="N312">
            <v>0</v>
          </cell>
          <cell r="O312">
            <v>0</v>
          </cell>
          <cell r="P312">
            <v>6</v>
          </cell>
          <cell r="Q312">
            <v>8</v>
          </cell>
        </row>
        <row r="313">
          <cell r="B313">
            <v>2019</v>
          </cell>
          <cell r="C313">
            <v>58</v>
          </cell>
          <cell r="D313" t="str">
            <v>Will Grier</v>
          </cell>
          <cell r="F313">
            <v>28</v>
          </cell>
          <cell r="G313">
            <v>52</v>
          </cell>
          <cell r="H313">
            <v>53.8</v>
          </cell>
          <cell r="I313">
            <v>0</v>
          </cell>
          <cell r="J313">
            <v>4</v>
          </cell>
          <cell r="K313">
            <v>6</v>
          </cell>
          <cell r="L313">
            <v>7</v>
          </cell>
          <cell r="M313">
            <v>22</v>
          </cell>
          <cell r="N313">
            <v>0</v>
          </cell>
          <cell r="O313">
            <v>1</v>
          </cell>
          <cell r="P313">
            <v>5.4</v>
          </cell>
          <cell r="Q313">
            <v>2</v>
          </cell>
        </row>
        <row r="314">
          <cell r="B314">
            <v>2019</v>
          </cell>
          <cell r="C314">
            <v>59</v>
          </cell>
          <cell r="D314" t="str">
            <v>Colt McCoy</v>
          </cell>
          <cell r="F314">
            <v>18</v>
          </cell>
          <cell r="G314">
            <v>27</v>
          </cell>
          <cell r="H314">
            <v>66.7</v>
          </cell>
          <cell r="I314">
            <v>0</v>
          </cell>
          <cell r="J314">
            <v>1</v>
          </cell>
          <cell r="K314">
            <v>6</v>
          </cell>
          <cell r="L314">
            <v>2</v>
          </cell>
          <cell r="M314">
            <v>14</v>
          </cell>
          <cell r="N314">
            <v>0</v>
          </cell>
          <cell r="O314">
            <v>0</v>
          </cell>
          <cell r="P314">
            <v>5.3</v>
          </cell>
          <cell r="Q314">
            <v>2</v>
          </cell>
        </row>
        <row r="315">
          <cell r="B315">
            <v>2019</v>
          </cell>
          <cell r="C315">
            <v>60</v>
          </cell>
          <cell r="D315" t="str">
            <v>Mike Glennon</v>
          </cell>
          <cell r="F315">
            <v>6</v>
          </cell>
          <cell r="G315">
            <v>10</v>
          </cell>
          <cell r="H315">
            <v>60</v>
          </cell>
          <cell r="I315">
            <v>1</v>
          </cell>
          <cell r="J315">
            <v>0</v>
          </cell>
          <cell r="K315">
            <v>0</v>
          </cell>
          <cell r="L315">
            <v>2</v>
          </cell>
          <cell r="M315">
            <v>0</v>
          </cell>
          <cell r="N315">
            <v>0</v>
          </cell>
          <cell r="O315">
            <v>1</v>
          </cell>
          <cell r="P315">
            <v>4.2</v>
          </cell>
          <cell r="Q315">
            <v>3</v>
          </cell>
        </row>
        <row r="316">
          <cell r="B316">
            <v>2019</v>
          </cell>
          <cell r="C316">
            <v>61</v>
          </cell>
          <cell r="D316" t="str">
            <v>Josh McCown</v>
          </cell>
          <cell r="F316">
            <v>3</v>
          </cell>
          <cell r="G316">
            <v>5</v>
          </cell>
          <cell r="H316">
            <v>60</v>
          </cell>
          <cell r="I316">
            <v>0</v>
          </cell>
          <cell r="J316">
            <v>0</v>
          </cell>
          <cell r="K316">
            <v>0</v>
          </cell>
          <cell r="L316">
            <v>2</v>
          </cell>
          <cell r="M316">
            <v>-2</v>
          </cell>
          <cell r="N316">
            <v>0</v>
          </cell>
          <cell r="O316">
            <v>0</v>
          </cell>
          <cell r="P316">
            <v>0.8</v>
          </cell>
          <cell r="Q316">
            <v>3</v>
          </cell>
        </row>
        <row r="317">
          <cell r="B317">
            <v>2019</v>
          </cell>
          <cell r="C317">
            <v>62</v>
          </cell>
          <cell r="D317" t="str">
            <v>Ryan Griffin</v>
          </cell>
          <cell r="F317">
            <v>2</v>
          </cell>
          <cell r="G317">
            <v>4</v>
          </cell>
          <cell r="H317">
            <v>50</v>
          </cell>
          <cell r="I317">
            <v>0</v>
          </cell>
          <cell r="J317">
            <v>0</v>
          </cell>
          <cell r="K317">
            <v>0</v>
          </cell>
          <cell r="L317">
            <v>4</v>
          </cell>
          <cell r="M317">
            <v>-1</v>
          </cell>
          <cell r="N317">
            <v>0</v>
          </cell>
          <cell r="O317">
            <v>0</v>
          </cell>
          <cell r="P317">
            <v>0.6</v>
          </cell>
          <cell r="Q317">
            <v>2</v>
          </cell>
        </row>
        <row r="318">
          <cell r="B318">
            <v>2019</v>
          </cell>
          <cell r="C318">
            <v>63</v>
          </cell>
          <cell r="D318" t="str">
            <v>Sean Mannion</v>
          </cell>
          <cell r="F318">
            <v>12</v>
          </cell>
          <cell r="G318">
            <v>21</v>
          </cell>
          <cell r="H318">
            <v>57.1</v>
          </cell>
          <cell r="I318">
            <v>0</v>
          </cell>
          <cell r="J318">
            <v>2</v>
          </cell>
          <cell r="K318">
            <v>0</v>
          </cell>
          <cell r="L318">
            <v>6</v>
          </cell>
          <cell r="M318">
            <v>-5</v>
          </cell>
          <cell r="N318">
            <v>0</v>
          </cell>
          <cell r="O318">
            <v>1</v>
          </cell>
          <cell r="P318">
            <v>0.5</v>
          </cell>
          <cell r="Q318">
            <v>3</v>
          </cell>
        </row>
        <row r="319">
          <cell r="B319">
            <v>2019</v>
          </cell>
          <cell r="C319">
            <v>64</v>
          </cell>
          <cell r="D319" t="str">
            <v>Trevor Siemian</v>
          </cell>
          <cell r="F319">
            <v>3</v>
          </cell>
          <cell r="G319">
            <v>6</v>
          </cell>
          <cell r="H319">
            <v>50</v>
          </cell>
          <cell r="I319">
            <v>0</v>
          </cell>
          <cell r="J319">
            <v>0</v>
          </cell>
          <cell r="K319">
            <v>2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0.1</v>
          </cell>
          <cell r="Q319">
            <v>1</v>
          </cell>
        </row>
        <row r="320">
          <cell r="B320">
            <v>2019</v>
          </cell>
          <cell r="C320">
            <v>65</v>
          </cell>
          <cell r="D320" t="str">
            <v>Trace McSorley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1</v>
          </cell>
          <cell r="M320">
            <v>1</v>
          </cell>
          <cell r="N320">
            <v>0</v>
          </cell>
          <cell r="O320">
            <v>0</v>
          </cell>
          <cell r="P320">
            <v>0.1</v>
          </cell>
          <cell r="Q320">
            <v>1</v>
          </cell>
        </row>
        <row r="326">
          <cell r="B326">
            <v>2019</v>
          </cell>
          <cell r="C326">
            <v>71</v>
          </cell>
          <cell r="D326" t="str">
            <v>Drew Anderson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1</v>
          </cell>
        </row>
        <row r="364">
          <cell r="B364">
            <v>2019</v>
          </cell>
          <cell r="C364">
            <v>109</v>
          </cell>
          <cell r="D364" t="str">
            <v>Andrew Luck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1</v>
          </cell>
        </row>
        <row r="365">
          <cell r="B365">
            <v>2019</v>
          </cell>
          <cell r="C365">
            <v>110</v>
          </cell>
          <cell r="D365" t="str">
            <v>Brandon Weeden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</v>
          </cell>
        </row>
        <row r="366">
          <cell r="B366">
            <v>2019</v>
          </cell>
          <cell r="C366">
            <v>111</v>
          </cell>
          <cell r="D366" t="str">
            <v>Brock Osweiler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1</v>
          </cell>
        </row>
        <row r="367">
          <cell r="B367">
            <v>2019</v>
          </cell>
          <cell r="C367">
            <v>112</v>
          </cell>
          <cell r="D367" t="str">
            <v>Alex Tanney</v>
          </cell>
          <cell r="F367">
            <v>1</v>
          </cell>
          <cell r="G367">
            <v>1</v>
          </cell>
          <cell r="H367">
            <v>100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1</v>
          </cell>
        </row>
        <row r="371">
          <cell r="B371">
            <v>2019</v>
          </cell>
          <cell r="C371">
            <v>116</v>
          </cell>
          <cell r="D371" t="str">
            <v>Chad Henne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1</v>
          </cell>
        </row>
        <row r="372">
          <cell r="B372">
            <v>2019</v>
          </cell>
          <cell r="C372">
            <v>117</v>
          </cell>
          <cell r="D372" t="str">
            <v>Sam Bradford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1</v>
          </cell>
        </row>
        <row r="373">
          <cell r="B373">
            <v>2019</v>
          </cell>
          <cell r="C373">
            <v>118</v>
          </cell>
          <cell r="D373" t="str">
            <v>Joe Webb III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1</v>
          </cell>
        </row>
        <row r="374">
          <cell r="B374">
            <v>2019</v>
          </cell>
          <cell r="C374">
            <v>119</v>
          </cell>
          <cell r="D374" t="str">
            <v>Mark Sanchez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1</v>
          </cell>
        </row>
        <row r="375">
          <cell r="B375">
            <v>2019</v>
          </cell>
          <cell r="C375">
            <v>120</v>
          </cell>
          <cell r="D375" t="str">
            <v>Matt Cassel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1</v>
          </cell>
        </row>
        <row r="377">
          <cell r="B377">
            <v>2019</v>
          </cell>
          <cell r="C377">
            <v>122</v>
          </cell>
          <cell r="D377" t="str">
            <v>C.J. Beathard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</v>
          </cell>
        </row>
        <row r="379">
          <cell r="B379">
            <v>2019</v>
          </cell>
          <cell r="C379">
            <v>124</v>
          </cell>
          <cell r="D379" t="str">
            <v>Joshua Dobbs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</v>
          </cell>
        </row>
        <row r="380">
          <cell r="B380">
            <v>2019</v>
          </cell>
          <cell r="C380">
            <v>125</v>
          </cell>
          <cell r="D380" t="str">
            <v>Chad Kelly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1</v>
          </cell>
        </row>
        <row r="382">
          <cell r="B382">
            <v>2019</v>
          </cell>
          <cell r="C382">
            <v>127</v>
          </cell>
          <cell r="D382" t="str">
            <v>Nate Sudfeld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</row>
        <row r="383">
          <cell r="B383">
            <v>2019</v>
          </cell>
          <cell r="C383">
            <v>128</v>
          </cell>
          <cell r="D383" t="str">
            <v>Cooper Rush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2</v>
          </cell>
        </row>
        <row r="388">
          <cell r="B388">
            <v>2019</v>
          </cell>
          <cell r="C388">
            <v>133</v>
          </cell>
          <cell r="D388" t="str">
            <v>Alex Smith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1</v>
          </cell>
        </row>
        <row r="390">
          <cell r="B390">
            <v>2019</v>
          </cell>
          <cell r="C390">
            <v>135</v>
          </cell>
          <cell r="D390" t="str">
            <v>James Franklin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1</v>
          </cell>
        </row>
        <row r="391">
          <cell r="B391">
            <v>2019</v>
          </cell>
          <cell r="C391">
            <v>136</v>
          </cell>
          <cell r="D391" t="str">
            <v>David Fales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1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2</v>
          </cell>
        </row>
        <row r="393">
          <cell r="B393">
            <v>2019</v>
          </cell>
          <cell r="C393">
            <v>138</v>
          </cell>
          <cell r="D393" t="str">
            <v>Geno Smith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</row>
        <row r="395">
          <cell r="B395">
            <v>2019</v>
          </cell>
          <cell r="C395">
            <v>140</v>
          </cell>
          <cell r="D395" t="str">
            <v>Taylor Heinicke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1</v>
          </cell>
        </row>
        <row r="396">
          <cell r="B396">
            <v>2019</v>
          </cell>
          <cell r="C396">
            <v>141</v>
          </cell>
          <cell r="D396" t="str">
            <v>Tim Boyle</v>
          </cell>
          <cell r="F396">
            <v>3</v>
          </cell>
          <cell r="G396">
            <v>4</v>
          </cell>
          <cell r="H396">
            <v>75</v>
          </cell>
          <cell r="I396">
            <v>0</v>
          </cell>
          <cell r="J396">
            <v>0</v>
          </cell>
          <cell r="K396">
            <v>0</v>
          </cell>
          <cell r="L396">
            <v>5</v>
          </cell>
          <cell r="M396">
            <v>-7</v>
          </cell>
          <cell r="N396">
            <v>0</v>
          </cell>
          <cell r="O396">
            <v>0</v>
          </cell>
          <cell r="P396">
            <v>-0.1</v>
          </cell>
          <cell r="Q396">
            <v>3</v>
          </cell>
        </row>
        <row r="397">
          <cell r="B397">
            <v>2019</v>
          </cell>
          <cell r="C397">
            <v>142</v>
          </cell>
          <cell r="D397" t="str">
            <v>Nick Mullens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3</v>
          </cell>
          <cell r="M397">
            <v>-3</v>
          </cell>
          <cell r="N397">
            <v>0</v>
          </cell>
          <cell r="O397">
            <v>0</v>
          </cell>
          <cell r="P397">
            <v>-0.3</v>
          </cell>
          <cell r="Q397">
            <v>2</v>
          </cell>
        </row>
        <row r="398">
          <cell r="B398">
            <v>2019</v>
          </cell>
          <cell r="C398">
            <v>143</v>
          </cell>
          <cell r="D398" t="str">
            <v>Garrett Gilbert</v>
          </cell>
          <cell r="F398">
            <v>0</v>
          </cell>
          <cell r="G398">
            <v>3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3</v>
          </cell>
          <cell r="M398">
            <v>-3</v>
          </cell>
          <cell r="N398">
            <v>0</v>
          </cell>
          <cell r="O398">
            <v>0</v>
          </cell>
          <cell r="P398">
            <v>-0.3</v>
          </cell>
          <cell r="Q398">
            <v>6</v>
          </cell>
        </row>
        <row r="399">
          <cell r="B399">
            <v>2019</v>
          </cell>
          <cell r="C399">
            <v>144</v>
          </cell>
          <cell r="D399" t="str">
            <v>Jarrett Stidham</v>
          </cell>
          <cell r="F399">
            <v>2</v>
          </cell>
          <cell r="G399">
            <v>4</v>
          </cell>
          <cell r="H399">
            <v>50</v>
          </cell>
          <cell r="I399">
            <v>0</v>
          </cell>
          <cell r="J399">
            <v>1</v>
          </cell>
          <cell r="K399">
            <v>1</v>
          </cell>
          <cell r="L399">
            <v>2</v>
          </cell>
          <cell r="M399">
            <v>-2</v>
          </cell>
          <cell r="N399">
            <v>0</v>
          </cell>
          <cell r="O399">
            <v>0</v>
          </cell>
          <cell r="P399">
            <v>-0.6</v>
          </cell>
          <cell r="Q399">
            <v>3</v>
          </cell>
        </row>
        <row r="400">
          <cell r="B400">
            <v>2019</v>
          </cell>
          <cell r="C400">
            <v>145</v>
          </cell>
          <cell r="D400" t="str">
            <v>Blake Bortles</v>
          </cell>
          <cell r="F400">
            <v>1</v>
          </cell>
          <cell r="G400">
            <v>2</v>
          </cell>
          <cell r="H400">
            <v>50</v>
          </cell>
          <cell r="I400">
            <v>0</v>
          </cell>
          <cell r="J400">
            <v>0</v>
          </cell>
          <cell r="K400">
            <v>0</v>
          </cell>
          <cell r="L400">
            <v>2</v>
          </cell>
          <cell r="M400">
            <v>-9</v>
          </cell>
          <cell r="N400">
            <v>0</v>
          </cell>
          <cell r="O400">
            <v>0</v>
          </cell>
          <cell r="P400">
            <v>-0.8</v>
          </cell>
          <cell r="Q400">
            <v>4</v>
          </cell>
        </row>
        <row r="401">
          <cell r="B401">
            <v>2018</v>
          </cell>
          <cell r="C401">
            <v>1</v>
          </cell>
          <cell r="D401" t="str">
            <v>Patrick Mahomes II</v>
          </cell>
          <cell r="F401">
            <v>383</v>
          </cell>
          <cell r="G401">
            <v>580</v>
          </cell>
          <cell r="H401">
            <v>66</v>
          </cell>
          <cell r="I401">
            <v>50</v>
          </cell>
          <cell r="J401">
            <v>12</v>
          </cell>
          <cell r="K401">
            <v>26</v>
          </cell>
          <cell r="L401">
            <v>60</v>
          </cell>
          <cell r="M401">
            <v>272</v>
          </cell>
          <cell r="N401">
            <v>2</v>
          </cell>
          <cell r="O401">
            <v>2</v>
          </cell>
          <cell r="P401">
            <v>417</v>
          </cell>
          <cell r="Q401">
            <v>16</v>
          </cell>
        </row>
        <row r="402">
          <cell r="B402">
            <v>2018</v>
          </cell>
          <cell r="C402">
            <v>2</v>
          </cell>
          <cell r="D402" t="str">
            <v>Matt Ryan</v>
          </cell>
          <cell r="F402">
            <v>422</v>
          </cell>
          <cell r="G402">
            <v>608</v>
          </cell>
          <cell r="H402">
            <v>69.400000000000006</v>
          </cell>
          <cell r="I402">
            <v>35</v>
          </cell>
          <cell r="J402">
            <v>7</v>
          </cell>
          <cell r="K402">
            <v>42</v>
          </cell>
          <cell r="L402">
            <v>33</v>
          </cell>
          <cell r="M402">
            <v>125</v>
          </cell>
          <cell r="N402">
            <v>3</v>
          </cell>
          <cell r="O402">
            <v>5</v>
          </cell>
          <cell r="P402">
            <v>354.5</v>
          </cell>
          <cell r="Q402">
            <v>16</v>
          </cell>
        </row>
        <row r="403">
          <cell r="B403">
            <v>2018</v>
          </cell>
          <cell r="C403">
            <v>3</v>
          </cell>
          <cell r="D403" t="str">
            <v>Ben Roethlisberger</v>
          </cell>
          <cell r="F403">
            <v>452</v>
          </cell>
          <cell r="G403">
            <v>675</v>
          </cell>
          <cell r="H403">
            <v>67</v>
          </cell>
          <cell r="I403">
            <v>34</v>
          </cell>
          <cell r="J403">
            <v>16</v>
          </cell>
          <cell r="K403">
            <v>24</v>
          </cell>
          <cell r="L403">
            <v>31</v>
          </cell>
          <cell r="M403">
            <v>98</v>
          </cell>
          <cell r="N403">
            <v>3</v>
          </cell>
          <cell r="O403">
            <v>2</v>
          </cell>
          <cell r="P403">
            <v>341.5</v>
          </cell>
          <cell r="Q403">
            <v>16</v>
          </cell>
        </row>
        <row r="404">
          <cell r="B404">
            <v>2018</v>
          </cell>
          <cell r="C404">
            <v>4</v>
          </cell>
          <cell r="D404" t="str">
            <v>Deshaun Watson</v>
          </cell>
          <cell r="F404">
            <v>345</v>
          </cell>
          <cell r="G404">
            <v>505</v>
          </cell>
          <cell r="H404">
            <v>68.3</v>
          </cell>
          <cell r="I404">
            <v>26</v>
          </cell>
          <cell r="J404">
            <v>9</v>
          </cell>
          <cell r="K404">
            <v>62</v>
          </cell>
          <cell r="L404">
            <v>99</v>
          </cell>
          <cell r="M404">
            <v>551</v>
          </cell>
          <cell r="N404">
            <v>5</v>
          </cell>
          <cell r="O404">
            <v>3</v>
          </cell>
          <cell r="P404">
            <v>331.9</v>
          </cell>
          <cell r="Q404">
            <v>16</v>
          </cell>
        </row>
        <row r="405">
          <cell r="B405">
            <v>2018</v>
          </cell>
          <cell r="C405">
            <v>5</v>
          </cell>
          <cell r="D405" t="str">
            <v>Andrew Luck</v>
          </cell>
          <cell r="F405">
            <v>430</v>
          </cell>
          <cell r="G405">
            <v>639</v>
          </cell>
          <cell r="H405">
            <v>67.3</v>
          </cell>
          <cell r="I405">
            <v>39</v>
          </cell>
          <cell r="J405">
            <v>15</v>
          </cell>
          <cell r="K405">
            <v>18</v>
          </cell>
          <cell r="L405">
            <v>46</v>
          </cell>
          <cell r="M405">
            <v>148</v>
          </cell>
          <cell r="N405">
            <v>0</v>
          </cell>
          <cell r="O405">
            <v>1</v>
          </cell>
          <cell r="P405">
            <v>327.60000000000002</v>
          </cell>
          <cell r="Q405">
            <v>16</v>
          </cell>
        </row>
        <row r="406">
          <cell r="B406">
            <v>2018</v>
          </cell>
          <cell r="C406">
            <v>6</v>
          </cell>
          <cell r="D406" t="str">
            <v>Aaron Rodgers</v>
          </cell>
          <cell r="F406">
            <v>372</v>
          </cell>
          <cell r="G406">
            <v>597</v>
          </cell>
          <cell r="H406">
            <v>62.3</v>
          </cell>
          <cell r="I406">
            <v>25</v>
          </cell>
          <cell r="J406">
            <v>2</v>
          </cell>
          <cell r="K406">
            <v>49</v>
          </cell>
          <cell r="L406">
            <v>43</v>
          </cell>
          <cell r="M406">
            <v>269</v>
          </cell>
          <cell r="N406">
            <v>2</v>
          </cell>
          <cell r="O406">
            <v>3</v>
          </cell>
          <cell r="P406">
            <v>312.5</v>
          </cell>
          <cell r="Q406">
            <v>16</v>
          </cell>
        </row>
        <row r="407">
          <cell r="B407">
            <v>2018</v>
          </cell>
          <cell r="C407">
            <v>7</v>
          </cell>
          <cell r="D407" t="str">
            <v>Jared Goff</v>
          </cell>
          <cell r="F407">
            <v>364</v>
          </cell>
          <cell r="G407">
            <v>561</v>
          </cell>
          <cell r="H407">
            <v>64.900000000000006</v>
          </cell>
          <cell r="I407">
            <v>32</v>
          </cell>
          <cell r="J407">
            <v>12</v>
          </cell>
          <cell r="K407">
            <v>33</v>
          </cell>
          <cell r="L407">
            <v>43</v>
          </cell>
          <cell r="M407">
            <v>108</v>
          </cell>
          <cell r="N407">
            <v>2</v>
          </cell>
          <cell r="O407">
            <v>5</v>
          </cell>
          <cell r="P407">
            <v>310.3</v>
          </cell>
          <cell r="Q407">
            <v>16</v>
          </cell>
        </row>
        <row r="408">
          <cell r="B408">
            <v>2018</v>
          </cell>
          <cell r="C408">
            <v>8</v>
          </cell>
          <cell r="D408" t="str">
            <v>Drew Brees</v>
          </cell>
          <cell r="F408">
            <v>364</v>
          </cell>
          <cell r="G408">
            <v>489</v>
          </cell>
          <cell r="H408">
            <v>74.400000000000006</v>
          </cell>
          <cell r="I408">
            <v>32</v>
          </cell>
          <cell r="J408">
            <v>5</v>
          </cell>
          <cell r="K408">
            <v>17</v>
          </cell>
          <cell r="L408">
            <v>31</v>
          </cell>
          <cell r="M408">
            <v>22</v>
          </cell>
          <cell r="N408">
            <v>4</v>
          </cell>
          <cell r="O408">
            <v>1</v>
          </cell>
          <cell r="P408">
            <v>304.3</v>
          </cell>
          <cell r="Q408">
            <v>15</v>
          </cell>
        </row>
        <row r="409">
          <cell r="B409">
            <v>2018</v>
          </cell>
          <cell r="C409">
            <v>9</v>
          </cell>
          <cell r="D409" t="str">
            <v>Russell Wilson</v>
          </cell>
          <cell r="F409">
            <v>280</v>
          </cell>
          <cell r="G409">
            <v>427</v>
          </cell>
          <cell r="H409">
            <v>65.599999999999994</v>
          </cell>
          <cell r="I409">
            <v>35</v>
          </cell>
          <cell r="J409">
            <v>7</v>
          </cell>
          <cell r="K409">
            <v>51</v>
          </cell>
          <cell r="L409">
            <v>67</v>
          </cell>
          <cell r="M409">
            <v>376</v>
          </cell>
          <cell r="N409">
            <v>0</v>
          </cell>
          <cell r="O409">
            <v>2</v>
          </cell>
          <cell r="P409">
            <v>298.89999999999998</v>
          </cell>
          <cell r="Q409">
            <v>16</v>
          </cell>
        </row>
        <row r="410">
          <cell r="B410">
            <v>2018</v>
          </cell>
          <cell r="C410">
            <v>10</v>
          </cell>
          <cell r="D410" t="str">
            <v>Dak Prescott</v>
          </cell>
          <cell r="F410">
            <v>356</v>
          </cell>
          <cell r="G410">
            <v>526</v>
          </cell>
          <cell r="H410">
            <v>67.7</v>
          </cell>
          <cell r="I410">
            <v>22</v>
          </cell>
          <cell r="J410">
            <v>8</v>
          </cell>
          <cell r="K410">
            <v>56</v>
          </cell>
          <cell r="L410">
            <v>75</v>
          </cell>
          <cell r="M410">
            <v>305</v>
          </cell>
          <cell r="N410">
            <v>6</v>
          </cell>
          <cell r="O410">
            <v>6</v>
          </cell>
          <cell r="P410">
            <v>285.7</v>
          </cell>
          <cell r="Q410">
            <v>16</v>
          </cell>
        </row>
        <row r="411">
          <cell r="B411">
            <v>2018</v>
          </cell>
          <cell r="C411">
            <v>11</v>
          </cell>
          <cell r="D411" t="str">
            <v>Philip Rivers</v>
          </cell>
          <cell r="F411">
            <v>347</v>
          </cell>
          <cell r="G411">
            <v>508</v>
          </cell>
          <cell r="H411">
            <v>68.3</v>
          </cell>
          <cell r="I411">
            <v>32</v>
          </cell>
          <cell r="J411">
            <v>12</v>
          </cell>
          <cell r="K411">
            <v>32</v>
          </cell>
          <cell r="L411">
            <v>18</v>
          </cell>
          <cell r="M411">
            <v>7</v>
          </cell>
          <cell r="N411">
            <v>0</v>
          </cell>
          <cell r="O411">
            <v>1</v>
          </cell>
          <cell r="P411">
            <v>284.89999999999998</v>
          </cell>
          <cell r="Q411">
            <v>16</v>
          </cell>
        </row>
        <row r="412">
          <cell r="B412">
            <v>2018</v>
          </cell>
          <cell r="C412">
            <v>12</v>
          </cell>
          <cell r="D412" t="str">
            <v>Cam Newton</v>
          </cell>
          <cell r="F412">
            <v>320</v>
          </cell>
          <cell r="G412">
            <v>471</v>
          </cell>
          <cell r="H412">
            <v>67.900000000000006</v>
          </cell>
          <cell r="I412">
            <v>24</v>
          </cell>
          <cell r="J412">
            <v>13</v>
          </cell>
          <cell r="K412">
            <v>29</v>
          </cell>
          <cell r="L412">
            <v>101</v>
          </cell>
          <cell r="M412">
            <v>488</v>
          </cell>
          <cell r="N412">
            <v>4</v>
          </cell>
          <cell r="O412">
            <v>0</v>
          </cell>
          <cell r="P412">
            <v>282.60000000000002</v>
          </cell>
          <cell r="Q412">
            <v>14</v>
          </cell>
        </row>
        <row r="413">
          <cell r="B413">
            <v>2018</v>
          </cell>
          <cell r="C413">
            <v>13</v>
          </cell>
          <cell r="D413" t="str">
            <v>Kirk Cousins</v>
          </cell>
          <cell r="F413">
            <v>425</v>
          </cell>
          <cell r="G413">
            <v>606</v>
          </cell>
          <cell r="H413">
            <v>70.099999999999994</v>
          </cell>
          <cell r="I413">
            <v>30</v>
          </cell>
          <cell r="J413">
            <v>10</v>
          </cell>
          <cell r="K413">
            <v>40</v>
          </cell>
          <cell r="L413">
            <v>44</v>
          </cell>
          <cell r="M413">
            <v>123</v>
          </cell>
          <cell r="N413">
            <v>1</v>
          </cell>
          <cell r="O413">
            <v>7</v>
          </cell>
          <cell r="P413">
            <v>282.60000000000002</v>
          </cell>
          <cell r="Q413">
            <v>16</v>
          </cell>
        </row>
        <row r="414">
          <cell r="B414">
            <v>2018</v>
          </cell>
          <cell r="C414">
            <v>14</v>
          </cell>
          <cell r="D414" t="str">
            <v>Tom Brady</v>
          </cell>
          <cell r="F414">
            <v>375</v>
          </cell>
          <cell r="G414">
            <v>570</v>
          </cell>
          <cell r="H414">
            <v>65.8</v>
          </cell>
          <cell r="I414">
            <v>29</v>
          </cell>
          <cell r="J414">
            <v>11</v>
          </cell>
          <cell r="K414">
            <v>21</v>
          </cell>
          <cell r="L414">
            <v>23</v>
          </cell>
          <cell r="M414">
            <v>35</v>
          </cell>
          <cell r="N414">
            <v>2</v>
          </cell>
          <cell r="O414">
            <v>2</v>
          </cell>
          <cell r="P414">
            <v>280.89999999999998</v>
          </cell>
          <cell r="Q414">
            <v>16</v>
          </cell>
        </row>
        <row r="415">
          <cell r="B415">
            <v>2018</v>
          </cell>
          <cell r="C415">
            <v>15</v>
          </cell>
          <cell r="D415" t="str">
            <v>Mitchell Trubisky</v>
          </cell>
          <cell r="F415">
            <v>289</v>
          </cell>
          <cell r="G415">
            <v>434</v>
          </cell>
          <cell r="H415">
            <v>66.599999999999994</v>
          </cell>
          <cell r="I415">
            <v>24</v>
          </cell>
          <cell r="J415">
            <v>12</v>
          </cell>
          <cell r="K415">
            <v>24</v>
          </cell>
          <cell r="L415">
            <v>68</v>
          </cell>
          <cell r="M415">
            <v>421</v>
          </cell>
          <cell r="N415">
            <v>3</v>
          </cell>
          <cell r="O415">
            <v>3</v>
          </cell>
          <cell r="P415">
            <v>262.89999999999998</v>
          </cell>
          <cell r="Q415">
            <v>14</v>
          </cell>
        </row>
        <row r="416">
          <cell r="B416">
            <v>2018</v>
          </cell>
          <cell r="C416">
            <v>16</v>
          </cell>
          <cell r="D416" t="str">
            <v>Eli Manning</v>
          </cell>
          <cell r="F416">
            <v>380</v>
          </cell>
          <cell r="G416">
            <v>576</v>
          </cell>
          <cell r="H416">
            <v>66</v>
          </cell>
          <cell r="I416">
            <v>21</v>
          </cell>
          <cell r="J416">
            <v>11</v>
          </cell>
          <cell r="K416">
            <v>47</v>
          </cell>
          <cell r="L416">
            <v>15</v>
          </cell>
          <cell r="M416">
            <v>20</v>
          </cell>
          <cell r="N416">
            <v>1</v>
          </cell>
          <cell r="O416">
            <v>4</v>
          </cell>
          <cell r="P416">
            <v>240</v>
          </cell>
          <cell r="Q416">
            <v>16</v>
          </cell>
        </row>
        <row r="417">
          <cell r="B417">
            <v>2018</v>
          </cell>
          <cell r="C417">
            <v>17</v>
          </cell>
          <cell r="D417" t="str">
            <v>Baker Mayfield</v>
          </cell>
          <cell r="F417">
            <v>310</v>
          </cell>
          <cell r="G417">
            <v>486</v>
          </cell>
          <cell r="H417">
            <v>63.8</v>
          </cell>
          <cell r="I417">
            <v>27</v>
          </cell>
          <cell r="J417">
            <v>14</v>
          </cell>
          <cell r="K417">
            <v>25</v>
          </cell>
          <cell r="L417">
            <v>39</v>
          </cell>
          <cell r="M417">
            <v>131</v>
          </cell>
          <cell r="N417">
            <v>0</v>
          </cell>
          <cell r="O417">
            <v>3</v>
          </cell>
          <cell r="P417">
            <v>240</v>
          </cell>
          <cell r="Q417">
            <v>14</v>
          </cell>
        </row>
        <row r="418">
          <cell r="B418">
            <v>2018</v>
          </cell>
          <cell r="C418">
            <v>18</v>
          </cell>
          <cell r="D418" t="str">
            <v>Derek Carr</v>
          </cell>
          <cell r="F418">
            <v>381</v>
          </cell>
          <cell r="G418">
            <v>553</v>
          </cell>
          <cell r="H418">
            <v>68.900000000000006</v>
          </cell>
          <cell r="I418">
            <v>19</v>
          </cell>
          <cell r="J418">
            <v>10</v>
          </cell>
          <cell r="K418">
            <v>51</v>
          </cell>
          <cell r="L418">
            <v>24</v>
          </cell>
          <cell r="M418">
            <v>47</v>
          </cell>
          <cell r="N418">
            <v>1</v>
          </cell>
          <cell r="O418">
            <v>7</v>
          </cell>
          <cell r="P418">
            <v>216.3</v>
          </cell>
          <cell r="Q418">
            <v>16</v>
          </cell>
        </row>
        <row r="419">
          <cell r="B419">
            <v>2018</v>
          </cell>
          <cell r="C419">
            <v>19</v>
          </cell>
          <cell r="D419" t="str">
            <v>Case Keenum</v>
          </cell>
          <cell r="F419">
            <v>365</v>
          </cell>
          <cell r="G419">
            <v>586</v>
          </cell>
          <cell r="H419">
            <v>62.3</v>
          </cell>
          <cell r="I419">
            <v>18</v>
          </cell>
          <cell r="J419">
            <v>15</v>
          </cell>
          <cell r="K419">
            <v>34</v>
          </cell>
          <cell r="L419">
            <v>26</v>
          </cell>
          <cell r="M419">
            <v>93</v>
          </cell>
          <cell r="N419">
            <v>2</v>
          </cell>
          <cell r="O419">
            <v>2</v>
          </cell>
          <cell r="P419">
            <v>215</v>
          </cell>
          <cell r="Q419">
            <v>16</v>
          </cell>
        </row>
        <row r="420">
          <cell r="B420">
            <v>2018</v>
          </cell>
          <cell r="C420">
            <v>20</v>
          </cell>
          <cell r="D420" t="str">
            <v>Matthew Stafford</v>
          </cell>
          <cell r="F420">
            <v>367</v>
          </cell>
          <cell r="G420">
            <v>555</v>
          </cell>
          <cell r="H420">
            <v>66.099999999999994</v>
          </cell>
          <cell r="I420">
            <v>21</v>
          </cell>
          <cell r="J420">
            <v>11</v>
          </cell>
          <cell r="K420">
            <v>40</v>
          </cell>
          <cell r="L420">
            <v>25</v>
          </cell>
          <cell r="M420">
            <v>71</v>
          </cell>
          <cell r="N420">
            <v>0</v>
          </cell>
          <cell r="O420">
            <v>4</v>
          </cell>
          <cell r="P420">
            <v>212.1</v>
          </cell>
          <cell r="Q420">
            <v>16</v>
          </cell>
        </row>
        <row r="421">
          <cell r="B421">
            <v>2018</v>
          </cell>
          <cell r="C421">
            <v>21</v>
          </cell>
          <cell r="D421" t="str">
            <v>Josh Allen</v>
          </cell>
          <cell r="F421">
            <v>169</v>
          </cell>
          <cell r="G421">
            <v>320</v>
          </cell>
          <cell r="H421">
            <v>52.8</v>
          </cell>
          <cell r="I421">
            <v>10</v>
          </cell>
          <cell r="J421">
            <v>12</v>
          </cell>
          <cell r="K421">
            <v>28</v>
          </cell>
          <cell r="L421">
            <v>89</v>
          </cell>
          <cell r="M421">
            <v>631</v>
          </cell>
          <cell r="N421">
            <v>8</v>
          </cell>
          <cell r="O421">
            <v>2</v>
          </cell>
          <cell r="P421">
            <v>208.1</v>
          </cell>
          <cell r="Q421">
            <v>12</v>
          </cell>
        </row>
        <row r="422">
          <cell r="B422">
            <v>2018</v>
          </cell>
          <cell r="C422">
            <v>22</v>
          </cell>
          <cell r="D422" t="str">
            <v>Jameis Winston</v>
          </cell>
          <cell r="F422">
            <v>244</v>
          </cell>
          <cell r="G422">
            <v>378</v>
          </cell>
          <cell r="H422">
            <v>64.599999999999994</v>
          </cell>
          <cell r="I422">
            <v>19</v>
          </cell>
          <cell r="J422">
            <v>14</v>
          </cell>
          <cell r="K422">
            <v>27</v>
          </cell>
          <cell r="L422">
            <v>49</v>
          </cell>
          <cell r="M422">
            <v>281</v>
          </cell>
          <cell r="N422">
            <v>1</v>
          </cell>
          <cell r="O422">
            <v>3</v>
          </cell>
          <cell r="P422">
            <v>196</v>
          </cell>
          <cell r="Q422">
            <v>11</v>
          </cell>
        </row>
        <row r="423">
          <cell r="B423">
            <v>2018</v>
          </cell>
          <cell r="C423">
            <v>23</v>
          </cell>
          <cell r="D423" t="str">
            <v>Carson Wentz</v>
          </cell>
          <cell r="F423">
            <v>279</v>
          </cell>
          <cell r="G423">
            <v>401</v>
          </cell>
          <cell r="H423">
            <v>69.599999999999994</v>
          </cell>
          <cell r="I423">
            <v>21</v>
          </cell>
          <cell r="J423">
            <v>7</v>
          </cell>
          <cell r="K423">
            <v>31</v>
          </cell>
          <cell r="L423">
            <v>34</v>
          </cell>
          <cell r="M423">
            <v>93</v>
          </cell>
          <cell r="N423">
            <v>0</v>
          </cell>
          <cell r="O423">
            <v>6</v>
          </cell>
          <cell r="P423">
            <v>192.9</v>
          </cell>
          <cell r="Q423">
            <v>11</v>
          </cell>
        </row>
        <row r="424">
          <cell r="B424">
            <v>2018</v>
          </cell>
          <cell r="C424">
            <v>24</v>
          </cell>
          <cell r="D424" t="str">
            <v>Marcus Mariota</v>
          </cell>
          <cell r="F424">
            <v>228</v>
          </cell>
          <cell r="G424">
            <v>331</v>
          </cell>
          <cell r="H424">
            <v>68.900000000000006</v>
          </cell>
          <cell r="I424">
            <v>11</v>
          </cell>
          <cell r="J424">
            <v>8</v>
          </cell>
          <cell r="K424">
            <v>42</v>
          </cell>
          <cell r="L424">
            <v>64</v>
          </cell>
          <cell r="M424">
            <v>357</v>
          </cell>
          <cell r="N424">
            <v>2</v>
          </cell>
          <cell r="O424">
            <v>2</v>
          </cell>
          <cell r="P424">
            <v>175.5</v>
          </cell>
          <cell r="Q424">
            <v>14</v>
          </cell>
        </row>
        <row r="425">
          <cell r="B425">
            <v>2018</v>
          </cell>
          <cell r="C425">
            <v>25</v>
          </cell>
          <cell r="D425" t="str">
            <v>Andy Dalton</v>
          </cell>
          <cell r="F425">
            <v>226</v>
          </cell>
          <cell r="G425">
            <v>365</v>
          </cell>
          <cell r="H425">
            <v>61.9</v>
          </cell>
          <cell r="I425">
            <v>21</v>
          </cell>
          <cell r="J425">
            <v>11</v>
          </cell>
          <cell r="K425">
            <v>21</v>
          </cell>
          <cell r="L425">
            <v>16</v>
          </cell>
          <cell r="M425">
            <v>99</v>
          </cell>
          <cell r="N425">
            <v>0</v>
          </cell>
          <cell r="O425">
            <v>0</v>
          </cell>
          <cell r="P425">
            <v>174.5</v>
          </cell>
          <cell r="Q425">
            <v>11</v>
          </cell>
        </row>
        <row r="426">
          <cell r="B426">
            <v>2018</v>
          </cell>
          <cell r="C426">
            <v>26</v>
          </cell>
          <cell r="D426" t="str">
            <v>Blake Bortles</v>
          </cell>
          <cell r="F426">
            <v>243</v>
          </cell>
          <cell r="G426">
            <v>403</v>
          </cell>
          <cell r="H426">
            <v>60.3</v>
          </cell>
          <cell r="I426">
            <v>13</v>
          </cell>
          <cell r="J426">
            <v>11</v>
          </cell>
          <cell r="K426">
            <v>31</v>
          </cell>
          <cell r="L426">
            <v>58</v>
          </cell>
          <cell r="M426">
            <v>365</v>
          </cell>
          <cell r="N426">
            <v>1</v>
          </cell>
          <cell r="O426">
            <v>4</v>
          </cell>
          <cell r="P426">
            <v>173.3</v>
          </cell>
          <cell r="Q426">
            <v>13</v>
          </cell>
        </row>
        <row r="427">
          <cell r="B427">
            <v>2018</v>
          </cell>
          <cell r="C427">
            <v>27</v>
          </cell>
          <cell r="D427" t="str">
            <v>Sam Darnold</v>
          </cell>
          <cell r="F427">
            <v>239</v>
          </cell>
          <cell r="G427">
            <v>414</v>
          </cell>
          <cell r="H427">
            <v>57.7</v>
          </cell>
          <cell r="I427">
            <v>17</v>
          </cell>
          <cell r="J427">
            <v>15</v>
          </cell>
          <cell r="K427">
            <v>30</v>
          </cell>
          <cell r="L427">
            <v>44</v>
          </cell>
          <cell r="M427">
            <v>138</v>
          </cell>
          <cell r="N427">
            <v>1</v>
          </cell>
          <cell r="O427">
            <v>2</v>
          </cell>
          <cell r="P427">
            <v>168.4</v>
          </cell>
          <cell r="Q427">
            <v>13</v>
          </cell>
        </row>
        <row r="428">
          <cell r="B428">
            <v>2018</v>
          </cell>
          <cell r="C428">
            <v>28</v>
          </cell>
          <cell r="D428" t="str">
            <v>Ryan Fitzpatrick</v>
          </cell>
          <cell r="F428">
            <v>164</v>
          </cell>
          <cell r="G428">
            <v>246</v>
          </cell>
          <cell r="H428">
            <v>66.7</v>
          </cell>
          <cell r="I428">
            <v>17</v>
          </cell>
          <cell r="J428">
            <v>12</v>
          </cell>
          <cell r="K428">
            <v>14</v>
          </cell>
          <cell r="L428">
            <v>36</v>
          </cell>
          <cell r="M428">
            <v>152</v>
          </cell>
          <cell r="N428">
            <v>2</v>
          </cell>
          <cell r="O428">
            <v>1</v>
          </cell>
          <cell r="P428">
            <v>165.8</v>
          </cell>
          <cell r="Q428">
            <v>8</v>
          </cell>
        </row>
        <row r="429">
          <cell r="B429">
            <v>2018</v>
          </cell>
          <cell r="C429">
            <v>29</v>
          </cell>
          <cell r="D429" t="str">
            <v>Lamar Jackson</v>
          </cell>
          <cell r="F429">
            <v>99</v>
          </cell>
          <cell r="G429">
            <v>170</v>
          </cell>
          <cell r="H429">
            <v>58.2</v>
          </cell>
          <cell r="I429">
            <v>6</v>
          </cell>
          <cell r="J429">
            <v>3</v>
          </cell>
          <cell r="K429">
            <v>16</v>
          </cell>
          <cell r="L429">
            <v>147</v>
          </cell>
          <cell r="M429">
            <v>697</v>
          </cell>
          <cell r="N429">
            <v>5</v>
          </cell>
          <cell r="O429">
            <v>4</v>
          </cell>
          <cell r="P429">
            <v>157.80000000000001</v>
          </cell>
          <cell r="Q429">
            <v>16</v>
          </cell>
        </row>
        <row r="430">
          <cell r="B430">
            <v>2018</v>
          </cell>
          <cell r="C430">
            <v>30</v>
          </cell>
          <cell r="D430" t="str">
            <v>Ryan Tannehill</v>
          </cell>
          <cell r="F430">
            <v>176</v>
          </cell>
          <cell r="G430">
            <v>274</v>
          </cell>
          <cell r="H430">
            <v>64.2</v>
          </cell>
          <cell r="I430">
            <v>17</v>
          </cell>
          <cell r="J430">
            <v>9</v>
          </cell>
          <cell r="K430">
            <v>35</v>
          </cell>
          <cell r="L430">
            <v>32</v>
          </cell>
          <cell r="M430">
            <v>145</v>
          </cell>
          <cell r="N430">
            <v>0</v>
          </cell>
          <cell r="O430">
            <v>4</v>
          </cell>
          <cell r="P430">
            <v>142.5</v>
          </cell>
          <cell r="Q430">
            <v>11</v>
          </cell>
        </row>
        <row r="431">
          <cell r="B431">
            <v>2018</v>
          </cell>
          <cell r="C431">
            <v>31</v>
          </cell>
          <cell r="D431" t="str">
            <v>Alex Smith</v>
          </cell>
          <cell r="F431">
            <v>205</v>
          </cell>
          <cell r="G431">
            <v>328</v>
          </cell>
          <cell r="H431">
            <v>62.5</v>
          </cell>
          <cell r="I431">
            <v>10</v>
          </cell>
          <cell r="J431">
            <v>5</v>
          </cell>
          <cell r="K431">
            <v>22</v>
          </cell>
          <cell r="L431">
            <v>41</v>
          </cell>
          <cell r="M431">
            <v>168</v>
          </cell>
          <cell r="N431">
            <v>1</v>
          </cell>
          <cell r="O431">
            <v>1</v>
          </cell>
          <cell r="P431">
            <v>137.9</v>
          </cell>
          <cell r="Q431">
            <v>10</v>
          </cell>
        </row>
        <row r="432">
          <cell r="B432">
            <v>2018</v>
          </cell>
          <cell r="C432">
            <v>32</v>
          </cell>
          <cell r="D432" t="str">
            <v>Joe Flacco</v>
          </cell>
          <cell r="F432">
            <v>232</v>
          </cell>
          <cell r="G432">
            <v>379</v>
          </cell>
          <cell r="H432">
            <v>61.2</v>
          </cell>
          <cell r="I432">
            <v>12</v>
          </cell>
          <cell r="J432">
            <v>6</v>
          </cell>
          <cell r="K432">
            <v>16</v>
          </cell>
          <cell r="L432">
            <v>19</v>
          </cell>
          <cell r="M432">
            <v>45</v>
          </cell>
          <cell r="N432">
            <v>0</v>
          </cell>
          <cell r="O432">
            <v>1</v>
          </cell>
          <cell r="P432">
            <v>137</v>
          </cell>
          <cell r="Q432">
            <v>9</v>
          </cell>
        </row>
        <row r="433">
          <cell r="B433">
            <v>2018</v>
          </cell>
          <cell r="C433">
            <v>33</v>
          </cell>
          <cell r="D433" t="str">
            <v>Nick Mullens</v>
          </cell>
          <cell r="F433">
            <v>176</v>
          </cell>
          <cell r="G433">
            <v>274</v>
          </cell>
          <cell r="H433">
            <v>64.2</v>
          </cell>
          <cell r="I433">
            <v>13</v>
          </cell>
          <cell r="J433">
            <v>10</v>
          </cell>
          <cell r="K433">
            <v>17</v>
          </cell>
          <cell r="L433">
            <v>18</v>
          </cell>
          <cell r="M433">
            <v>-16</v>
          </cell>
          <cell r="N433">
            <v>0</v>
          </cell>
          <cell r="O433">
            <v>0</v>
          </cell>
          <cell r="P433">
            <v>123.5</v>
          </cell>
          <cell r="Q433">
            <v>8</v>
          </cell>
        </row>
        <row r="434">
          <cell r="B434">
            <v>2018</v>
          </cell>
          <cell r="C434">
            <v>34</v>
          </cell>
          <cell r="D434" t="str">
            <v>Josh Rosen</v>
          </cell>
          <cell r="F434">
            <v>217</v>
          </cell>
          <cell r="G434">
            <v>393</v>
          </cell>
          <cell r="H434">
            <v>55.2</v>
          </cell>
          <cell r="I434">
            <v>11</v>
          </cell>
          <cell r="J434">
            <v>14</v>
          </cell>
          <cell r="K434">
            <v>45</v>
          </cell>
          <cell r="L434">
            <v>23</v>
          </cell>
          <cell r="M434">
            <v>138</v>
          </cell>
          <cell r="N434">
            <v>0</v>
          </cell>
          <cell r="O434">
            <v>5</v>
          </cell>
          <cell r="P434">
            <v>113</v>
          </cell>
          <cell r="Q434">
            <v>14</v>
          </cell>
        </row>
        <row r="435">
          <cell r="B435">
            <v>2018</v>
          </cell>
          <cell r="C435">
            <v>35</v>
          </cell>
          <cell r="D435" t="str">
            <v>Jeff Driskel</v>
          </cell>
          <cell r="F435">
            <v>105</v>
          </cell>
          <cell r="G435">
            <v>177</v>
          </cell>
          <cell r="H435">
            <v>59.3</v>
          </cell>
          <cell r="I435">
            <v>6</v>
          </cell>
          <cell r="J435">
            <v>2</v>
          </cell>
          <cell r="K435">
            <v>16</v>
          </cell>
          <cell r="L435">
            <v>25</v>
          </cell>
          <cell r="M435">
            <v>130</v>
          </cell>
          <cell r="N435">
            <v>2</v>
          </cell>
          <cell r="O435">
            <v>1</v>
          </cell>
          <cell r="P435">
            <v>85.1</v>
          </cell>
          <cell r="Q435">
            <v>9</v>
          </cell>
        </row>
        <row r="436">
          <cell r="B436">
            <v>2018</v>
          </cell>
          <cell r="C436">
            <v>36</v>
          </cell>
          <cell r="D436" t="str">
            <v>Nick Foles</v>
          </cell>
          <cell r="F436">
            <v>141</v>
          </cell>
          <cell r="G436">
            <v>195</v>
          </cell>
          <cell r="H436">
            <v>72.3</v>
          </cell>
          <cell r="I436">
            <v>7</v>
          </cell>
          <cell r="J436">
            <v>4</v>
          </cell>
          <cell r="K436">
            <v>9</v>
          </cell>
          <cell r="L436">
            <v>9</v>
          </cell>
          <cell r="M436">
            <v>17</v>
          </cell>
          <cell r="N436">
            <v>0</v>
          </cell>
          <cell r="O436">
            <v>2</v>
          </cell>
          <cell r="P436">
            <v>75.7</v>
          </cell>
          <cell r="Q436">
            <v>5</v>
          </cell>
        </row>
        <row r="437">
          <cell r="B437">
            <v>2018</v>
          </cell>
          <cell r="C437">
            <v>37</v>
          </cell>
          <cell r="D437" t="str">
            <v>C.J. Beathard</v>
          </cell>
          <cell r="F437">
            <v>102</v>
          </cell>
          <cell r="G437">
            <v>169</v>
          </cell>
          <cell r="H437">
            <v>60.4</v>
          </cell>
          <cell r="I437">
            <v>8</v>
          </cell>
          <cell r="J437">
            <v>7</v>
          </cell>
          <cell r="K437">
            <v>18</v>
          </cell>
          <cell r="L437">
            <v>19</v>
          </cell>
          <cell r="M437">
            <v>69</v>
          </cell>
          <cell r="N437">
            <v>1</v>
          </cell>
          <cell r="O437">
            <v>3</v>
          </cell>
          <cell r="P437">
            <v>75</v>
          </cell>
          <cell r="Q437">
            <v>6</v>
          </cell>
        </row>
        <row r="438">
          <cell r="B438">
            <v>2018</v>
          </cell>
          <cell r="C438">
            <v>38</v>
          </cell>
          <cell r="D438" t="str">
            <v>Brock Osweiler</v>
          </cell>
          <cell r="F438">
            <v>113</v>
          </cell>
          <cell r="G438">
            <v>178</v>
          </cell>
          <cell r="H438">
            <v>63.5</v>
          </cell>
          <cell r="I438">
            <v>6</v>
          </cell>
          <cell r="J438">
            <v>4</v>
          </cell>
          <cell r="K438">
            <v>17</v>
          </cell>
          <cell r="L438">
            <v>8</v>
          </cell>
          <cell r="M438">
            <v>21</v>
          </cell>
          <cell r="N438">
            <v>0</v>
          </cell>
          <cell r="O438">
            <v>1</v>
          </cell>
          <cell r="P438">
            <v>68</v>
          </cell>
          <cell r="Q438">
            <v>7</v>
          </cell>
        </row>
        <row r="439">
          <cell r="B439">
            <v>2018</v>
          </cell>
          <cell r="C439">
            <v>39</v>
          </cell>
          <cell r="D439" t="str">
            <v>Josh Johnson</v>
          </cell>
          <cell r="F439">
            <v>52</v>
          </cell>
          <cell r="G439">
            <v>91</v>
          </cell>
          <cell r="H439">
            <v>57.1</v>
          </cell>
          <cell r="I439">
            <v>3</v>
          </cell>
          <cell r="J439">
            <v>4</v>
          </cell>
          <cell r="K439">
            <v>9</v>
          </cell>
          <cell r="L439">
            <v>23</v>
          </cell>
          <cell r="M439">
            <v>120</v>
          </cell>
          <cell r="N439">
            <v>1</v>
          </cell>
          <cell r="O439">
            <v>0</v>
          </cell>
          <cell r="P439">
            <v>49.5</v>
          </cell>
          <cell r="Q439">
            <v>4</v>
          </cell>
        </row>
        <row r="440">
          <cell r="B440">
            <v>2018</v>
          </cell>
          <cell r="C440">
            <v>40</v>
          </cell>
          <cell r="D440" t="str">
            <v>Jimmy Garoppolo</v>
          </cell>
          <cell r="F440">
            <v>53</v>
          </cell>
          <cell r="G440">
            <v>89</v>
          </cell>
          <cell r="H440">
            <v>59.6</v>
          </cell>
          <cell r="I440">
            <v>5</v>
          </cell>
          <cell r="J440">
            <v>3</v>
          </cell>
          <cell r="K440">
            <v>13</v>
          </cell>
          <cell r="L440">
            <v>8</v>
          </cell>
          <cell r="M440">
            <v>33</v>
          </cell>
          <cell r="N440">
            <v>0</v>
          </cell>
          <cell r="O440">
            <v>0</v>
          </cell>
          <cell r="P440">
            <v>47.9</v>
          </cell>
          <cell r="Q440">
            <v>3</v>
          </cell>
        </row>
        <row r="441">
          <cell r="B441">
            <v>2018</v>
          </cell>
          <cell r="C441">
            <v>41</v>
          </cell>
          <cell r="D441" t="str">
            <v>Tyrod Taylor</v>
          </cell>
          <cell r="F441">
            <v>42</v>
          </cell>
          <cell r="G441">
            <v>85</v>
          </cell>
          <cell r="H441">
            <v>49.4</v>
          </cell>
          <cell r="I441">
            <v>2</v>
          </cell>
          <cell r="J441">
            <v>2</v>
          </cell>
          <cell r="K441">
            <v>13</v>
          </cell>
          <cell r="L441">
            <v>16</v>
          </cell>
          <cell r="M441">
            <v>125</v>
          </cell>
          <cell r="N441">
            <v>1</v>
          </cell>
          <cell r="O441">
            <v>0</v>
          </cell>
          <cell r="P441">
            <v>41.4</v>
          </cell>
          <cell r="Q441">
            <v>4</v>
          </cell>
        </row>
        <row r="442">
          <cell r="B442">
            <v>2018</v>
          </cell>
          <cell r="C442">
            <v>42</v>
          </cell>
          <cell r="D442" t="str">
            <v>Cody Kessler</v>
          </cell>
          <cell r="F442">
            <v>85</v>
          </cell>
          <cell r="G442">
            <v>131</v>
          </cell>
          <cell r="H442">
            <v>64.900000000000006</v>
          </cell>
          <cell r="I442">
            <v>2</v>
          </cell>
          <cell r="J442">
            <v>2</v>
          </cell>
          <cell r="K442">
            <v>22</v>
          </cell>
          <cell r="L442">
            <v>19</v>
          </cell>
          <cell r="M442">
            <v>123</v>
          </cell>
          <cell r="N442">
            <v>0</v>
          </cell>
          <cell r="O442">
            <v>3</v>
          </cell>
          <cell r="P442">
            <v>38.6</v>
          </cell>
          <cell r="Q442">
            <v>6</v>
          </cell>
        </row>
        <row r="443">
          <cell r="B443">
            <v>2018</v>
          </cell>
          <cell r="C443">
            <v>43</v>
          </cell>
          <cell r="D443" t="str">
            <v>Blaine Gabbert</v>
          </cell>
          <cell r="F443">
            <v>61</v>
          </cell>
          <cell r="G443">
            <v>101</v>
          </cell>
          <cell r="H443">
            <v>60.4</v>
          </cell>
          <cell r="I443">
            <v>4</v>
          </cell>
          <cell r="J443">
            <v>4</v>
          </cell>
          <cell r="K443">
            <v>5</v>
          </cell>
          <cell r="L443">
            <v>6</v>
          </cell>
          <cell r="M443">
            <v>0</v>
          </cell>
          <cell r="N443">
            <v>0</v>
          </cell>
          <cell r="O443">
            <v>0</v>
          </cell>
          <cell r="P443">
            <v>33</v>
          </cell>
          <cell r="Q443">
            <v>8</v>
          </cell>
        </row>
        <row r="444">
          <cell r="B444">
            <v>2018</v>
          </cell>
          <cell r="C444">
            <v>44</v>
          </cell>
          <cell r="D444" t="str">
            <v>Taysom Hill</v>
          </cell>
          <cell r="F444">
            <v>3</v>
          </cell>
          <cell r="G444">
            <v>7</v>
          </cell>
          <cell r="H444">
            <v>42.9</v>
          </cell>
          <cell r="I444">
            <v>0</v>
          </cell>
          <cell r="J444">
            <v>1</v>
          </cell>
          <cell r="K444">
            <v>1</v>
          </cell>
          <cell r="L444">
            <v>37</v>
          </cell>
          <cell r="M444">
            <v>196</v>
          </cell>
          <cell r="N444">
            <v>2</v>
          </cell>
          <cell r="O444">
            <v>1</v>
          </cell>
          <cell r="P444">
            <v>32.1</v>
          </cell>
          <cell r="Q444">
            <v>16</v>
          </cell>
        </row>
        <row r="445">
          <cell r="B445">
            <v>2018</v>
          </cell>
          <cell r="C445">
            <v>45</v>
          </cell>
          <cell r="D445" t="str">
            <v>Chase Daniel</v>
          </cell>
          <cell r="F445">
            <v>53</v>
          </cell>
          <cell r="G445">
            <v>76</v>
          </cell>
          <cell r="H445">
            <v>69.7</v>
          </cell>
          <cell r="I445">
            <v>3</v>
          </cell>
          <cell r="J445">
            <v>2</v>
          </cell>
          <cell r="K445">
            <v>9</v>
          </cell>
          <cell r="L445">
            <v>13</v>
          </cell>
          <cell r="M445">
            <v>3</v>
          </cell>
          <cell r="N445">
            <v>0</v>
          </cell>
          <cell r="O445">
            <v>0</v>
          </cell>
          <cell r="P445">
            <v>30.2</v>
          </cell>
          <cell r="Q445">
            <v>5</v>
          </cell>
        </row>
        <row r="446">
          <cell r="B446">
            <v>2018</v>
          </cell>
          <cell r="C446">
            <v>46</v>
          </cell>
          <cell r="D446" t="str">
            <v>Colt McCoy</v>
          </cell>
          <cell r="F446">
            <v>34</v>
          </cell>
          <cell r="G446">
            <v>54</v>
          </cell>
          <cell r="H446">
            <v>63</v>
          </cell>
          <cell r="I446">
            <v>3</v>
          </cell>
          <cell r="J446">
            <v>3</v>
          </cell>
          <cell r="K446">
            <v>6</v>
          </cell>
          <cell r="L446">
            <v>10</v>
          </cell>
          <cell r="M446">
            <v>63</v>
          </cell>
          <cell r="N446">
            <v>0</v>
          </cell>
          <cell r="O446">
            <v>0</v>
          </cell>
          <cell r="P446">
            <v>27.2</v>
          </cell>
          <cell r="Q446">
            <v>3</v>
          </cell>
        </row>
        <row r="447">
          <cell r="B447">
            <v>2018</v>
          </cell>
          <cell r="C447">
            <v>47</v>
          </cell>
          <cell r="D447" t="str">
            <v>Kyle Allen</v>
          </cell>
          <cell r="F447">
            <v>20</v>
          </cell>
          <cell r="G447">
            <v>31</v>
          </cell>
          <cell r="H447">
            <v>64.5</v>
          </cell>
          <cell r="I447">
            <v>2</v>
          </cell>
          <cell r="J447">
            <v>0</v>
          </cell>
          <cell r="K447">
            <v>0</v>
          </cell>
          <cell r="L447">
            <v>5</v>
          </cell>
          <cell r="M447">
            <v>19</v>
          </cell>
          <cell r="N447">
            <v>1</v>
          </cell>
          <cell r="O447">
            <v>0</v>
          </cell>
          <cell r="P447">
            <v>26.5</v>
          </cell>
          <cell r="Q447">
            <v>2</v>
          </cell>
        </row>
        <row r="448">
          <cell r="B448">
            <v>2018</v>
          </cell>
          <cell r="C448">
            <v>48</v>
          </cell>
          <cell r="D448" t="str">
            <v>Josh McCown</v>
          </cell>
          <cell r="F448">
            <v>60</v>
          </cell>
          <cell r="G448">
            <v>110</v>
          </cell>
          <cell r="H448">
            <v>54.5</v>
          </cell>
          <cell r="I448">
            <v>1</v>
          </cell>
          <cell r="J448">
            <v>4</v>
          </cell>
          <cell r="K448">
            <v>7</v>
          </cell>
          <cell r="L448">
            <v>5</v>
          </cell>
          <cell r="M448">
            <v>32</v>
          </cell>
          <cell r="N448">
            <v>0</v>
          </cell>
          <cell r="O448">
            <v>0</v>
          </cell>
          <cell r="P448">
            <v>20.7</v>
          </cell>
          <cell r="Q448">
            <v>4</v>
          </cell>
        </row>
        <row r="449">
          <cell r="B449">
            <v>2018</v>
          </cell>
          <cell r="C449">
            <v>49</v>
          </cell>
          <cell r="D449" t="str">
            <v>Matt Barkley</v>
          </cell>
          <cell r="F449">
            <v>15</v>
          </cell>
          <cell r="G449">
            <v>25</v>
          </cell>
          <cell r="H449">
            <v>60</v>
          </cell>
          <cell r="I449">
            <v>2</v>
          </cell>
          <cell r="J449">
            <v>0</v>
          </cell>
          <cell r="K449">
            <v>1</v>
          </cell>
          <cell r="L449">
            <v>3</v>
          </cell>
          <cell r="M449">
            <v>-2</v>
          </cell>
          <cell r="N449">
            <v>0</v>
          </cell>
          <cell r="O449">
            <v>0</v>
          </cell>
          <cell r="P449">
            <v>17.100000000000001</v>
          </cell>
          <cell r="Q449">
            <v>1</v>
          </cell>
        </row>
        <row r="450">
          <cell r="B450">
            <v>2018</v>
          </cell>
          <cell r="C450">
            <v>50</v>
          </cell>
          <cell r="D450" t="str">
            <v>Taylor Heinicke</v>
          </cell>
          <cell r="F450">
            <v>35</v>
          </cell>
          <cell r="G450">
            <v>57</v>
          </cell>
          <cell r="H450">
            <v>61.4</v>
          </cell>
          <cell r="I450">
            <v>1</v>
          </cell>
          <cell r="J450">
            <v>3</v>
          </cell>
          <cell r="K450">
            <v>2</v>
          </cell>
          <cell r="L450">
            <v>5</v>
          </cell>
          <cell r="M450">
            <v>31</v>
          </cell>
          <cell r="N450">
            <v>0</v>
          </cell>
          <cell r="O450">
            <v>0</v>
          </cell>
          <cell r="P450">
            <v>13.9</v>
          </cell>
          <cell r="Q450">
            <v>6</v>
          </cell>
        </row>
        <row r="451">
          <cell r="B451">
            <v>2018</v>
          </cell>
          <cell r="C451">
            <v>51</v>
          </cell>
          <cell r="D451" t="str">
            <v>Nathan Peterman</v>
          </cell>
          <cell r="F451">
            <v>44</v>
          </cell>
          <cell r="G451">
            <v>81</v>
          </cell>
          <cell r="H451">
            <v>54.3</v>
          </cell>
          <cell r="I451">
            <v>1</v>
          </cell>
          <cell r="J451">
            <v>7</v>
          </cell>
          <cell r="K451">
            <v>7</v>
          </cell>
          <cell r="L451">
            <v>10</v>
          </cell>
          <cell r="M451">
            <v>49</v>
          </cell>
          <cell r="N451">
            <v>1</v>
          </cell>
          <cell r="O451">
            <v>0</v>
          </cell>
          <cell r="P451">
            <v>12.8</v>
          </cell>
          <cell r="Q451">
            <v>4</v>
          </cell>
        </row>
        <row r="452">
          <cell r="B452">
            <v>2018</v>
          </cell>
          <cell r="C452">
            <v>52</v>
          </cell>
          <cell r="D452" t="str">
            <v>Sam Bradford</v>
          </cell>
          <cell r="F452">
            <v>50</v>
          </cell>
          <cell r="G452">
            <v>80</v>
          </cell>
          <cell r="H452">
            <v>62.5</v>
          </cell>
          <cell r="I452">
            <v>2</v>
          </cell>
          <cell r="J452">
            <v>4</v>
          </cell>
          <cell r="K452">
            <v>6</v>
          </cell>
          <cell r="L452">
            <v>2</v>
          </cell>
          <cell r="M452">
            <v>7</v>
          </cell>
          <cell r="N452">
            <v>0</v>
          </cell>
          <cell r="O452">
            <v>2</v>
          </cell>
          <cell r="P452">
            <v>12.7</v>
          </cell>
          <cell r="Q452">
            <v>3</v>
          </cell>
        </row>
        <row r="453">
          <cell r="B453">
            <v>2018</v>
          </cell>
          <cell r="C453">
            <v>53</v>
          </cell>
          <cell r="D453" t="str">
            <v>Mike Glennon</v>
          </cell>
          <cell r="F453">
            <v>15</v>
          </cell>
          <cell r="G453">
            <v>21</v>
          </cell>
          <cell r="H453">
            <v>71.400000000000006</v>
          </cell>
          <cell r="I453">
            <v>1</v>
          </cell>
          <cell r="J453">
            <v>0</v>
          </cell>
          <cell r="K453">
            <v>1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10.9</v>
          </cell>
          <cell r="Q453">
            <v>2</v>
          </cell>
        </row>
        <row r="454">
          <cell r="B454">
            <v>2018</v>
          </cell>
          <cell r="C454">
            <v>54</v>
          </cell>
          <cell r="D454" t="str">
            <v>Teddy Bridgewater</v>
          </cell>
          <cell r="F454">
            <v>14</v>
          </cell>
          <cell r="G454">
            <v>23</v>
          </cell>
          <cell r="H454">
            <v>60.9</v>
          </cell>
          <cell r="I454">
            <v>1</v>
          </cell>
          <cell r="J454">
            <v>1</v>
          </cell>
          <cell r="K454">
            <v>2</v>
          </cell>
          <cell r="L454">
            <v>11</v>
          </cell>
          <cell r="M454">
            <v>5</v>
          </cell>
          <cell r="N454">
            <v>0</v>
          </cell>
          <cell r="O454">
            <v>0</v>
          </cell>
          <cell r="P454">
            <v>7.2</v>
          </cell>
          <cell r="Q454">
            <v>5</v>
          </cell>
        </row>
        <row r="455">
          <cell r="B455">
            <v>2018</v>
          </cell>
          <cell r="C455">
            <v>55</v>
          </cell>
          <cell r="D455" t="str">
            <v>Derek Anderson</v>
          </cell>
          <cell r="F455">
            <v>42</v>
          </cell>
          <cell r="G455">
            <v>70</v>
          </cell>
          <cell r="H455">
            <v>60</v>
          </cell>
          <cell r="I455">
            <v>0</v>
          </cell>
          <cell r="J455">
            <v>4</v>
          </cell>
          <cell r="K455">
            <v>5</v>
          </cell>
          <cell r="L455">
            <v>1</v>
          </cell>
          <cell r="M455">
            <v>-1</v>
          </cell>
          <cell r="N455">
            <v>0</v>
          </cell>
          <cell r="O455">
            <v>2</v>
          </cell>
          <cell r="P455">
            <v>6.5</v>
          </cell>
          <cell r="Q455">
            <v>2</v>
          </cell>
        </row>
        <row r="456">
          <cell r="B456">
            <v>2018</v>
          </cell>
          <cell r="C456">
            <v>56</v>
          </cell>
          <cell r="D456" t="str">
            <v>DeShone Kizer</v>
          </cell>
          <cell r="F456">
            <v>20</v>
          </cell>
          <cell r="G456">
            <v>42</v>
          </cell>
          <cell r="H456">
            <v>47.6</v>
          </cell>
          <cell r="I456">
            <v>0</v>
          </cell>
          <cell r="J456">
            <v>2</v>
          </cell>
          <cell r="K456">
            <v>4</v>
          </cell>
          <cell r="L456">
            <v>5</v>
          </cell>
          <cell r="M456">
            <v>39</v>
          </cell>
          <cell r="N456">
            <v>0</v>
          </cell>
          <cell r="O456">
            <v>1</v>
          </cell>
          <cell r="P456">
            <v>5.4</v>
          </cell>
          <cell r="Q456">
            <v>3</v>
          </cell>
        </row>
        <row r="457">
          <cell r="B457">
            <v>2018</v>
          </cell>
          <cell r="C457">
            <v>57</v>
          </cell>
          <cell r="D457" t="str">
            <v>Nate Sudfeld</v>
          </cell>
          <cell r="F457">
            <v>1</v>
          </cell>
          <cell r="G457">
            <v>2</v>
          </cell>
          <cell r="H457">
            <v>50</v>
          </cell>
          <cell r="I457">
            <v>1</v>
          </cell>
          <cell r="J457">
            <v>0</v>
          </cell>
          <cell r="K457">
            <v>0</v>
          </cell>
          <cell r="L457">
            <v>2</v>
          </cell>
          <cell r="M457">
            <v>-2</v>
          </cell>
          <cell r="N457">
            <v>0</v>
          </cell>
          <cell r="O457">
            <v>0</v>
          </cell>
          <cell r="P457">
            <v>4.7</v>
          </cell>
          <cell r="Q457">
            <v>2</v>
          </cell>
        </row>
        <row r="458">
          <cell r="B458">
            <v>2018</v>
          </cell>
          <cell r="C458">
            <v>58</v>
          </cell>
          <cell r="D458" t="str">
            <v>Joe Webb III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2.2999999999999998</v>
          </cell>
          <cell r="Q458">
            <v>16</v>
          </cell>
        </row>
        <row r="459">
          <cell r="B459">
            <v>2018</v>
          </cell>
          <cell r="C459">
            <v>59</v>
          </cell>
          <cell r="D459" t="str">
            <v>Matt Cassel</v>
          </cell>
          <cell r="F459">
            <v>7</v>
          </cell>
          <cell r="G459">
            <v>17</v>
          </cell>
          <cell r="H459">
            <v>41.2</v>
          </cell>
          <cell r="I459">
            <v>0</v>
          </cell>
          <cell r="J459">
            <v>1</v>
          </cell>
          <cell r="K459">
            <v>1</v>
          </cell>
          <cell r="L459">
            <v>2</v>
          </cell>
          <cell r="M459">
            <v>13</v>
          </cell>
          <cell r="N459">
            <v>0</v>
          </cell>
          <cell r="O459">
            <v>0</v>
          </cell>
          <cell r="P459">
            <v>1.7</v>
          </cell>
          <cell r="Q459">
            <v>2</v>
          </cell>
        </row>
        <row r="460">
          <cell r="B460">
            <v>2018</v>
          </cell>
          <cell r="C460">
            <v>60</v>
          </cell>
          <cell r="D460" t="str">
            <v>Garrett Gilbert</v>
          </cell>
          <cell r="F460">
            <v>2</v>
          </cell>
          <cell r="G460">
            <v>3</v>
          </cell>
          <cell r="H460">
            <v>66.7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1.6</v>
          </cell>
          <cell r="Q460">
            <v>1</v>
          </cell>
        </row>
        <row r="461">
          <cell r="B461">
            <v>2018</v>
          </cell>
          <cell r="C461">
            <v>61</v>
          </cell>
          <cell r="D461" t="str">
            <v>Chad Henne</v>
          </cell>
          <cell r="F461">
            <v>2</v>
          </cell>
          <cell r="G461">
            <v>3</v>
          </cell>
          <cell r="H461">
            <v>66.7</v>
          </cell>
          <cell r="I461">
            <v>0</v>
          </cell>
          <cell r="J461">
            <v>0</v>
          </cell>
          <cell r="K461">
            <v>0</v>
          </cell>
          <cell r="L461">
            <v>1</v>
          </cell>
          <cell r="M461">
            <v>3</v>
          </cell>
          <cell r="N461">
            <v>0</v>
          </cell>
          <cell r="O461">
            <v>0</v>
          </cell>
          <cell r="P461">
            <v>1.5</v>
          </cell>
          <cell r="Q461">
            <v>1</v>
          </cell>
        </row>
        <row r="462">
          <cell r="B462">
            <v>2018</v>
          </cell>
          <cell r="C462">
            <v>62</v>
          </cell>
          <cell r="D462" t="str">
            <v>Joshua Dobbs</v>
          </cell>
          <cell r="F462">
            <v>6</v>
          </cell>
          <cell r="G462">
            <v>12</v>
          </cell>
          <cell r="H462">
            <v>50</v>
          </cell>
          <cell r="I462">
            <v>0</v>
          </cell>
          <cell r="J462">
            <v>1</v>
          </cell>
          <cell r="K462">
            <v>0</v>
          </cell>
          <cell r="L462">
            <v>4</v>
          </cell>
          <cell r="M462">
            <v>11</v>
          </cell>
          <cell r="N462">
            <v>0</v>
          </cell>
          <cell r="O462">
            <v>0</v>
          </cell>
          <cell r="P462">
            <v>0.9</v>
          </cell>
          <cell r="Q462">
            <v>5</v>
          </cell>
        </row>
        <row r="463">
          <cell r="B463">
            <v>2018</v>
          </cell>
          <cell r="C463">
            <v>63</v>
          </cell>
          <cell r="D463" t="str">
            <v>Robert Griffin III</v>
          </cell>
          <cell r="F463">
            <v>2</v>
          </cell>
          <cell r="G463">
            <v>6</v>
          </cell>
          <cell r="H463">
            <v>33.299999999999997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0.8</v>
          </cell>
          <cell r="Q463">
            <v>3</v>
          </cell>
        </row>
        <row r="464">
          <cell r="B464">
            <v>2018</v>
          </cell>
          <cell r="C464">
            <v>64</v>
          </cell>
          <cell r="D464" t="str">
            <v>Matt Schaub</v>
          </cell>
          <cell r="F464">
            <v>5</v>
          </cell>
          <cell r="G464">
            <v>7</v>
          </cell>
          <cell r="H464">
            <v>71.400000000000006</v>
          </cell>
          <cell r="I464">
            <v>0</v>
          </cell>
          <cell r="J464">
            <v>0</v>
          </cell>
          <cell r="K464">
            <v>0</v>
          </cell>
          <cell r="L464">
            <v>1</v>
          </cell>
          <cell r="M464">
            <v>0</v>
          </cell>
          <cell r="N464">
            <v>0</v>
          </cell>
          <cell r="O464">
            <v>0</v>
          </cell>
          <cell r="P464">
            <v>0.6</v>
          </cell>
          <cell r="Q464">
            <v>3</v>
          </cell>
        </row>
        <row r="465">
          <cell r="B465">
            <v>2018</v>
          </cell>
          <cell r="C465">
            <v>65</v>
          </cell>
          <cell r="D465" t="str">
            <v>Mark Sanchez</v>
          </cell>
          <cell r="F465">
            <v>19</v>
          </cell>
          <cell r="G465">
            <v>35</v>
          </cell>
          <cell r="H465">
            <v>54.3</v>
          </cell>
          <cell r="I465">
            <v>0</v>
          </cell>
          <cell r="J465">
            <v>3</v>
          </cell>
          <cell r="K465">
            <v>7</v>
          </cell>
          <cell r="L465">
            <v>1</v>
          </cell>
          <cell r="M465">
            <v>8</v>
          </cell>
          <cell r="N465">
            <v>0</v>
          </cell>
          <cell r="O465">
            <v>0</v>
          </cell>
          <cell r="P465">
            <v>0.3</v>
          </cell>
          <cell r="Q465">
            <v>2</v>
          </cell>
        </row>
        <row r="466">
          <cell r="B466">
            <v>2018</v>
          </cell>
          <cell r="C466">
            <v>66</v>
          </cell>
          <cell r="D466" t="str">
            <v>AJ McCarron</v>
          </cell>
          <cell r="F466">
            <v>1</v>
          </cell>
          <cell r="G466">
            <v>3</v>
          </cell>
          <cell r="H466">
            <v>33.299999999999997</v>
          </cell>
          <cell r="I466">
            <v>0</v>
          </cell>
          <cell r="J466">
            <v>0</v>
          </cell>
          <cell r="K466">
            <v>1</v>
          </cell>
          <cell r="L466">
            <v>3</v>
          </cell>
          <cell r="M466">
            <v>-2</v>
          </cell>
          <cell r="N466">
            <v>0</v>
          </cell>
          <cell r="O466">
            <v>0</v>
          </cell>
          <cell r="P466">
            <v>0.1</v>
          </cell>
          <cell r="Q466">
            <v>2</v>
          </cell>
        </row>
        <row r="514">
          <cell r="B514">
            <v>2018</v>
          </cell>
          <cell r="C514">
            <v>114</v>
          </cell>
          <cell r="D514" t="str">
            <v>Alex Tanney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1</v>
          </cell>
        </row>
        <row r="515">
          <cell r="B515">
            <v>2018</v>
          </cell>
          <cell r="C515">
            <v>115</v>
          </cell>
          <cell r="D515" t="str">
            <v>Tyler Bray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</v>
          </cell>
        </row>
        <row r="521">
          <cell r="B521">
            <v>2018</v>
          </cell>
          <cell r="C521">
            <v>121</v>
          </cell>
          <cell r="D521" t="str">
            <v>Cooper Rush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1</v>
          </cell>
        </row>
        <row r="525">
          <cell r="B525">
            <v>2018</v>
          </cell>
          <cell r="C525">
            <v>125</v>
          </cell>
          <cell r="D525" t="str">
            <v>Kyle Sloter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1</v>
          </cell>
        </row>
        <row r="534">
          <cell r="B534">
            <v>2018</v>
          </cell>
          <cell r="C534">
            <v>134</v>
          </cell>
          <cell r="D534" t="str">
            <v>Brandon Allen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1</v>
          </cell>
        </row>
        <row r="537">
          <cell r="B537">
            <v>2018</v>
          </cell>
          <cell r="C537">
            <v>137</v>
          </cell>
          <cell r="D537" t="str">
            <v>Sean Mannion</v>
          </cell>
          <cell r="F537">
            <v>2</v>
          </cell>
          <cell r="G537">
            <v>3</v>
          </cell>
          <cell r="H537">
            <v>66.7</v>
          </cell>
          <cell r="I537">
            <v>0</v>
          </cell>
          <cell r="J537">
            <v>0</v>
          </cell>
          <cell r="K537">
            <v>0</v>
          </cell>
          <cell r="L537">
            <v>7</v>
          </cell>
          <cell r="M537">
            <v>-9</v>
          </cell>
          <cell r="N537">
            <v>0</v>
          </cell>
          <cell r="O537">
            <v>0</v>
          </cell>
          <cell r="P537">
            <v>0</v>
          </cell>
          <cell r="Q537">
            <v>3</v>
          </cell>
        </row>
        <row r="539">
          <cell r="B539">
            <v>2018</v>
          </cell>
          <cell r="C539">
            <v>139</v>
          </cell>
          <cell r="D539" t="str">
            <v>Chad Kelly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1</v>
          </cell>
          <cell r="M539">
            <v>-1</v>
          </cell>
          <cell r="N539">
            <v>0</v>
          </cell>
          <cell r="O539">
            <v>0</v>
          </cell>
          <cell r="P539">
            <v>-0.1</v>
          </cell>
          <cell r="Q539">
            <v>1</v>
          </cell>
        </row>
        <row r="540">
          <cell r="B540">
            <v>2018</v>
          </cell>
          <cell r="C540">
            <v>140</v>
          </cell>
          <cell r="D540" t="str">
            <v>Brandon Weeden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1</v>
          </cell>
          <cell r="M540">
            <v>-1</v>
          </cell>
          <cell r="N540">
            <v>0</v>
          </cell>
          <cell r="O540">
            <v>0</v>
          </cell>
          <cell r="P540">
            <v>-0.1</v>
          </cell>
          <cell r="Q540">
            <v>1</v>
          </cell>
        </row>
        <row r="541">
          <cell r="B541">
            <v>2018</v>
          </cell>
          <cell r="C541">
            <v>141</v>
          </cell>
          <cell r="D541" t="str">
            <v>Brian Hoyer</v>
          </cell>
          <cell r="F541">
            <v>1</v>
          </cell>
          <cell r="G541">
            <v>2</v>
          </cell>
          <cell r="H541">
            <v>50</v>
          </cell>
          <cell r="I541">
            <v>0</v>
          </cell>
          <cell r="J541">
            <v>0</v>
          </cell>
          <cell r="K541">
            <v>0</v>
          </cell>
          <cell r="L541">
            <v>11</v>
          </cell>
          <cell r="M541">
            <v>-8</v>
          </cell>
          <cell r="N541">
            <v>0</v>
          </cell>
          <cell r="O541">
            <v>0</v>
          </cell>
          <cell r="P541">
            <v>-0.5</v>
          </cell>
          <cell r="Q541">
            <v>5</v>
          </cell>
        </row>
        <row r="542">
          <cell r="B542">
            <v>2018</v>
          </cell>
          <cell r="C542">
            <v>142</v>
          </cell>
          <cell r="D542" t="str">
            <v>Jacoby Brissett</v>
          </cell>
          <cell r="F542">
            <v>2</v>
          </cell>
          <cell r="G542">
            <v>4</v>
          </cell>
          <cell r="H542">
            <v>50</v>
          </cell>
          <cell r="I542">
            <v>0</v>
          </cell>
          <cell r="J542">
            <v>0</v>
          </cell>
          <cell r="K542">
            <v>0</v>
          </cell>
          <cell r="L542">
            <v>7</v>
          </cell>
          <cell r="M542">
            <v>-7</v>
          </cell>
          <cell r="N542">
            <v>0</v>
          </cell>
          <cell r="O542">
            <v>0</v>
          </cell>
          <cell r="P542">
            <v>-0.6</v>
          </cell>
          <cell r="Q542">
            <v>4</v>
          </cell>
        </row>
        <row r="543">
          <cell r="B543">
            <v>2018</v>
          </cell>
          <cell r="C543">
            <v>143</v>
          </cell>
          <cell r="D543" t="str">
            <v>Geno Smith</v>
          </cell>
          <cell r="F543">
            <v>1</v>
          </cell>
          <cell r="G543">
            <v>4</v>
          </cell>
          <cell r="H543">
            <v>25</v>
          </cell>
          <cell r="I543">
            <v>0</v>
          </cell>
          <cell r="J543">
            <v>0</v>
          </cell>
          <cell r="K543">
            <v>1</v>
          </cell>
          <cell r="L543">
            <v>8</v>
          </cell>
          <cell r="M543">
            <v>2</v>
          </cell>
          <cell r="N543">
            <v>0</v>
          </cell>
          <cell r="O543">
            <v>1</v>
          </cell>
          <cell r="P543">
            <v>-1.5</v>
          </cell>
          <cell r="Q543">
            <v>5</v>
          </cell>
        </row>
        <row r="544">
          <cell r="B544">
            <v>2018</v>
          </cell>
          <cell r="C544">
            <v>144</v>
          </cell>
          <cell r="D544" t="str">
            <v>Kyle Lauletta</v>
          </cell>
          <cell r="F544">
            <v>0</v>
          </cell>
          <cell r="G544">
            <v>5</v>
          </cell>
          <cell r="H544">
            <v>0</v>
          </cell>
          <cell r="I544">
            <v>0</v>
          </cell>
          <cell r="J544">
            <v>1</v>
          </cell>
          <cell r="K544">
            <v>0</v>
          </cell>
          <cell r="L544">
            <v>1</v>
          </cell>
          <cell r="M544">
            <v>-2</v>
          </cell>
          <cell r="N544">
            <v>0</v>
          </cell>
          <cell r="O544">
            <v>0</v>
          </cell>
          <cell r="P544">
            <v>-2.2000000000000002</v>
          </cell>
          <cell r="Q544">
            <v>2</v>
          </cell>
        </row>
        <row r="545">
          <cell r="B545">
            <v>2017</v>
          </cell>
          <cell r="C545">
            <v>1</v>
          </cell>
          <cell r="D545" t="str">
            <v>Russell Wilson</v>
          </cell>
          <cell r="F545">
            <v>339</v>
          </cell>
          <cell r="G545">
            <v>553</v>
          </cell>
          <cell r="H545">
            <v>61.3</v>
          </cell>
          <cell r="I545">
            <v>34</v>
          </cell>
          <cell r="J545">
            <v>11</v>
          </cell>
          <cell r="K545">
            <v>43</v>
          </cell>
          <cell r="L545">
            <v>95</v>
          </cell>
          <cell r="M545">
            <v>586</v>
          </cell>
          <cell r="N545">
            <v>3</v>
          </cell>
          <cell r="O545">
            <v>3</v>
          </cell>
          <cell r="P545">
            <v>347.8</v>
          </cell>
          <cell r="Q545">
            <v>16</v>
          </cell>
        </row>
        <row r="546">
          <cell r="B546">
            <v>2017</v>
          </cell>
          <cell r="C546">
            <v>2</v>
          </cell>
          <cell r="D546" t="str">
            <v>Cam Newton</v>
          </cell>
          <cell r="F546">
            <v>291</v>
          </cell>
          <cell r="G546">
            <v>492</v>
          </cell>
          <cell r="H546">
            <v>59.1</v>
          </cell>
          <cell r="I546">
            <v>22</v>
          </cell>
          <cell r="J546">
            <v>16</v>
          </cell>
          <cell r="K546">
            <v>35</v>
          </cell>
          <cell r="L546">
            <v>139</v>
          </cell>
          <cell r="M546">
            <v>754</v>
          </cell>
          <cell r="N546">
            <v>6</v>
          </cell>
          <cell r="O546">
            <v>1</v>
          </cell>
          <cell r="P546">
            <v>299.5</v>
          </cell>
          <cell r="Q546">
            <v>16</v>
          </cell>
        </row>
        <row r="547">
          <cell r="B547">
            <v>2017</v>
          </cell>
          <cell r="C547">
            <v>3</v>
          </cell>
          <cell r="D547" t="str">
            <v>Tom Brady</v>
          </cell>
          <cell r="F547">
            <v>385</v>
          </cell>
          <cell r="G547">
            <v>581</v>
          </cell>
          <cell r="H547">
            <v>66.3</v>
          </cell>
          <cell r="I547">
            <v>32</v>
          </cell>
          <cell r="J547">
            <v>8</v>
          </cell>
          <cell r="K547">
            <v>35</v>
          </cell>
          <cell r="L547">
            <v>25</v>
          </cell>
          <cell r="M547">
            <v>28</v>
          </cell>
          <cell r="N547">
            <v>0</v>
          </cell>
          <cell r="O547">
            <v>3</v>
          </cell>
          <cell r="P547">
            <v>295.89999999999998</v>
          </cell>
          <cell r="Q547">
            <v>16</v>
          </cell>
        </row>
        <row r="548">
          <cell r="B548">
            <v>2017</v>
          </cell>
          <cell r="C548">
            <v>4</v>
          </cell>
          <cell r="D548" t="str">
            <v>Alex Smith</v>
          </cell>
          <cell r="F548">
            <v>341</v>
          </cell>
          <cell r="G548">
            <v>505</v>
          </cell>
          <cell r="H548">
            <v>67.5</v>
          </cell>
          <cell r="I548">
            <v>26</v>
          </cell>
          <cell r="J548">
            <v>5</v>
          </cell>
          <cell r="K548">
            <v>35</v>
          </cell>
          <cell r="L548">
            <v>60</v>
          </cell>
          <cell r="M548">
            <v>355</v>
          </cell>
          <cell r="N548">
            <v>1</v>
          </cell>
          <cell r="O548">
            <v>1</v>
          </cell>
          <cell r="P548">
            <v>295.10000000000002</v>
          </cell>
          <cell r="Q548">
            <v>15</v>
          </cell>
        </row>
        <row r="549">
          <cell r="B549">
            <v>2017</v>
          </cell>
          <cell r="C549">
            <v>5</v>
          </cell>
          <cell r="D549" t="str">
            <v>Carson Wentz</v>
          </cell>
          <cell r="F549">
            <v>265</v>
          </cell>
          <cell r="G549">
            <v>440</v>
          </cell>
          <cell r="H549">
            <v>60.2</v>
          </cell>
          <cell r="I549">
            <v>33</v>
          </cell>
          <cell r="J549">
            <v>7</v>
          </cell>
          <cell r="K549">
            <v>28</v>
          </cell>
          <cell r="L549">
            <v>64</v>
          </cell>
          <cell r="M549">
            <v>299</v>
          </cell>
          <cell r="N549">
            <v>0</v>
          </cell>
          <cell r="O549">
            <v>3</v>
          </cell>
          <cell r="P549">
            <v>283.7</v>
          </cell>
          <cell r="Q549">
            <v>13</v>
          </cell>
        </row>
        <row r="550">
          <cell r="B550">
            <v>2017</v>
          </cell>
          <cell r="C550">
            <v>6</v>
          </cell>
          <cell r="D550" t="str">
            <v>Kirk Cousins</v>
          </cell>
          <cell r="F550">
            <v>347</v>
          </cell>
          <cell r="G550">
            <v>540</v>
          </cell>
          <cell r="H550">
            <v>64.3</v>
          </cell>
          <cell r="I550">
            <v>27</v>
          </cell>
          <cell r="J550">
            <v>13</v>
          </cell>
          <cell r="K550">
            <v>41</v>
          </cell>
          <cell r="L550">
            <v>49</v>
          </cell>
          <cell r="M550">
            <v>179</v>
          </cell>
          <cell r="N550">
            <v>4</v>
          </cell>
          <cell r="O550">
            <v>5</v>
          </cell>
          <cell r="P550">
            <v>277.60000000000002</v>
          </cell>
          <cell r="Q550">
            <v>16</v>
          </cell>
        </row>
        <row r="551">
          <cell r="B551">
            <v>2017</v>
          </cell>
          <cell r="C551">
            <v>7</v>
          </cell>
          <cell r="D551" t="str">
            <v>Matthew Stafford</v>
          </cell>
          <cell r="F551">
            <v>371</v>
          </cell>
          <cell r="G551">
            <v>565</v>
          </cell>
          <cell r="H551">
            <v>65.7</v>
          </cell>
          <cell r="I551">
            <v>29</v>
          </cell>
          <cell r="J551">
            <v>10</v>
          </cell>
          <cell r="K551">
            <v>47</v>
          </cell>
          <cell r="L551">
            <v>29</v>
          </cell>
          <cell r="M551">
            <v>98</v>
          </cell>
          <cell r="N551">
            <v>0</v>
          </cell>
          <cell r="O551">
            <v>7</v>
          </cell>
          <cell r="P551">
            <v>273.8</v>
          </cell>
          <cell r="Q551">
            <v>16</v>
          </cell>
        </row>
        <row r="552">
          <cell r="B552">
            <v>2017</v>
          </cell>
          <cell r="C552">
            <v>8</v>
          </cell>
          <cell r="D552" t="str">
            <v>Philip Rivers</v>
          </cell>
          <cell r="F552">
            <v>360</v>
          </cell>
          <cell r="G552">
            <v>575</v>
          </cell>
          <cell r="H552">
            <v>62.6</v>
          </cell>
          <cell r="I552">
            <v>28</v>
          </cell>
          <cell r="J552">
            <v>10</v>
          </cell>
          <cell r="K552">
            <v>18</v>
          </cell>
          <cell r="L552">
            <v>18</v>
          </cell>
          <cell r="M552">
            <v>-2</v>
          </cell>
          <cell r="N552">
            <v>0</v>
          </cell>
          <cell r="O552">
            <v>1</v>
          </cell>
          <cell r="P552">
            <v>270.5</v>
          </cell>
          <cell r="Q552">
            <v>16</v>
          </cell>
        </row>
        <row r="553">
          <cell r="B553">
            <v>2017</v>
          </cell>
          <cell r="C553">
            <v>9</v>
          </cell>
          <cell r="D553" t="str">
            <v>Drew Brees</v>
          </cell>
          <cell r="F553">
            <v>386</v>
          </cell>
          <cell r="G553">
            <v>536</v>
          </cell>
          <cell r="H553">
            <v>72</v>
          </cell>
          <cell r="I553">
            <v>23</v>
          </cell>
          <cell r="J553">
            <v>8</v>
          </cell>
          <cell r="K553">
            <v>20</v>
          </cell>
          <cell r="L553">
            <v>33</v>
          </cell>
          <cell r="M553">
            <v>12</v>
          </cell>
          <cell r="N553">
            <v>2</v>
          </cell>
          <cell r="O553">
            <v>0</v>
          </cell>
          <cell r="P553">
            <v>262.60000000000002</v>
          </cell>
          <cell r="Q553">
            <v>16</v>
          </cell>
        </row>
        <row r="554">
          <cell r="B554">
            <v>2017</v>
          </cell>
          <cell r="C554">
            <v>10</v>
          </cell>
          <cell r="D554" t="str">
            <v>Dak Prescott</v>
          </cell>
          <cell r="F554">
            <v>308</v>
          </cell>
          <cell r="G554">
            <v>490</v>
          </cell>
          <cell r="H554">
            <v>62.9</v>
          </cell>
          <cell r="I554">
            <v>22</v>
          </cell>
          <cell r="J554">
            <v>13</v>
          </cell>
          <cell r="K554">
            <v>32</v>
          </cell>
          <cell r="L554">
            <v>57</v>
          </cell>
          <cell r="M554">
            <v>357</v>
          </cell>
          <cell r="N554">
            <v>6</v>
          </cell>
          <cell r="O554">
            <v>3</v>
          </cell>
          <cell r="P554">
            <v>260.8</v>
          </cell>
          <cell r="Q554">
            <v>16</v>
          </cell>
        </row>
        <row r="555">
          <cell r="B555">
            <v>2017</v>
          </cell>
          <cell r="C555">
            <v>11</v>
          </cell>
          <cell r="D555" t="str">
            <v>Ben Roethlisberger</v>
          </cell>
          <cell r="F555">
            <v>360</v>
          </cell>
          <cell r="G555">
            <v>561</v>
          </cell>
          <cell r="H555">
            <v>64.2</v>
          </cell>
          <cell r="I555">
            <v>28</v>
          </cell>
          <cell r="J555">
            <v>14</v>
          </cell>
          <cell r="K555">
            <v>21</v>
          </cell>
          <cell r="L555">
            <v>28</v>
          </cell>
          <cell r="M555">
            <v>47</v>
          </cell>
          <cell r="N555">
            <v>0</v>
          </cell>
          <cell r="O555">
            <v>1</v>
          </cell>
          <cell r="P555">
            <v>260.60000000000002</v>
          </cell>
          <cell r="Q555">
            <v>15</v>
          </cell>
        </row>
        <row r="556">
          <cell r="B556">
            <v>2017</v>
          </cell>
          <cell r="C556">
            <v>12</v>
          </cell>
          <cell r="D556" t="str">
            <v>Jared Goff</v>
          </cell>
          <cell r="F556">
            <v>296</v>
          </cell>
          <cell r="G556">
            <v>477</v>
          </cell>
          <cell r="H556">
            <v>62.1</v>
          </cell>
          <cell r="I556">
            <v>28</v>
          </cell>
          <cell r="J556">
            <v>7</v>
          </cell>
          <cell r="K556">
            <v>25</v>
          </cell>
          <cell r="L556">
            <v>28</v>
          </cell>
          <cell r="M556">
            <v>51</v>
          </cell>
          <cell r="N556">
            <v>1</v>
          </cell>
          <cell r="O556">
            <v>3</v>
          </cell>
          <cell r="P556">
            <v>255.5</v>
          </cell>
          <cell r="Q556">
            <v>15</v>
          </cell>
        </row>
        <row r="557">
          <cell r="B557">
            <v>2017</v>
          </cell>
          <cell r="C557">
            <v>13</v>
          </cell>
          <cell r="D557" t="str">
            <v>Blake Bortles</v>
          </cell>
          <cell r="F557">
            <v>315</v>
          </cell>
          <cell r="G557">
            <v>523</v>
          </cell>
          <cell r="H557">
            <v>60.2</v>
          </cell>
          <cell r="I557">
            <v>21</v>
          </cell>
          <cell r="J557">
            <v>13</v>
          </cell>
          <cell r="K557">
            <v>24</v>
          </cell>
          <cell r="L557">
            <v>57</v>
          </cell>
          <cell r="M557">
            <v>322</v>
          </cell>
          <cell r="N557">
            <v>2</v>
          </cell>
          <cell r="O557">
            <v>3</v>
          </cell>
          <cell r="P557">
            <v>249.7</v>
          </cell>
          <cell r="Q557">
            <v>16</v>
          </cell>
        </row>
        <row r="558">
          <cell r="B558">
            <v>2017</v>
          </cell>
          <cell r="C558">
            <v>14</v>
          </cell>
          <cell r="D558" t="str">
            <v>Case Keenum</v>
          </cell>
          <cell r="F558">
            <v>325</v>
          </cell>
          <cell r="G558">
            <v>481</v>
          </cell>
          <cell r="H558">
            <v>67.599999999999994</v>
          </cell>
          <cell r="I558">
            <v>22</v>
          </cell>
          <cell r="J558">
            <v>7</v>
          </cell>
          <cell r="K558">
            <v>22</v>
          </cell>
          <cell r="L558">
            <v>40</v>
          </cell>
          <cell r="M558">
            <v>160</v>
          </cell>
          <cell r="N558">
            <v>1</v>
          </cell>
          <cell r="O558">
            <v>1</v>
          </cell>
          <cell r="P558">
            <v>238.1</v>
          </cell>
          <cell r="Q558">
            <v>15</v>
          </cell>
        </row>
        <row r="559">
          <cell r="B559">
            <v>2017</v>
          </cell>
          <cell r="C559">
            <v>15</v>
          </cell>
          <cell r="D559" t="str">
            <v>Matt Ryan</v>
          </cell>
          <cell r="F559">
            <v>342</v>
          </cell>
          <cell r="G559">
            <v>529</v>
          </cell>
          <cell r="H559">
            <v>64.7</v>
          </cell>
          <cell r="I559">
            <v>20</v>
          </cell>
          <cell r="J559">
            <v>12</v>
          </cell>
          <cell r="K559">
            <v>24</v>
          </cell>
          <cell r="L559">
            <v>32</v>
          </cell>
          <cell r="M559">
            <v>143</v>
          </cell>
          <cell r="N559">
            <v>0</v>
          </cell>
          <cell r="O559">
            <v>3</v>
          </cell>
          <cell r="P559">
            <v>228.1</v>
          </cell>
          <cell r="Q559">
            <v>16</v>
          </cell>
        </row>
        <row r="560">
          <cell r="B560">
            <v>2017</v>
          </cell>
          <cell r="C560">
            <v>16</v>
          </cell>
          <cell r="D560" t="str">
            <v>Tyrod Taylor</v>
          </cell>
          <cell r="F560">
            <v>263</v>
          </cell>
          <cell r="G560">
            <v>420</v>
          </cell>
          <cell r="H560">
            <v>62.6</v>
          </cell>
          <cell r="I560">
            <v>14</v>
          </cell>
          <cell r="J560">
            <v>4</v>
          </cell>
          <cell r="K560">
            <v>46</v>
          </cell>
          <cell r="L560">
            <v>84</v>
          </cell>
          <cell r="M560">
            <v>427</v>
          </cell>
          <cell r="N560">
            <v>4</v>
          </cell>
          <cell r="O560">
            <v>2</v>
          </cell>
          <cell r="P560">
            <v>222.6</v>
          </cell>
          <cell r="Q560">
            <v>15</v>
          </cell>
        </row>
        <row r="561">
          <cell r="B561">
            <v>2017</v>
          </cell>
          <cell r="C561">
            <v>17</v>
          </cell>
          <cell r="D561" t="str">
            <v>Andy Dalton</v>
          </cell>
          <cell r="F561">
            <v>297</v>
          </cell>
          <cell r="G561">
            <v>496</v>
          </cell>
          <cell r="H561">
            <v>59.9</v>
          </cell>
          <cell r="I561">
            <v>25</v>
          </cell>
          <cell r="J561">
            <v>12</v>
          </cell>
          <cell r="K561">
            <v>39</v>
          </cell>
          <cell r="L561">
            <v>38</v>
          </cell>
          <cell r="M561">
            <v>99</v>
          </cell>
          <cell r="N561">
            <v>0</v>
          </cell>
          <cell r="O561">
            <v>4</v>
          </cell>
          <cell r="P561">
            <v>210.7</v>
          </cell>
          <cell r="Q561">
            <v>16</v>
          </cell>
        </row>
        <row r="562">
          <cell r="B562">
            <v>2017</v>
          </cell>
          <cell r="C562">
            <v>18</v>
          </cell>
          <cell r="D562" t="str">
            <v>Marcus Mariota</v>
          </cell>
          <cell r="F562">
            <v>281</v>
          </cell>
          <cell r="G562">
            <v>453</v>
          </cell>
          <cell r="H562">
            <v>62</v>
          </cell>
          <cell r="I562">
            <v>13</v>
          </cell>
          <cell r="J562">
            <v>15</v>
          </cell>
          <cell r="K562">
            <v>27</v>
          </cell>
          <cell r="L562">
            <v>60</v>
          </cell>
          <cell r="M562">
            <v>312</v>
          </cell>
          <cell r="N562">
            <v>5</v>
          </cell>
          <cell r="O562">
            <v>1</v>
          </cell>
          <cell r="P562">
            <v>210.4</v>
          </cell>
          <cell r="Q562">
            <v>15</v>
          </cell>
        </row>
        <row r="563">
          <cell r="B563">
            <v>2017</v>
          </cell>
          <cell r="C563">
            <v>19</v>
          </cell>
          <cell r="D563" t="str">
            <v>Derek Carr</v>
          </cell>
          <cell r="F563">
            <v>323</v>
          </cell>
          <cell r="G563">
            <v>515</v>
          </cell>
          <cell r="H563">
            <v>62.7</v>
          </cell>
          <cell r="I563">
            <v>22</v>
          </cell>
          <cell r="J563">
            <v>13</v>
          </cell>
          <cell r="K563">
            <v>20</v>
          </cell>
          <cell r="L563">
            <v>23</v>
          </cell>
          <cell r="M563">
            <v>66</v>
          </cell>
          <cell r="N563">
            <v>0</v>
          </cell>
          <cell r="O563">
            <v>3</v>
          </cell>
          <cell r="P563">
            <v>206.3</v>
          </cell>
          <cell r="Q563">
            <v>15</v>
          </cell>
        </row>
        <row r="564">
          <cell r="B564">
            <v>2017</v>
          </cell>
          <cell r="C564">
            <v>20</v>
          </cell>
          <cell r="D564" t="str">
            <v>Jacoby Brissett</v>
          </cell>
          <cell r="F564">
            <v>276</v>
          </cell>
          <cell r="G564">
            <v>469</v>
          </cell>
          <cell r="H564">
            <v>58.8</v>
          </cell>
          <cell r="I564">
            <v>13</v>
          </cell>
          <cell r="J564">
            <v>7</v>
          </cell>
          <cell r="K564">
            <v>52</v>
          </cell>
          <cell r="L564">
            <v>63</v>
          </cell>
          <cell r="M564">
            <v>260</v>
          </cell>
          <cell r="N564">
            <v>4</v>
          </cell>
          <cell r="O564">
            <v>3</v>
          </cell>
          <cell r="P564">
            <v>206</v>
          </cell>
          <cell r="Q564">
            <v>16</v>
          </cell>
        </row>
        <row r="565">
          <cell r="B565">
            <v>2017</v>
          </cell>
          <cell r="C565">
            <v>21</v>
          </cell>
          <cell r="D565" t="str">
            <v>Josh McCown</v>
          </cell>
          <cell r="F565">
            <v>267</v>
          </cell>
          <cell r="G565">
            <v>397</v>
          </cell>
          <cell r="H565">
            <v>67.3</v>
          </cell>
          <cell r="I565">
            <v>18</v>
          </cell>
          <cell r="J565">
            <v>9</v>
          </cell>
          <cell r="K565">
            <v>39</v>
          </cell>
          <cell r="L565">
            <v>37</v>
          </cell>
          <cell r="M565">
            <v>124</v>
          </cell>
          <cell r="N565">
            <v>5</v>
          </cell>
          <cell r="O565">
            <v>4</v>
          </cell>
          <cell r="P565">
            <v>205.6</v>
          </cell>
          <cell r="Q565">
            <v>13</v>
          </cell>
        </row>
        <row r="566">
          <cell r="B566">
            <v>2017</v>
          </cell>
          <cell r="C566">
            <v>22</v>
          </cell>
          <cell r="D566" t="str">
            <v>Jameis Winston</v>
          </cell>
          <cell r="F566">
            <v>282</v>
          </cell>
          <cell r="G566">
            <v>442</v>
          </cell>
          <cell r="H566">
            <v>63.8</v>
          </cell>
          <cell r="I566">
            <v>19</v>
          </cell>
          <cell r="J566">
            <v>11</v>
          </cell>
          <cell r="K566">
            <v>33</v>
          </cell>
          <cell r="L566">
            <v>33</v>
          </cell>
          <cell r="M566">
            <v>135</v>
          </cell>
          <cell r="N566">
            <v>1</v>
          </cell>
          <cell r="O566">
            <v>7</v>
          </cell>
          <cell r="P566">
            <v>201.8</v>
          </cell>
          <cell r="Q566">
            <v>13</v>
          </cell>
        </row>
        <row r="567">
          <cell r="B567">
            <v>2017</v>
          </cell>
          <cell r="C567">
            <v>23</v>
          </cell>
          <cell r="D567" t="str">
            <v>Eli Manning</v>
          </cell>
          <cell r="F567">
            <v>352</v>
          </cell>
          <cell r="G567">
            <v>571</v>
          </cell>
          <cell r="H567">
            <v>61.6</v>
          </cell>
          <cell r="I567">
            <v>19</v>
          </cell>
          <cell r="J567">
            <v>13</v>
          </cell>
          <cell r="K567">
            <v>31</v>
          </cell>
          <cell r="L567">
            <v>12</v>
          </cell>
          <cell r="M567">
            <v>26</v>
          </cell>
          <cell r="N567">
            <v>1</v>
          </cell>
          <cell r="O567">
            <v>5</v>
          </cell>
          <cell r="P567">
            <v>187.3</v>
          </cell>
          <cell r="Q567">
            <v>15</v>
          </cell>
        </row>
        <row r="568">
          <cell r="B568">
            <v>2017</v>
          </cell>
          <cell r="C568">
            <v>24</v>
          </cell>
          <cell r="D568" t="str">
            <v>Joe Flacco</v>
          </cell>
          <cell r="F568">
            <v>352</v>
          </cell>
          <cell r="G568">
            <v>549</v>
          </cell>
          <cell r="H568">
            <v>64.099999999999994</v>
          </cell>
          <cell r="I568">
            <v>18</v>
          </cell>
          <cell r="J568">
            <v>13</v>
          </cell>
          <cell r="K568">
            <v>27</v>
          </cell>
          <cell r="L568">
            <v>25</v>
          </cell>
          <cell r="M568">
            <v>54</v>
          </cell>
          <cell r="N568">
            <v>1</v>
          </cell>
          <cell r="O568">
            <v>0</v>
          </cell>
          <cell r="P568">
            <v>184.9</v>
          </cell>
          <cell r="Q568">
            <v>16</v>
          </cell>
        </row>
        <row r="569">
          <cell r="B569">
            <v>2017</v>
          </cell>
          <cell r="C569">
            <v>25</v>
          </cell>
          <cell r="D569" t="str">
            <v>DeShone Kizer</v>
          </cell>
          <cell r="F569">
            <v>255</v>
          </cell>
          <cell r="G569">
            <v>476</v>
          </cell>
          <cell r="H569">
            <v>53.6</v>
          </cell>
          <cell r="I569">
            <v>11</v>
          </cell>
          <cell r="J569">
            <v>22</v>
          </cell>
          <cell r="K569">
            <v>38</v>
          </cell>
          <cell r="L569">
            <v>77</v>
          </cell>
          <cell r="M569">
            <v>419</v>
          </cell>
          <cell r="N569">
            <v>5</v>
          </cell>
          <cell r="O569">
            <v>6</v>
          </cell>
          <cell r="P569">
            <v>175.9</v>
          </cell>
          <cell r="Q569">
            <v>15</v>
          </cell>
        </row>
        <row r="570">
          <cell r="B570">
            <v>2017</v>
          </cell>
          <cell r="C570">
            <v>26</v>
          </cell>
          <cell r="D570" t="str">
            <v>Deshaun Watson</v>
          </cell>
          <cell r="F570">
            <v>126</v>
          </cell>
          <cell r="G570">
            <v>204</v>
          </cell>
          <cell r="H570">
            <v>61.8</v>
          </cell>
          <cell r="I570">
            <v>19</v>
          </cell>
          <cell r="J570">
            <v>8</v>
          </cell>
          <cell r="K570">
            <v>19</v>
          </cell>
          <cell r="L570">
            <v>36</v>
          </cell>
          <cell r="M570">
            <v>269</v>
          </cell>
          <cell r="N570">
            <v>2</v>
          </cell>
          <cell r="O570">
            <v>1</v>
          </cell>
          <cell r="P570">
            <v>168.8</v>
          </cell>
          <cell r="Q570">
            <v>7</v>
          </cell>
        </row>
        <row r="571">
          <cell r="B571">
            <v>2017</v>
          </cell>
          <cell r="C571">
            <v>27</v>
          </cell>
          <cell r="D571" t="str">
            <v>Jay Cutler</v>
          </cell>
          <cell r="F571">
            <v>266</v>
          </cell>
          <cell r="G571">
            <v>429</v>
          </cell>
          <cell r="H571">
            <v>62</v>
          </cell>
          <cell r="I571">
            <v>19</v>
          </cell>
          <cell r="J571">
            <v>14</v>
          </cell>
          <cell r="K571">
            <v>20</v>
          </cell>
          <cell r="L571">
            <v>19</v>
          </cell>
          <cell r="M571">
            <v>32</v>
          </cell>
          <cell r="N571">
            <v>0</v>
          </cell>
          <cell r="O571">
            <v>0</v>
          </cell>
          <cell r="P571">
            <v>157.69999999999999</v>
          </cell>
          <cell r="Q571">
            <v>14</v>
          </cell>
        </row>
        <row r="572">
          <cell r="B572">
            <v>2017</v>
          </cell>
          <cell r="C572">
            <v>28</v>
          </cell>
          <cell r="D572" t="str">
            <v>Mitchell Trubisky</v>
          </cell>
          <cell r="F572">
            <v>196</v>
          </cell>
          <cell r="G572">
            <v>330</v>
          </cell>
          <cell r="H572">
            <v>59.4</v>
          </cell>
          <cell r="I572">
            <v>7</v>
          </cell>
          <cell r="J572">
            <v>7</v>
          </cell>
          <cell r="K572">
            <v>31</v>
          </cell>
          <cell r="L572">
            <v>41</v>
          </cell>
          <cell r="M572">
            <v>248</v>
          </cell>
          <cell r="N572">
            <v>2</v>
          </cell>
          <cell r="O572">
            <v>3</v>
          </cell>
          <cell r="P572">
            <v>134.6</v>
          </cell>
          <cell r="Q572">
            <v>12</v>
          </cell>
        </row>
        <row r="573">
          <cell r="B573">
            <v>2017</v>
          </cell>
          <cell r="C573">
            <v>29</v>
          </cell>
          <cell r="D573" t="str">
            <v>Aaron Rodgers</v>
          </cell>
          <cell r="F573">
            <v>154</v>
          </cell>
          <cell r="G573">
            <v>238</v>
          </cell>
          <cell r="H573">
            <v>64.7</v>
          </cell>
          <cell r="I573">
            <v>16</v>
          </cell>
          <cell r="J573">
            <v>6</v>
          </cell>
          <cell r="K573">
            <v>22</v>
          </cell>
          <cell r="L573">
            <v>24</v>
          </cell>
          <cell r="M573">
            <v>126</v>
          </cell>
          <cell r="N573">
            <v>0</v>
          </cell>
          <cell r="O573">
            <v>1</v>
          </cell>
          <cell r="P573">
            <v>129.5</v>
          </cell>
          <cell r="Q573">
            <v>7</v>
          </cell>
        </row>
        <row r="574">
          <cell r="B574">
            <v>2017</v>
          </cell>
          <cell r="C574">
            <v>30</v>
          </cell>
          <cell r="D574" t="str">
            <v>Trevor Siemian</v>
          </cell>
          <cell r="F574">
            <v>206</v>
          </cell>
          <cell r="G574">
            <v>349</v>
          </cell>
          <cell r="H574">
            <v>59</v>
          </cell>
          <cell r="I574">
            <v>12</v>
          </cell>
          <cell r="J574">
            <v>14</v>
          </cell>
          <cell r="K574">
            <v>33</v>
          </cell>
          <cell r="L574">
            <v>31</v>
          </cell>
          <cell r="M574">
            <v>127</v>
          </cell>
          <cell r="N574">
            <v>1</v>
          </cell>
          <cell r="O574">
            <v>2</v>
          </cell>
          <cell r="P574">
            <v>126.2</v>
          </cell>
          <cell r="Q574">
            <v>11</v>
          </cell>
        </row>
        <row r="575">
          <cell r="B575">
            <v>2017</v>
          </cell>
          <cell r="C575">
            <v>31</v>
          </cell>
          <cell r="D575" t="str">
            <v>Brett Hundley</v>
          </cell>
          <cell r="F575">
            <v>192</v>
          </cell>
          <cell r="G575">
            <v>316</v>
          </cell>
          <cell r="H575">
            <v>60.8</v>
          </cell>
          <cell r="I575">
            <v>9</v>
          </cell>
          <cell r="J575">
            <v>12</v>
          </cell>
          <cell r="K575">
            <v>29</v>
          </cell>
          <cell r="L575">
            <v>36</v>
          </cell>
          <cell r="M575">
            <v>270</v>
          </cell>
          <cell r="N575">
            <v>2</v>
          </cell>
          <cell r="O575">
            <v>2</v>
          </cell>
          <cell r="P575">
            <v>124.1</v>
          </cell>
          <cell r="Q575">
            <v>11</v>
          </cell>
        </row>
        <row r="576">
          <cell r="B576">
            <v>2017</v>
          </cell>
          <cell r="C576">
            <v>32</v>
          </cell>
          <cell r="D576" t="str">
            <v>Carson Palmer</v>
          </cell>
          <cell r="F576">
            <v>164</v>
          </cell>
          <cell r="G576">
            <v>267</v>
          </cell>
          <cell r="H576">
            <v>61.4</v>
          </cell>
          <cell r="I576">
            <v>9</v>
          </cell>
          <cell r="J576">
            <v>7</v>
          </cell>
          <cell r="K576">
            <v>22</v>
          </cell>
          <cell r="L576">
            <v>14</v>
          </cell>
          <cell r="M576">
            <v>12</v>
          </cell>
          <cell r="N576">
            <v>0</v>
          </cell>
          <cell r="O576">
            <v>0</v>
          </cell>
          <cell r="P576">
            <v>102.4</v>
          </cell>
          <cell r="Q576">
            <v>7</v>
          </cell>
        </row>
        <row r="577">
          <cell r="B577">
            <v>2017</v>
          </cell>
          <cell r="C577">
            <v>33</v>
          </cell>
          <cell r="D577" t="str">
            <v>C.J. Beathard</v>
          </cell>
          <cell r="F577">
            <v>123</v>
          </cell>
          <cell r="G577">
            <v>224</v>
          </cell>
          <cell r="H577">
            <v>54.9</v>
          </cell>
          <cell r="I577">
            <v>4</v>
          </cell>
          <cell r="J577">
            <v>6</v>
          </cell>
          <cell r="K577">
            <v>19</v>
          </cell>
          <cell r="L577">
            <v>26</v>
          </cell>
          <cell r="M577">
            <v>136</v>
          </cell>
          <cell r="N577">
            <v>3</v>
          </cell>
          <cell r="O577">
            <v>2</v>
          </cell>
          <cell r="P577">
            <v>88.8</v>
          </cell>
          <cell r="Q577">
            <v>7</v>
          </cell>
        </row>
        <row r="578">
          <cell r="B578">
            <v>2017</v>
          </cell>
          <cell r="C578">
            <v>34</v>
          </cell>
          <cell r="D578" t="str">
            <v>Jimmy Garoppolo</v>
          </cell>
          <cell r="F578">
            <v>120</v>
          </cell>
          <cell r="G578">
            <v>178</v>
          </cell>
          <cell r="H578">
            <v>67.400000000000006</v>
          </cell>
          <cell r="I578">
            <v>7</v>
          </cell>
          <cell r="J578">
            <v>5</v>
          </cell>
          <cell r="K578">
            <v>8</v>
          </cell>
          <cell r="L578">
            <v>15</v>
          </cell>
          <cell r="M578">
            <v>11</v>
          </cell>
          <cell r="N578">
            <v>1</v>
          </cell>
          <cell r="O578">
            <v>0</v>
          </cell>
          <cell r="P578">
            <v>87.4</v>
          </cell>
          <cell r="Q578">
            <v>6</v>
          </cell>
        </row>
        <row r="579">
          <cell r="B579">
            <v>2017</v>
          </cell>
          <cell r="C579">
            <v>35</v>
          </cell>
          <cell r="D579" t="str">
            <v>Ryan Fitzpatrick</v>
          </cell>
          <cell r="F579">
            <v>96</v>
          </cell>
          <cell r="G579">
            <v>163</v>
          </cell>
          <cell r="H579">
            <v>58.9</v>
          </cell>
          <cell r="I579">
            <v>7</v>
          </cell>
          <cell r="J579">
            <v>3</v>
          </cell>
          <cell r="K579">
            <v>7</v>
          </cell>
          <cell r="L579">
            <v>15</v>
          </cell>
          <cell r="M579">
            <v>78</v>
          </cell>
          <cell r="N579">
            <v>0</v>
          </cell>
          <cell r="O579">
            <v>0</v>
          </cell>
          <cell r="P579">
            <v>73.7</v>
          </cell>
          <cell r="Q579">
            <v>6</v>
          </cell>
        </row>
        <row r="580">
          <cell r="B580">
            <v>2017</v>
          </cell>
          <cell r="C580">
            <v>36</v>
          </cell>
          <cell r="D580" t="str">
            <v>Brock Osweiler</v>
          </cell>
          <cell r="F580">
            <v>96</v>
          </cell>
          <cell r="G580">
            <v>172</v>
          </cell>
          <cell r="H580">
            <v>55.8</v>
          </cell>
          <cell r="I580">
            <v>5</v>
          </cell>
          <cell r="J580">
            <v>5</v>
          </cell>
          <cell r="K580">
            <v>10</v>
          </cell>
          <cell r="L580">
            <v>14</v>
          </cell>
          <cell r="M580">
            <v>64</v>
          </cell>
          <cell r="N580">
            <v>1</v>
          </cell>
          <cell r="O580">
            <v>1</v>
          </cell>
          <cell r="P580">
            <v>68.099999999999994</v>
          </cell>
          <cell r="Q580">
            <v>6</v>
          </cell>
        </row>
        <row r="581">
          <cell r="B581">
            <v>2017</v>
          </cell>
          <cell r="C581">
            <v>37</v>
          </cell>
          <cell r="D581" t="str">
            <v>Brian Hoyer</v>
          </cell>
          <cell r="F581">
            <v>123</v>
          </cell>
          <cell r="G581">
            <v>211</v>
          </cell>
          <cell r="H581">
            <v>58.3</v>
          </cell>
          <cell r="I581">
            <v>4</v>
          </cell>
          <cell r="J581">
            <v>4</v>
          </cell>
          <cell r="K581">
            <v>16</v>
          </cell>
          <cell r="L581">
            <v>9</v>
          </cell>
          <cell r="M581">
            <v>4</v>
          </cell>
          <cell r="N581">
            <v>1</v>
          </cell>
          <cell r="O581">
            <v>1</v>
          </cell>
          <cell r="P581">
            <v>64</v>
          </cell>
          <cell r="Q581">
            <v>11</v>
          </cell>
        </row>
        <row r="582">
          <cell r="B582">
            <v>2017</v>
          </cell>
          <cell r="C582">
            <v>38</v>
          </cell>
          <cell r="D582" t="str">
            <v>Blaine Gabbert</v>
          </cell>
          <cell r="F582">
            <v>95</v>
          </cell>
          <cell r="G582">
            <v>171</v>
          </cell>
          <cell r="H582">
            <v>55.6</v>
          </cell>
          <cell r="I582">
            <v>6</v>
          </cell>
          <cell r="J582">
            <v>6</v>
          </cell>
          <cell r="K582">
            <v>23</v>
          </cell>
          <cell r="L582">
            <v>22</v>
          </cell>
          <cell r="M582">
            <v>82</v>
          </cell>
          <cell r="N582">
            <v>0</v>
          </cell>
          <cell r="O582">
            <v>2</v>
          </cell>
          <cell r="P582">
            <v>61.6</v>
          </cell>
          <cell r="Q582">
            <v>5</v>
          </cell>
        </row>
        <row r="583">
          <cell r="B583">
            <v>2017</v>
          </cell>
          <cell r="C583">
            <v>39</v>
          </cell>
          <cell r="D583" t="str">
            <v>Tom Savage</v>
          </cell>
          <cell r="F583">
            <v>125</v>
          </cell>
          <cell r="G583">
            <v>223</v>
          </cell>
          <cell r="H583">
            <v>56.1</v>
          </cell>
          <cell r="I583">
            <v>5</v>
          </cell>
          <cell r="J583">
            <v>6</v>
          </cell>
          <cell r="K583">
            <v>21</v>
          </cell>
          <cell r="L583">
            <v>4</v>
          </cell>
          <cell r="M583">
            <v>2</v>
          </cell>
          <cell r="N583">
            <v>0</v>
          </cell>
          <cell r="O583">
            <v>7</v>
          </cell>
          <cell r="P583">
            <v>50.7</v>
          </cell>
          <cell r="Q583">
            <v>8</v>
          </cell>
        </row>
        <row r="584">
          <cell r="B584">
            <v>2017</v>
          </cell>
          <cell r="C584">
            <v>40</v>
          </cell>
          <cell r="D584" t="str">
            <v>Drew Stanton</v>
          </cell>
          <cell r="F584">
            <v>79</v>
          </cell>
          <cell r="G584">
            <v>159</v>
          </cell>
          <cell r="H584">
            <v>49.7</v>
          </cell>
          <cell r="I584">
            <v>6</v>
          </cell>
          <cell r="J584">
            <v>5</v>
          </cell>
          <cell r="K584">
            <v>7</v>
          </cell>
          <cell r="L584">
            <v>9</v>
          </cell>
          <cell r="M584">
            <v>7</v>
          </cell>
          <cell r="N584">
            <v>0</v>
          </cell>
          <cell r="O584">
            <v>0</v>
          </cell>
          <cell r="P584">
            <v>50.3</v>
          </cell>
          <cell r="Q584">
            <v>5</v>
          </cell>
        </row>
        <row r="585">
          <cell r="B585">
            <v>2017</v>
          </cell>
          <cell r="C585">
            <v>41</v>
          </cell>
          <cell r="D585" t="str">
            <v>Matt Moore</v>
          </cell>
          <cell r="F585">
            <v>78</v>
          </cell>
          <cell r="G585">
            <v>127</v>
          </cell>
          <cell r="H585">
            <v>61.4</v>
          </cell>
          <cell r="I585">
            <v>4</v>
          </cell>
          <cell r="J585">
            <v>5</v>
          </cell>
          <cell r="K585">
            <v>12</v>
          </cell>
          <cell r="L585">
            <v>3</v>
          </cell>
          <cell r="M585">
            <v>9</v>
          </cell>
          <cell r="N585">
            <v>0</v>
          </cell>
          <cell r="O585">
            <v>0</v>
          </cell>
          <cell r="P585">
            <v>41.3</v>
          </cell>
          <cell r="Q585">
            <v>4</v>
          </cell>
        </row>
        <row r="586">
          <cell r="B586">
            <v>2017</v>
          </cell>
          <cell r="C586">
            <v>42</v>
          </cell>
          <cell r="D586" t="str">
            <v>T.J. Yates</v>
          </cell>
          <cell r="F586">
            <v>47</v>
          </cell>
          <cell r="G586">
            <v>97</v>
          </cell>
          <cell r="H586">
            <v>48.5</v>
          </cell>
          <cell r="I586">
            <v>4</v>
          </cell>
          <cell r="J586">
            <v>3</v>
          </cell>
          <cell r="K586">
            <v>13</v>
          </cell>
          <cell r="L586">
            <v>5</v>
          </cell>
          <cell r="M586">
            <v>51</v>
          </cell>
          <cell r="N586">
            <v>0</v>
          </cell>
          <cell r="O586">
            <v>1</v>
          </cell>
          <cell r="P586">
            <v>34</v>
          </cell>
          <cell r="Q586">
            <v>4</v>
          </cell>
        </row>
        <row r="587">
          <cell r="B587">
            <v>2017</v>
          </cell>
          <cell r="C587">
            <v>43</v>
          </cell>
          <cell r="D587" t="str">
            <v>Nick Foles</v>
          </cell>
          <cell r="F587">
            <v>57</v>
          </cell>
          <cell r="G587">
            <v>101</v>
          </cell>
          <cell r="H587">
            <v>56.4</v>
          </cell>
          <cell r="I587">
            <v>5</v>
          </cell>
          <cell r="J587">
            <v>2</v>
          </cell>
          <cell r="K587">
            <v>5</v>
          </cell>
          <cell r="L587">
            <v>11</v>
          </cell>
          <cell r="M587">
            <v>3</v>
          </cell>
          <cell r="N587">
            <v>0</v>
          </cell>
          <cell r="O587">
            <v>2</v>
          </cell>
          <cell r="P587">
            <v>33.799999999999997</v>
          </cell>
          <cell r="Q587">
            <v>7</v>
          </cell>
        </row>
        <row r="588">
          <cell r="B588">
            <v>2017</v>
          </cell>
          <cell r="C588">
            <v>44</v>
          </cell>
          <cell r="D588" t="str">
            <v>Kevin Hogan</v>
          </cell>
          <cell r="F588">
            <v>46</v>
          </cell>
          <cell r="G588">
            <v>75</v>
          </cell>
          <cell r="H588">
            <v>61.3</v>
          </cell>
          <cell r="I588">
            <v>4</v>
          </cell>
          <cell r="J588">
            <v>5</v>
          </cell>
          <cell r="K588">
            <v>6</v>
          </cell>
          <cell r="L588">
            <v>10</v>
          </cell>
          <cell r="M588">
            <v>71</v>
          </cell>
          <cell r="N588">
            <v>0</v>
          </cell>
          <cell r="O588">
            <v>0</v>
          </cell>
          <cell r="P588">
            <v>33.799999999999997</v>
          </cell>
          <cell r="Q588">
            <v>4</v>
          </cell>
        </row>
        <row r="589">
          <cell r="B589">
            <v>2017</v>
          </cell>
          <cell r="C589">
            <v>45</v>
          </cell>
          <cell r="D589" t="str">
            <v>Mike Glennon</v>
          </cell>
          <cell r="F589">
            <v>93</v>
          </cell>
          <cell r="G589">
            <v>140</v>
          </cell>
          <cell r="H589">
            <v>66.400000000000006</v>
          </cell>
          <cell r="I589">
            <v>4</v>
          </cell>
          <cell r="J589">
            <v>5</v>
          </cell>
          <cell r="K589">
            <v>8</v>
          </cell>
          <cell r="L589">
            <v>4</v>
          </cell>
          <cell r="M589">
            <v>4</v>
          </cell>
          <cell r="N589">
            <v>0</v>
          </cell>
          <cell r="O589">
            <v>3</v>
          </cell>
          <cell r="P589">
            <v>33.6</v>
          </cell>
          <cell r="Q589">
            <v>4</v>
          </cell>
        </row>
        <row r="590">
          <cell r="B590">
            <v>2017</v>
          </cell>
          <cell r="C590">
            <v>46</v>
          </cell>
          <cell r="D590" t="str">
            <v>Sam Bradford</v>
          </cell>
          <cell r="F590">
            <v>32</v>
          </cell>
          <cell r="G590">
            <v>43</v>
          </cell>
          <cell r="H590">
            <v>74.400000000000006</v>
          </cell>
          <cell r="I590">
            <v>3</v>
          </cell>
          <cell r="J590">
            <v>0</v>
          </cell>
          <cell r="K590">
            <v>5</v>
          </cell>
          <cell r="L590">
            <v>2</v>
          </cell>
          <cell r="M590">
            <v>-3</v>
          </cell>
          <cell r="N590">
            <v>0</v>
          </cell>
          <cell r="O590">
            <v>0</v>
          </cell>
          <cell r="P590">
            <v>26.9</v>
          </cell>
          <cell r="Q590">
            <v>2</v>
          </cell>
        </row>
        <row r="591">
          <cell r="B591">
            <v>2017</v>
          </cell>
          <cell r="C591">
            <v>47</v>
          </cell>
          <cell r="D591" t="str">
            <v>Bryce Petty</v>
          </cell>
          <cell r="F591">
            <v>55</v>
          </cell>
          <cell r="G591">
            <v>112</v>
          </cell>
          <cell r="H591">
            <v>49.1</v>
          </cell>
          <cell r="I591">
            <v>1</v>
          </cell>
          <cell r="J591">
            <v>3</v>
          </cell>
          <cell r="K591">
            <v>8</v>
          </cell>
          <cell r="L591">
            <v>7</v>
          </cell>
          <cell r="M591">
            <v>55</v>
          </cell>
          <cell r="N591">
            <v>0</v>
          </cell>
          <cell r="O591">
            <v>0</v>
          </cell>
          <cell r="P591">
            <v>25.4</v>
          </cell>
          <cell r="Q591">
            <v>4</v>
          </cell>
        </row>
        <row r="592">
          <cell r="B592">
            <v>2017</v>
          </cell>
          <cell r="C592">
            <v>48</v>
          </cell>
          <cell r="D592" t="str">
            <v>David Fales</v>
          </cell>
          <cell r="F592">
            <v>29</v>
          </cell>
          <cell r="G592">
            <v>43</v>
          </cell>
          <cell r="H592">
            <v>67.400000000000006</v>
          </cell>
          <cell r="I592">
            <v>1</v>
          </cell>
          <cell r="J592">
            <v>1</v>
          </cell>
          <cell r="K592">
            <v>1</v>
          </cell>
          <cell r="L592">
            <v>4</v>
          </cell>
          <cell r="M592">
            <v>8</v>
          </cell>
          <cell r="N592">
            <v>1</v>
          </cell>
          <cell r="O592">
            <v>0</v>
          </cell>
          <cell r="P592">
            <v>19.399999999999999</v>
          </cell>
          <cell r="Q592">
            <v>2</v>
          </cell>
        </row>
        <row r="593">
          <cell r="B593">
            <v>2017</v>
          </cell>
          <cell r="C593">
            <v>49</v>
          </cell>
          <cell r="D593" t="str">
            <v>Paxton Lynch</v>
          </cell>
          <cell r="F593">
            <v>30</v>
          </cell>
          <cell r="G593">
            <v>45</v>
          </cell>
          <cell r="H593">
            <v>66.7</v>
          </cell>
          <cell r="I593">
            <v>2</v>
          </cell>
          <cell r="J593">
            <v>3</v>
          </cell>
          <cell r="K593">
            <v>9</v>
          </cell>
          <cell r="L593">
            <v>5</v>
          </cell>
          <cell r="M593">
            <v>30</v>
          </cell>
          <cell r="N593">
            <v>0</v>
          </cell>
          <cell r="O593">
            <v>1</v>
          </cell>
          <cell r="P593">
            <v>15.1</v>
          </cell>
          <cell r="Q593">
            <v>2</v>
          </cell>
        </row>
        <row r="594">
          <cell r="B594">
            <v>2017</v>
          </cell>
          <cell r="C594">
            <v>50</v>
          </cell>
          <cell r="D594" t="str">
            <v>E.J. Manuel</v>
          </cell>
          <cell r="F594">
            <v>24</v>
          </cell>
          <cell r="G594">
            <v>43</v>
          </cell>
          <cell r="H594">
            <v>55.8</v>
          </cell>
          <cell r="I594">
            <v>1</v>
          </cell>
          <cell r="J594">
            <v>1</v>
          </cell>
          <cell r="K594">
            <v>4</v>
          </cell>
          <cell r="L594">
            <v>2</v>
          </cell>
          <cell r="M594">
            <v>15</v>
          </cell>
          <cell r="N594">
            <v>0</v>
          </cell>
          <cell r="O594">
            <v>0</v>
          </cell>
          <cell r="P594">
            <v>14.1</v>
          </cell>
          <cell r="Q594">
            <v>2</v>
          </cell>
        </row>
        <row r="595">
          <cell r="B595">
            <v>2017</v>
          </cell>
          <cell r="C595">
            <v>51</v>
          </cell>
          <cell r="D595" t="str">
            <v>Patrick Mahomes II</v>
          </cell>
          <cell r="F595">
            <v>22</v>
          </cell>
          <cell r="G595">
            <v>35</v>
          </cell>
          <cell r="H595">
            <v>62.9</v>
          </cell>
          <cell r="I595">
            <v>0</v>
          </cell>
          <cell r="J595">
            <v>1</v>
          </cell>
          <cell r="K595">
            <v>2</v>
          </cell>
          <cell r="L595">
            <v>7</v>
          </cell>
          <cell r="M595">
            <v>10</v>
          </cell>
          <cell r="N595">
            <v>0</v>
          </cell>
          <cell r="O595">
            <v>0</v>
          </cell>
          <cell r="P595">
            <v>10.4</v>
          </cell>
          <cell r="Q595">
            <v>1</v>
          </cell>
        </row>
        <row r="596">
          <cell r="B596">
            <v>2017</v>
          </cell>
          <cell r="C596">
            <v>52</v>
          </cell>
          <cell r="D596" t="str">
            <v>Nathan Peterman</v>
          </cell>
          <cell r="F596">
            <v>24</v>
          </cell>
          <cell r="G596">
            <v>49</v>
          </cell>
          <cell r="H596">
            <v>49</v>
          </cell>
          <cell r="I596">
            <v>2</v>
          </cell>
          <cell r="J596">
            <v>5</v>
          </cell>
          <cell r="K596">
            <v>1</v>
          </cell>
          <cell r="L596">
            <v>7</v>
          </cell>
          <cell r="M596">
            <v>23</v>
          </cell>
          <cell r="N596">
            <v>0</v>
          </cell>
          <cell r="O596">
            <v>0</v>
          </cell>
          <cell r="P596">
            <v>10.4</v>
          </cell>
          <cell r="Q596">
            <v>4</v>
          </cell>
        </row>
        <row r="597">
          <cell r="B597">
            <v>2017</v>
          </cell>
          <cell r="C597">
            <v>53</v>
          </cell>
          <cell r="D597" t="str">
            <v>Ryan Mallett</v>
          </cell>
          <cell r="F597">
            <v>9</v>
          </cell>
          <cell r="G597">
            <v>16</v>
          </cell>
          <cell r="H597">
            <v>56.3</v>
          </cell>
          <cell r="I597">
            <v>2</v>
          </cell>
          <cell r="J597">
            <v>0</v>
          </cell>
          <cell r="K597">
            <v>0</v>
          </cell>
          <cell r="L597">
            <v>4</v>
          </cell>
          <cell r="M597">
            <v>-3</v>
          </cell>
          <cell r="N597">
            <v>0</v>
          </cell>
          <cell r="O597">
            <v>0</v>
          </cell>
          <cell r="P597">
            <v>9.9</v>
          </cell>
          <cell r="Q597">
            <v>3</v>
          </cell>
        </row>
        <row r="598">
          <cell r="B598">
            <v>2017</v>
          </cell>
          <cell r="C598">
            <v>54</v>
          </cell>
          <cell r="D598" t="str">
            <v>Geno Smith</v>
          </cell>
          <cell r="F598">
            <v>21</v>
          </cell>
          <cell r="G598">
            <v>36</v>
          </cell>
          <cell r="H598">
            <v>58.3</v>
          </cell>
          <cell r="I598">
            <v>1</v>
          </cell>
          <cell r="J598">
            <v>0</v>
          </cell>
          <cell r="K598">
            <v>3</v>
          </cell>
          <cell r="L598">
            <v>4</v>
          </cell>
          <cell r="M598">
            <v>12</v>
          </cell>
          <cell r="N598">
            <v>0</v>
          </cell>
          <cell r="O598">
            <v>2</v>
          </cell>
          <cell r="P598">
            <v>9.6999999999999993</v>
          </cell>
          <cell r="Q598">
            <v>2</v>
          </cell>
        </row>
        <row r="599">
          <cell r="B599">
            <v>2017</v>
          </cell>
          <cell r="C599">
            <v>55</v>
          </cell>
          <cell r="D599" t="str">
            <v>Landry Jones</v>
          </cell>
          <cell r="F599">
            <v>23</v>
          </cell>
          <cell r="G599">
            <v>28</v>
          </cell>
          <cell r="H599">
            <v>82.1</v>
          </cell>
          <cell r="I599">
            <v>1</v>
          </cell>
          <cell r="J599">
            <v>1</v>
          </cell>
          <cell r="K599">
            <v>3</v>
          </cell>
          <cell r="L599">
            <v>8</v>
          </cell>
          <cell r="M599">
            <v>-10</v>
          </cell>
          <cell r="N599">
            <v>0</v>
          </cell>
          <cell r="O599">
            <v>1</v>
          </cell>
          <cell r="P599">
            <v>8.6</v>
          </cell>
          <cell r="Q599">
            <v>3</v>
          </cell>
        </row>
        <row r="600">
          <cell r="B600">
            <v>2017</v>
          </cell>
          <cell r="C600">
            <v>56</v>
          </cell>
          <cell r="D600" t="str">
            <v>Nate Sudfeld</v>
          </cell>
          <cell r="F600">
            <v>19</v>
          </cell>
          <cell r="G600">
            <v>23</v>
          </cell>
          <cell r="H600">
            <v>82.6</v>
          </cell>
          <cell r="I600">
            <v>0</v>
          </cell>
          <cell r="J600">
            <v>0</v>
          </cell>
          <cell r="K600">
            <v>3</v>
          </cell>
          <cell r="L600">
            <v>1</v>
          </cell>
          <cell r="M600">
            <v>22</v>
          </cell>
          <cell r="N600">
            <v>0</v>
          </cell>
          <cell r="O600">
            <v>0</v>
          </cell>
          <cell r="P600">
            <v>7.6</v>
          </cell>
          <cell r="Q600">
            <v>1</v>
          </cell>
        </row>
        <row r="601">
          <cell r="B601">
            <v>2017</v>
          </cell>
          <cell r="C601">
            <v>57</v>
          </cell>
          <cell r="D601" t="str">
            <v>Sean Mannion</v>
          </cell>
          <cell r="F601">
            <v>22</v>
          </cell>
          <cell r="G601">
            <v>37</v>
          </cell>
          <cell r="H601">
            <v>59.5</v>
          </cell>
          <cell r="I601">
            <v>0</v>
          </cell>
          <cell r="J601">
            <v>0</v>
          </cell>
          <cell r="K601">
            <v>3</v>
          </cell>
          <cell r="L601">
            <v>9</v>
          </cell>
          <cell r="M601">
            <v>-2</v>
          </cell>
          <cell r="N601">
            <v>0</v>
          </cell>
          <cell r="O601">
            <v>1</v>
          </cell>
          <cell r="P601">
            <v>5.3</v>
          </cell>
          <cell r="Q601">
            <v>5</v>
          </cell>
        </row>
        <row r="602">
          <cell r="B602">
            <v>2017</v>
          </cell>
          <cell r="C602">
            <v>58</v>
          </cell>
          <cell r="D602" t="str">
            <v>Joe Webb III</v>
          </cell>
          <cell r="F602">
            <v>2</v>
          </cell>
          <cell r="G602">
            <v>7</v>
          </cell>
          <cell r="H602">
            <v>28.6</v>
          </cell>
          <cell r="I602">
            <v>0</v>
          </cell>
          <cell r="J602">
            <v>1</v>
          </cell>
          <cell r="K602">
            <v>0</v>
          </cell>
          <cell r="L602">
            <v>8</v>
          </cell>
          <cell r="M602">
            <v>54</v>
          </cell>
          <cell r="N602">
            <v>0</v>
          </cell>
          <cell r="O602">
            <v>0</v>
          </cell>
          <cell r="P602">
            <v>4.8</v>
          </cell>
          <cell r="Q602">
            <v>16</v>
          </cell>
        </row>
        <row r="603">
          <cell r="B603">
            <v>2017</v>
          </cell>
          <cell r="C603">
            <v>59</v>
          </cell>
          <cell r="D603" t="str">
            <v>Cody Kessler</v>
          </cell>
          <cell r="F603">
            <v>11</v>
          </cell>
          <cell r="G603">
            <v>23</v>
          </cell>
          <cell r="H603">
            <v>47.8</v>
          </cell>
          <cell r="I603">
            <v>0</v>
          </cell>
          <cell r="J603">
            <v>1</v>
          </cell>
          <cell r="K603">
            <v>6</v>
          </cell>
          <cell r="L603">
            <v>1</v>
          </cell>
          <cell r="M603">
            <v>-1</v>
          </cell>
          <cell r="N603">
            <v>0</v>
          </cell>
          <cell r="O603">
            <v>0</v>
          </cell>
          <cell r="P603">
            <v>2.9</v>
          </cell>
          <cell r="Q603">
            <v>3</v>
          </cell>
        </row>
        <row r="604">
          <cell r="B604">
            <v>2017</v>
          </cell>
          <cell r="C604">
            <v>60</v>
          </cell>
          <cell r="D604" t="str">
            <v>AJ McCarron</v>
          </cell>
          <cell r="F604">
            <v>7</v>
          </cell>
          <cell r="G604">
            <v>14</v>
          </cell>
          <cell r="H604">
            <v>50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2.7</v>
          </cell>
          <cell r="Q604">
            <v>3</v>
          </cell>
        </row>
        <row r="605">
          <cell r="B605">
            <v>2017</v>
          </cell>
          <cell r="C605">
            <v>61</v>
          </cell>
          <cell r="D605" t="str">
            <v>Matt Cassel</v>
          </cell>
          <cell r="F605">
            <v>25</v>
          </cell>
          <cell r="G605">
            <v>42</v>
          </cell>
          <cell r="H605">
            <v>59.5</v>
          </cell>
          <cell r="I605">
            <v>1</v>
          </cell>
          <cell r="J605">
            <v>2</v>
          </cell>
          <cell r="K605">
            <v>8</v>
          </cell>
          <cell r="L605">
            <v>0</v>
          </cell>
          <cell r="M605">
            <v>0</v>
          </cell>
          <cell r="N605">
            <v>0</v>
          </cell>
          <cell r="O605">
            <v>2</v>
          </cell>
          <cell r="P605">
            <v>2.4</v>
          </cell>
          <cell r="Q605">
            <v>2</v>
          </cell>
        </row>
        <row r="606">
          <cell r="B606">
            <v>2017</v>
          </cell>
          <cell r="C606">
            <v>62</v>
          </cell>
          <cell r="D606" t="str">
            <v>Cooper Rush</v>
          </cell>
          <cell r="F606">
            <v>1</v>
          </cell>
          <cell r="G606">
            <v>3</v>
          </cell>
          <cell r="H606">
            <v>33.299999999999997</v>
          </cell>
          <cell r="I606">
            <v>0</v>
          </cell>
          <cell r="J606">
            <v>0</v>
          </cell>
          <cell r="K606">
            <v>0</v>
          </cell>
          <cell r="L606">
            <v>2</v>
          </cell>
          <cell r="M606">
            <v>13</v>
          </cell>
          <cell r="N606">
            <v>0</v>
          </cell>
          <cell r="O606">
            <v>0</v>
          </cell>
          <cell r="P606">
            <v>1.4</v>
          </cell>
          <cell r="Q606">
            <v>2</v>
          </cell>
        </row>
        <row r="607">
          <cell r="B607">
            <v>2017</v>
          </cell>
          <cell r="C607">
            <v>63</v>
          </cell>
          <cell r="D607" t="str">
            <v>Scott Tolzien</v>
          </cell>
          <cell r="F607">
            <v>9</v>
          </cell>
          <cell r="G607">
            <v>18</v>
          </cell>
          <cell r="H607">
            <v>50</v>
          </cell>
          <cell r="I607">
            <v>0</v>
          </cell>
          <cell r="J607">
            <v>2</v>
          </cell>
          <cell r="K607">
            <v>4</v>
          </cell>
          <cell r="L607">
            <v>2</v>
          </cell>
          <cell r="M607">
            <v>2</v>
          </cell>
          <cell r="N607">
            <v>0</v>
          </cell>
          <cell r="O607">
            <v>0</v>
          </cell>
          <cell r="P607">
            <v>1.3</v>
          </cell>
          <cell r="Q607">
            <v>1</v>
          </cell>
        </row>
        <row r="608">
          <cell r="B608">
            <v>2017</v>
          </cell>
          <cell r="C608">
            <v>64</v>
          </cell>
          <cell r="D608" t="str">
            <v>Taylor Heinicke</v>
          </cell>
          <cell r="F608">
            <v>1</v>
          </cell>
          <cell r="G608">
            <v>1</v>
          </cell>
          <cell r="H608">
            <v>100</v>
          </cell>
          <cell r="I608">
            <v>0</v>
          </cell>
          <cell r="J608">
            <v>0</v>
          </cell>
          <cell r="K608">
            <v>1</v>
          </cell>
          <cell r="L608">
            <v>1</v>
          </cell>
          <cell r="M608">
            <v>2</v>
          </cell>
          <cell r="N608">
            <v>0</v>
          </cell>
          <cell r="O608">
            <v>0</v>
          </cell>
          <cell r="P608">
            <v>0.6</v>
          </cell>
          <cell r="Q608">
            <v>1</v>
          </cell>
        </row>
        <row r="609">
          <cell r="B609">
            <v>2017</v>
          </cell>
          <cell r="C609">
            <v>65</v>
          </cell>
          <cell r="D609" t="str">
            <v>Derek Anderson</v>
          </cell>
          <cell r="F609">
            <v>2</v>
          </cell>
          <cell r="G609">
            <v>8</v>
          </cell>
          <cell r="H609">
            <v>25</v>
          </cell>
          <cell r="I609">
            <v>0</v>
          </cell>
          <cell r="J609">
            <v>0</v>
          </cell>
          <cell r="K609">
            <v>0</v>
          </cell>
          <cell r="L609">
            <v>2</v>
          </cell>
          <cell r="M609">
            <v>-2</v>
          </cell>
          <cell r="N609">
            <v>0</v>
          </cell>
          <cell r="O609">
            <v>0</v>
          </cell>
          <cell r="P609">
            <v>0.5</v>
          </cell>
          <cell r="Q609">
            <v>3</v>
          </cell>
        </row>
        <row r="610">
          <cell r="B610">
            <v>2017</v>
          </cell>
          <cell r="C610">
            <v>66</v>
          </cell>
          <cell r="D610" t="str">
            <v>Joe Callahan</v>
          </cell>
          <cell r="F610">
            <v>5</v>
          </cell>
          <cell r="G610">
            <v>7</v>
          </cell>
          <cell r="H610">
            <v>71.400000000000006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0.4</v>
          </cell>
          <cell r="Q610">
            <v>1</v>
          </cell>
        </row>
        <row r="667">
          <cell r="B667">
            <v>2017</v>
          </cell>
          <cell r="C667">
            <v>123</v>
          </cell>
          <cell r="D667" t="str">
            <v>Colt McCoy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1</v>
          </cell>
        </row>
        <row r="672">
          <cell r="B672">
            <v>2017</v>
          </cell>
          <cell r="C672">
            <v>128</v>
          </cell>
          <cell r="D672" t="str">
            <v>Taysom Hill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5</v>
          </cell>
        </row>
        <row r="673">
          <cell r="B673">
            <v>2017</v>
          </cell>
          <cell r="C673">
            <v>129</v>
          </cell>
          <cell r="D673" t="str">
            <v>Darius Hillary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1</v>
          </cell>
        </row>
        <row r="690">
          <cell r="B690">
            <v>2017</v>
          </cell>
          <cell r="C690">
            <v>146</v>
          </cell>
          <cell r="D690" t="str">
            <v>Austin Davis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1</v>
          </cell>
          <cell r="M690">
            <v>-1</v>
          </cell>
          <cell r="N690">
            <v>0</v>
          </cell>
          <cell r="O690">
            <v>0</v>
          </cell>
          <cell r="P690">
            <v>-0.1</v>
          </cell>
          <cell r="Q690">
            <v>3</v>
          </cell>
        </row>
        <row r="691">
          <cell r="B691">
            <v>2017</v>
          </cell>
          <cell r="C691">
            <v>147</v>
          </cell>
          <cell r="D691" t="str">
            <v>Chase Daniel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3</v>
          </cell>
          <cell r="M691">
            <v>-2</v>
          </cell>
          <cell r="N691">
            <v>0</v>
          </cell>
          <cell r="O691">
            <v>0</v>
          </cell>
          <cell r="P691">
            <v>-0.2</v>
          </cell>
          <cell r="Q691">
            <v>1</v>
          </cell>
        </row>
        <row r="692">
          <cell r="B692">
            <v>2017</v>
          </cell>
          <cell r="C692">
            <v>148</v>
          </cell>
          <cell r="D692" t="str">
            <v>Chad Henne</v>
          </cell>
          <cell r="F692">
            <v>0</v>
          </cell>
          <cell r="G692">
            <v>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5</v>
          </cell>
          <cell r="M692">
            <v>-5</v>
          </cell>
          <cell r="N692">
            <v>0</v>
          </cell>
          <cell r="O692">
            <v>0</v>
          </cell>
          <cell r="P692">
            <v>-0.5</v>
          </cell>
          <cell r="Q692">
            <v>2</v>
          </cell>
        </row>
        <row r="693">
          <cell r="B693">
            <v>2017</v>
          </cell>
          <cell r="C693">
            <v>149</v>
          </cell>
          <cell r="D693" t="str">
            <v>Jake Rudock</v>
          </cell>
          <cell r="F693">
            <v>3</v>
          </cell>
          <cell r="G693">
            <v>5</v>
          </cell>
          <cell r="H693">
            <v>60</v>
          </cell>
          <cell r="I693">
            <v>0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-1</v>
          </cell>
          <cell r="Q693">
            <v>3</v>
          </cell>
        </row>
        <row r="694">
          <cell r="B694">
            <v>2017</v>
          </cell>
          <cell r="C694">
            <v>150</v>
          </cell>
          <cell r="D694" t="str">
            <v>Kellen Clemens</v>
          </cell>
          <cell r="F694">
            <v>6</v>
          </cell>
          <cell r="G694">
            <v>8</v>
          </cell>
          <cell r="H694">
            <v>75</v>
          </cell>
          <cell r="I694">
            <v>0</v>
          </cell>
          <cell r="J694">
            <v>1</v>
          </cell>
          <cell r="K694">
            <v>0</v>
          </cell>
          <cell r="L694">
            <v>5</v>
          </cell>
          <cell r="M694">
            <v>-5</v>
          </cell>
          <cell r="N694">
            <v>0</v>
          </cell>
          <cell r="O694">
            <v>0</v>
          </cell>
          <cell r="P694">
            <v>-1.1000000000000001</v>
          </cell>
          <cell r="Q694">
            <v>8</v>
          </cell>
        </row>
        <row r="695">
          <cell r="B695">
            <v>2017</v>
          </cell>
          <cell r="C695">
            <v>151</v>
          </cell>
          <cell r="D695" t="str">
            <v>Tyler Bray</v>
          </cell>
          <cell r="F695">
            <v>0</v>
          </cell>
          <cell r="G695">
            <v>1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1</v>
          </cell>
          <cell r="M695">
            <v>0</v>
          </cell>
          <cell r="N695">
            <v>0</v>
          </cell>
          <cell r="O695">
            <v>1</v>
          </cell>
          <cell r="P695">
            <v>-2</v>
          </cell>
          <cell r="Q695">
            <v>1</v>
          </cell>
        </row>
        <row r="696">
          <cell r="B696">
            <v>2017</v>
          </cell>
          <cell r="C696">
            <v>152</v>
          </cell>
          <cell r="D696" t="str">
            <v>Teddy Bridgewater</v>
          </cell>
          <cell r="F696">
            <v>0</v>
          </cell>
          <cell r="G696">
            <v>2</v>
          </cell>
          <cell r="H696">
            <v>0</v>
          </cell>
          <cell r="I696">
            <v>0</v>
          </cell>
          <cell r="J696">
            <v>1</v>
          </cell>
          <cell r="K696">
            <v>0</v>
          </cell>
          <cell r="L696">
            <v>3</v>
          </cell>
          <cell r="M696">
            <v>-3</v>
          </cell>
          <cell r="N696">
            <v>0</v>
          </cell>
          <cell r="O696">
            <v>0</v>
          </cell>
          <cell r="P696">
            <v>-2.2999999999999998</v>
          </cell>
          <cell r="Q696">
            <v>1</v>
          </cell>
        </row>
        <row r="697">
          <cell r="B697">
            <v>2016</v>
          </cell>
          <cell r="C697">
            <v>1</v>
          </cell>
          <cell r="D697" t="str">
            <v>Aaron Rodgers</v>
          </cell>
          <cell r="F697">
            <v>401</v>
          </cell>
          <cell r="G697">
            <v>610</v>
          </cell>
          <cell r="H697">
            <v>65.7</v>
          </cell>
          <cell r="I697">
            <v>40</v>
          </cell>
          <cell r="J697">
            <v>7</v>
          </cell>
          <cell r="K697">
            <v>35</v>
          </cell>
          <cell r="L697">
            <v>67</v>
          </cell>
          <cell r="M697">
            <v>369</v>
          </cell>
          <cell r="N697">
            <v>4</v>
          </cell>
          <cell r="O697">
            <v>4</v>
          </cell>
          <cell r="P697">
            <v>380</v>
          </cell>
          <cell r="Q697">
            <v>16</v>
          </cell>
        </row>
        <row r="698">
          <cell r="B698">
            <v>2016</v>
          </cell>
          <cell r="C698">
            <v>2</v>
          </cell>
          <cell r="D698" t="str">
            <v>Matt Ryan</v>
          </cell>
          <cell r="F698">
            <v>373</v>
          </cell>
          <cell r="G698">
            <v>534</v>
          </cell>
          <cell r="H698">
            <v>69.900000000000006</v>
          </cell>
          <cell r="I698">
            <v>38</v>
          </cell>
          <cell r="J698">
            <v>7</v>
          </cell>
          <cell r="K698">
            <v>37</v>
          </cell>
          <cell r="L698">
            <v>35</v>
          </cell>
          <cell r="M698">
            <v>117</v>
          </cell>
          <cell r="N698">
            <v>0</v>
          </cell>
          <cell r="O698">
            <v>2</v>
          </cell>
          <cell r="P698">
            <v>347.5</v>
          </cell>
          <cell r="Q698">
            <v>16</v>
          </cell>
        </row>
        <row r="699">
          <cell r="B699">
            <v>2016</v>
          </cell>
          <cell r="C699">
            <v>3</v>
          </cell>
          <cell r="D699" t="str">
            <v>Drew Brees</v>
          </cell>
          <cell r="F699">
            <v>471</v>
          </cell>
          <cell r="G699">
            <v>673</v>
          </cell>
          <cell r="H699">
            <v>70</v>
          </cell>
          <cell r="I699">
            <v>37</v>
          </cell>
          <cell r="J699">
            <v>15</v>
          </cell>
          <cell r="K699">
            <v>27</v>
          </cell>
          <cell r="L699">
            <v>23</v>
          </cell>
          <cell r="M699">
            <v>20</v>
          </cell>
          <cell r="N699">
            <v>2</v>
          </cell>
          <cell r="O699">
            <v>4</v>
          </cell>
          <cell r="P699">
            <v>332.3</v>
          </cell>
          <cell r="Q699">
            <v>16</v>
          </cell>
        </row>
        <row r="700">
          <cell r="B700">
            <v>2016</v>
          </cell>
          <cell r="C700">
            <v>4</v>
          </cell>
          <cell r="D700" t="str">
            <v>Andrew Luck</v>
          </cell>
          <cell r="F700">
            <v>346</v>
          </cell>
          <cell r="G700">
            <v>545</v>
          </cell>
          <cell r="H700">
            <v>63.5</v>
          </cell>
          <cell r="I700">
            <v>31</v>
          </cell>
          <cell r="J700">
            <v>13</v>
          </cell>
          <cell r="K700">
            <v>41</v>
          </cell>
          <cell r="L700">
            <v>64</v>
          </cell>
          <cell r="M700">
            <v>341</v>
          </cell>
          <cell r="N700">
            <v>2</v>
          </cell>
          <cell r="O700">
            <v>5</v>
          </cell>
          <cell r="P700">
            <v>307.60000000000002</v>
          </cell>
          <cell r="Q700">
            <v>15</v>
          </cell>
        </row>
        <row r="701">
          <cell r="B701">
            <v>2016</v>
          </cell>
          <cell r="C701">
            <v>5</v>
          </cell>
          <cell r="D701" t="str">
            <v>Kirk Cousins</v>
          </cell>
          <cell r="F701">
            <v>406</v>
          </cell>
          <cell r="G701">
            <v>606</v>
          </cell>
          <cell r="H701">
            <v>67</v>
          </cell>
          <cell r="I701">
            <v>25</v>
          </cell>
          <cell r="J701">
            <v>12</v>
          </cell>
          <cell r="K701">
            <v>23</v>
          </cell>
          <cell r="L701">
            <v>34</v>
          </cell>
          <cell r="M701">
            <v>96</v>
          </cell>
          <cell r="N701">
            <v>4</v>
          </cell>
          <cell r="O701">
            <v>3</v>
          </cell>
          <cell r="P701">
            <v>300.7</v>
          </cell>
          <cell r="Q701">
            <v>16</v>
          </cell>
        </row>
        <row r="702">
          <cell r="B702">
            <v>2016</v>
          </cell>
          <cell r="C702">
            <v>6</v>
          </cell>
          <cell r="D702" t="str">
            <v>Dak Prescott</v>
          </cell>
          <cell r="F702">
            <v>311</v>
          </cell>
          <cell r="G702">
            <v>459</v>
          </cell>
          <cell r="H702">
            <v>67.8</v>
          </cell>
          <cell r="I702">
            <v>23</v>
          </cell>
          <cell r="J702">
            <v>4</v>
          </cell>
          <cell r="K702">
            <v>25</v>
          </cell>
          <cell r="L702">
            <v>57</v>
          </cell>
          <cell r="M702">
            <v>282</v>
          </cell>
          <cell r="N702">
            <v>6</v>
          </cell>
          <cell r="O702">
            <v>4</v>
          </cell>
          <cell r="P702">
            <v>287.10000000000002</v>
          </cell>
          <cell r="Q702">
            <v>16</v>
          </cell>
        </row>
        <row r="703">
          <cell r="B703">
            <v>2016</v>
          </cell>
          <cell r="C703">
            <v>7</v>
          </cell>
          <cell r="D703" t="str">
            <v>Matthew Stafford</v>
          </cell>
          <cell r="F703">
            <v>388</v>
          </cell>
          <cell r="G703">
            <v>594</v>
          </cell>
          <cell r="H703">
            <v>65.3</v>
          </cell>
          <cell r="I703">
            <v>24</v>
          </cell>
          <cell r="J703">
            <v>10</v>
          </cell>
          <cell r="K703">
            <v>37</v>
          </cell>
          <cell r="L703">
            <v>37</v>
          </cell>
          <cell r="M703">
            <v>207</v>
          </cell>
          <cell r="N703">
            <v>2</v>
          </cell>
          <cell r="O703">
            <v>2</v>
          </cell>
          <cell r="P703">
            <v>279.7</v>
          </cell>
          <cell r="Q703">
            <v>16</v>
          </cell>
        </row>
        <row r="704">
          <cell r="B704">
            <v>2016</v>
          </cell>
          <cell r="C704">
            <v>8</v>
          </cell>
          <cell r="D704" t="str">
            <v>Tyrod Taylor</v>
          </cell>
          <cell r="F704">
            <v>269</v>
          </cell>
          <cell r="G704">
            <v>436</v>
          </cell>
          <cell r="H704">
            <v>61.7</v>
          </cell>
          <cell r="I704">
            <v>17</v>
          </cell>
          <cell r="J704">
            <v>6</v>
          </cell>
          <cell r="K704">
            <v>42</v>
          </cell>
          <cell r="L704">
            <v>95</v>
          </cell>
          <cell r="M704">
            <v>580</v>
          </cell>
          <cell r="N704">
            <v>6</v>
          </cell>
          <cell r="O704">
            <v>2</v>
          </cell>
          <cell r="P704">
            <v>270.89999999999998</v>
          </cell>
          <cell r="Q704">
            <v>15</v>
          </cell>
        </row>
        <row r="705">
          <cell r="B705">
            <v>2016</v>
          </cell>
          <cell r="C705">
            <v>9</v>
          </cell>
          <cell r="D705" t="str">
            <v>Blake Bortles</v>
          </cell>
          <cell r="F705">
            <v>368</v>
          </cell>
          <cell r="G705">
            <v>625</v>
          </cell>
          <cell r="H705">
            <v>58.9</v>
          </cell>
          <cell r="I705">
            <v>23</v>
          </cell>
          <cell r="J705">
            <v>16</v>
          </cell>
          <cell r="K705">
            <v>34</v>
          </cell>
          <cell r="L705">
            <v>58</v>
          </cell>
          <cell r="M705">
            <v>359</v>
          </cell>
          <cell r="N705">
            <v>3</v>
          </cell>
          <cell r="O705">
            <v>6</v>
          </cell>
          <cell r="P705">
            <v>270.60000000000002</v>
          </cell>
          <cell r="Q705">
            <v>16</v>
          </cell>
        </row>
        <row r="706">
          <cell r="B706">
            <v>2016</v>
          </cell>
          <cell r="C706">
            <v>10</v>
          </cell>
          <cell r="D706" t="str">
            <v>Russell Wilson</v>
          </cell>
          <cell r="F706">
            <v>353</v>
          </cell>
          <cell r="G706">
            <v>546</v>
          </cell>
          <cell r="H706">
            <v>64.7</v>
          </cell>
          <cell r="I706">
            <v>21</v>
          </cell>
          <cell r="J706">
            <v>11</v>
          </cell>
          <cell r="K706">
            <v>41</v>
          </cell>
          <cell r="L706">
            <v>72</v>
          </cell>
          <cell r="M706">
            <v>259</v>
          </cell>
          <cell r="N706">
            <v>1</v>
          </cell>
          <cell r="O706">
            <v>2</v>
          </cell>
          <cell r="P706">
            <v>269.10000000000002</v>
          </cell>
          <cell r="Q706">
            <v>16</v>
          </cell>
        </row>
        <row r="707">
          <cell r="B707">
            <v>2016</v>
          </cell>
          <cell r="C707">
            <v>11</v>
          </cell>
          <cell r="D707" t="str">
            <v>Derek Carr</v>
          </cell>
          <cell r="F707">
            <v>357</v>
          </cell>
          <cell r="G707">
            <v>560</v>
          </cell>
          <cell r="H707">
            <v>63.8</v>
          </cell>
          <cell r="I707">
            <v>28</v>
          </cell>
          <cell r="J707">
            <v>6</v>
          </cell>
          <cell r="K707">
            <v>16</v>
          </cell>
          <cell r="L707">
            <v>39</v>
          </cell>
          <cell r="M707">
            <v>70</v>
          </cell>
          <cell r="N707">
            <v>0</v>
          </cell>
          <cell r="O707">
            <v>3</v>
          </cell>
          <cell r="P707">
            <v>268.39999999999998</v>
          </cell>
          <cell r="Q707">
            <v>15</v>
          </cell>
        </row>
        <row r="708">
          <cell r="B708">
            <v>2016</v>
          </cell>
          <cell r="C708">
            <v>12</v>
          </cell>
          <cell r="D708" t="str">
            <v>Marcus Mariota</v>
          </cell>
          <cell r="F708">
            <v>276</v>
          </cell>
          <cell r="G708">
            <v>451</v>
          </cell>
          <cell r="H708">
            <v>61.2</v>
          </cell>
          <cell r="I708">
            <v>26</v>
          </cell>
          <cell r="J708">
            <v>9</v>
          </cell>
          <cell r="K708">
            <v>23</v>
          </cell>
          <cell r="L708">
            <v>60</v>
          </cell>
          <cell r="M708">
            <v>349</v>
          </cell>
          <cell r="N708">
            <v>2</v>
          </cell>
          <cell r="O708">
            <v>5</v>
          </cell>
          <cell r="P708">
            <v>260.7</v>
          </cell>
          <cell r="Q708">
            <v>15</v>
          </cell>
        </row>
        <row r="709">
          <cell r="B709">
            <v>2016</v>
          </cell>
          <cell r="C709">
            <v>13</v>
          </cell>
          <cell r="D709" t="str">
            <v>Andy Dalton</v>
          </cell>
          <cell r="F709">
            <v>364</v>
          </cell>
          <cell r="G709">
            <v>563</v>
          </cell>
          <cell r="H709">
            <v>64.7</v>
          </cell>
          <cell r="I709">
            <v>18</v>
          </cell>
          <cell r="J709">
            <v>8</v>
          </cell>
          <cell r="K709">
            <v>41</v>
          </cell>
          <cell r="L709">
            <v>46</v>
          </cell>
          <cell r="M709">
            <v>184</v>
          </cell>
          <cell r="N709">
            <v>4</v>
          </cell>
          <cell r="O709">
            <v>3</v>
          </cell>
          <cell r="P709">
            <v>260.60000000000002</v>
          </cell>
          <cell r="Q709">
            <v>16</v>
          </cell>
        </row>
        <row r="710">
          <cell r="B710">
            <v>2016</v>
          </cell>
          <cell r="C710">
            <v>14</v>
          </cell>
          <cell r="D710" t="str">
            <v>Philip Rivers</v>
          </cell>
          <cell r="F710">
            <v>349</v>
          </cell>
          <cell r="G710">
            <v>578</v>
          </cell>
          <cell r="H710">
            <v>60.4</v>
          </cell>
          <cell r="I710">
            <v>33</v>
          </cell>
          <cell r="J710">
            <v>21</v>
          </cell>
          <cell r="K710">
            <v>36</v>
          </cell>
          <cell r="L710">
            <v>14</v>
          </cell>
          <cell r="M710">
            <v>35</v>
          </cell>
          <cell r="N710">
            <v>0</v>
          </cell>
          <cell r="O710">
            <v>5</v>
          </cell>
          <cell r="P710">
            <v>259</v>
          </cell>
          <cell r="Q710">
            <v>16</v>
          </cell>
        </row>
        <row r="711">
          <cell r="B711">
            <v>2016</v>
          </cell>
          <cell r="C711">
            <v>15</v>
          </cell>
          <cell r="D711" t="str">
            <v>Tom Brady</v>
          </cell>
          <cell r="F711">
            <v>291</v>
          </cell>
          <cell r="G711">
            <v>432</v>
          </cell>
          <cell r="H711">
            <v>67.400000000000006</v>
          </cell>
          <cell r="I711">
            <v>28</v>
          </cell>
          <cell r="J711">
            <v>2</v>
          </cell>
          <cell r="K711">
            <v>15</v>
          </cell>
          <cell r="L711">
            <v>28</v>
          </cell>
          <cell r="M711">
            <v>64</v>
          </cell>
          <cell r="N711">
            <v>0</v>
          </cell>
          <cell r="O711">
            <v>0</v>
          </cell>
          <cell r="P711">
            <v>258.39999999999998</v>
          </cell>
          <cell r="Q711">
            <v>12</v>
          </cell>
        </row>
        <row r="712">
          <cell r="B712">
            <v>2016</v>
          </cell>
          <cell r="C712">
            <v>16</v>
          </cell>
          <cell r="D712" t="str">
            <v>Jameis Winston</v>
          </cell>
          <cell r="F712">
            <v>345</v>
          </cell>
          <cell r="G712">
            <v>567</v>
          </cell>
          <cell r="H712">
            <v>60.8</v>
          </cell>
          <cell r="I712">
            <v>28</v>
          </cell>
          <cell r="J712">
            <v>18</v>
          </cell>
          <cell r="K712">
            <v>35</v>
          </cell>
          <cell r="L712">
            <v>53</v>
          </cell>
          <cell r="M712">
            <v>165</v>
          </cell>
          <cell r="N712">
            <v>1</v>
          </cell>
          <cell r="O712">
            <v>6</v>
          </cell>
          <cell r="P712">
            <v>256.5</v>
          </cell>
          <cell r="Q712">
            <v>16</v>
          </cell>
        </row>
        <row r="713">
          <cell r="B713">
            <v>2016</v>
          </cell>
          <cell r="C713">
            <v>17</v>
          </cell>
          <cell r="D713" t="str">
            <v>Cam Newton</v>
          </cell>
          <cell r="F713">
            <v>270</v>
          </cell>
          <cell r="G713">
            <v>510</v>
          </cell>
          <cell r="H713">
            <v>52.9</v>
          </cell>
          <cell r="I713">
            <v>19</v>
          </cell>
          <cell r="J713">
            <v>14</v>
          </cell>
          <cell r="K713">
            <v>36</v>
          </cell>
          <cell r="L713">
            <v>90</v>
          </cell>
          <cell r="M713">
            <v>359</v>
          </cell>
          <cell r="N713">
            <v>5</v>
          </cell>
          <cell r="O713">
            <v>2</v>
          </cell>
          <cell r="P713">
            <v>254.3</v>
          </cell>
          <cell r="Q713">
            <v>15</v>
          </cell>
        </row>
        <row r="714">
          <cell r="B714">
            <v>2016</v>
          </cell>
          <cell r="C714">
            <v>18</v>
          </cell>
          <cell r="D714" t="str">
            <v>Ben Roethlisberger</v>
          </cell>
          <cell r="F714">
            <v>328</v>
          </cell>
          <cell r="G714">
            <v>509</v>
          </cell>
          <cell r="H714">
            <v>64.400000000000006</v>
          </cell>
          <cell r="I714">
            <v>29</v>
          </cell>
          <cell r="J714">
            <v>13</v>
          </cell>
          <cell r="K714">
            <v>17</v>
          </cell>
          <cell r="L714">
            <v>16</v>
          </cell>
          <cell r="M714">
            <v>14</v>
          </cell>
          <cell r="N714">
            <v>1</v>
          </cell>
          <cell r="O714">
            <v>2</v>
          </cell>
          <cell r="P714">
            <v>252.3</v>
          </cell>
          <cell r="Q714">
            <v>14</v>
          </cell>
        </row>
        <row r="715">
          <cell r="B715">
            <v>2016</v>
          </cell>
          <cell r="C715">
            <v>19</v>
          </cell>
          <cell r="D715" t="str">
            <v>Carson Palmer</v>
          </cell>
          <cell r="F715">
            <v>364</v>
          </cell>
          <cell r="G715">
            <v>597</v>
          </cell>
          <cell r="H715">
            <v>61</v>
          </cell>
          <cell r="I715">
            <v>26</v>
          </cell>
          <cell r="J715">
            <v>14</v>
          </cell>
          <cell r="K715">
            <v>40</v>
          </cell>
          <cell r="L715">
            <v>14</v>
          </cell>
          <cell r="M715">
            <v>38</v>
          </cell>
          <cell r="N715">
            <v>0</v>
          </cell>
          <cell r="O715">
            <v>4</v>
          </cell>
          <cell r="P715">
            <v>243.2</v>
          </cell>
          <cell r="Q715">
            <v>15</v>
          </cell>
        </row>
        <row r="716">
          <cell r="B716">
            <v>2016</v>
          </cell>
          <cell r="C716">
            <v>20</v>
          </cell>
          <cell r="D716" t="str">
            <v>Joe Flacco</v>
          </cell>
          <cell r="F716">
            <v>436</v>
          </cell>
          <cell r="G716">
            <v>672</v>
          </cell>
          <cell r="H716">
            <v>64.900000000000006</v>
          </cell>
          <cell r="I716">
            <v>20</v>
          </cell>
          <cell r="J716">
            <v>15</v>
          </cell>
          <cell r="K716">
            <v>33</v>
          </cell>
          <cell r="L716">
            <v>21</v>
          </cell>
          <cell r="M716">
            <v>58</v>
          </cell>
          <cell r="N716">
            <v>2</v>
          </cell>
          <cell r="O716">
            <v>3</v>
          </cell>
          <cell r="P716">
            <v>242</v>
          </cell>
          <cell r="Q716">
            <v>16</v>
          </cell>
        </row>
        <row r="717">
          <cell r="B717">
            <v>2016</v>
          </cell>
          <cell r="C717">
            <v>21</v>
          </cell>
          <cell r="D717" t="str">
            <v>Alex Smith</v>
          </cell>
          <cell r="F717">
            <v>328</v>
          </cell>
          <cell r="G717">
            <v>489</v>
          </cell>
          <cell r="H717">
            <v>67.099999999999994</v>
          </cell>
          <cell r="I717">
            <v>15</v>
          </cell>
          <cell r="J717">
            <v>8</v>
          </cell>
          <cell r="K717">
            <v>28</v>
          </cell>
          <cell r="L717">
            <v>48</v>
          </cell>
          <cell r="M717">
            <v>134</v>
          </cell>
          <cell r="N717">
            <v>5</v>
          </cell>
          <cell r="O717">
            <v>4</v>
          </cell>
          <cell r="P717">
            <v>224.4</v>
          </cell>
          <cell r="Q717">
            <v>15</v>
          </cell>
        </row>
        <row r="718">
          <cell r="B718">
            <v>2016</v>
          </cell>
          <cell r="C718">
            <v>22</v>
          </cell>
          <cell r="D718" t="str">
            <v>Eli Manning</v>
          </cell>
          <cell r="F718">
            <v>377</v>
          </cell>
          <cell r="G718">
            <v>598</v>
          </cell>
          <cell r="H718">
            <v>63</v>
          </cell>
          <cell r="I718">
            <v>26</v>
          </cell>
          <cell r="J718">
            <v>16</v>
          </cell>
          <cell r="K718">
            <v>21</v>
          </cell>
          <cell r="L718">
            <v>21</v>
          </cell>
          <cell r="M718">
            <v>-9</v>
          </cell>
          <cell r="N718">
            <v>0</v>
          </cell>
          <cell r="O718">
            <v>4</v>
          </cell>
          <cell r="P718">
            <v>224.1</v>
          </cell>
          <cell r="Q718">
            <v>16</v>
          </cell>
        </row>
        <row r="719">
          <cell r="B719">
            <v>2016</v>
          </cell>
          <cell r="C719">
            <v>23</v>
          </cell>
          <cell r="D719" t="str">
            <v>Sam Bradford</v>
          </cell>
          <cell r="F719">
            <v>395</v>
          </cell>
          <cell r="G719">
            <v>552</v>
          </cell>
          <cell r="H719">
            <v>71.599999999999994</v>
          </cell>
          <cell r="I719">
            <v>20</v>
          </cell>
          <cell r="J719">
            <v>5</v>
          </cell>
          <cell r="K719">
            <v>37</v>
          </cell>
          <cell r="L719">
            <v>20</v>
          </cell>
          <cell r="M719">
            <v>53</v>
          </cell>
          <cell r="N719">
            <v>0</v>
          </cell>
          <cell r="O719">
            <v>5</v>
          </cell>
          <cell r="P719">
            <v>221.4</v>
          </cell>
          <cell r="Q719">
            <v>15</v>
          </cell>
        </row>
        <row r="720">
          <cell r="B720">
            <v>2016</v>
          </cell>
          <cell r="C720">
            <v>24</v>
          </cell>
          <cell r="D720" t="str">
            <v>Carson Wentz</v>
          </cell>
          <cell r="F720">
            <v>379</v>
          </cell>
          <cell r="G720">
            <v>607</v>
          </cell>
          <cell r="H720">
            <v>62.4</v>
          </cell>
          <cell r="I720">
            <v>16</v>
          </cell>
          <cell r="J720">
            <v>14</v>
          </cell>
          <cell r="K720">
            <v>33</v>
          </cell>
          <cell r="L720">
            <v>46</v>
          </cell>
          <cell r="M720">
            <v>150</v>
          </cell>
          <cell r="N720">
            <v>2</v>
          </cell>
          <cell r="O720">
            <v>3</v>
          </cell>
          <cell r="P720">
            <v>213.5</v>
          </cell>
          <cell r="Q720">
            <v>16</v>
          </cell>
        </row>
        <row r="721">
          <cell r="B721">
            <v>2016</v>
          </cell>
          <cell r="C721">
            <v>25</v>
          </cell>
          <cell r="D721" t="str">
            <v>Colin Kaepernick</v>
          </cell>
          <cell r="F721">
            <v>196</v>
          </cell>
          <cell r="G721">
            <v>331</v>
          </cell>
          <cell r="H721">
            <v>59.2</v>
          </cell>
          <cell r="I721">
            <v>16</v>
          </cell>
          <cell r="J721">
            <v>4</v>
          </cell>
          <cell r="K721">
            <v>36</v>
          </cell>
          <cell r="L721">
            <v>69</v>
          </cell>
          <cell r="M721">
            <v>468</v>
          </cell>
          <cell r="N721">
            <v>2</v>
          </cell>
          <cell r="O721">
            <v>3</v>
          </cell>
          <cell r="P721">
            <v>200.3</v>
          </cell>
          <cell r="Q721">
            <v>12</v>
          </cell>
        </row>
        <row r="722">
          <cell r="B722">
            <v>2016</v>
          </cell>
          <cell r="C722">
            <v>26</v>
          </cell>
          <cell r="D722" t="str">
            <v>Trevor Siemian</v>
          </cell>
          <cell r="F722">
            <v>289</v>
          </cell>
          <cell r="G722">
            <v>486</v>
          </cell>
          <cell r="H722">
            <v>59.5</v>
          </cell>
          <cell r="I722">
            <v>18</v>
          </cell>
          <cell r="J722">
            <v>10</v>
          </cell>
          <cell r="K722">
            <v>31</v>
          </cell>
          <cell r="L722">
            <v>28</v>
          </cell>
          <cell r="M722">
            <v>57</v>
          </cell>
          <cell r="N722">
            <v>0</v>
          </cell>
          <cell r="O722">
            <v>2</v>
          </cell>
          <cell r="P722">
            <v>191.6</v>
          </cell>
          <cell r="Q722">
            <v>14</v>
          </cell>
        </row>
        <row r="723">
          <cell r="B723">
            <v>2016</v>
          </cell>
          <cell r="C723">
            <v>27</v>
          </cell>
          <cell r="D723" t="str">
            <v>Ryan Tannehill</v>
          </cell>
          <cell r="F723">
            <v>261</v>
          </cell>
          <cell r="G723">
            <v>389</v>
          </cell>
          <cell r="H723">
            <v>67.099999999999994</v>
          </cell>
          <cell r="I723">
            <v>19</v>
          </cell>
          <cell r="J723">
            <v>12</v>
          </cell>
          <cell r="K723">
            <v>29</v>
          </cell>
          <cell r="L723">
            <v>39</v>
          </cell>
          <cell r="M723">
            <v>164</v>
          </cell>
          <cell r="N723">
            <v>1</v>
          </cell>
          <cell r="O723">
            <v>3</v>
          </cell>
          <cell r="P723">
            <v>190.4</v>
          </cell>
          <cell r="Q723">
            <v>13</v>
          </cell>
        </row>
        <row r="724">
          <cell r="B724">
            <v>2016</v>
          </cell>
          <cell r="C724">
            <v>28</v>
          </cell>
          <cell r="D724" t="str">
            <v>Brock Osweiler</v>
          </cell>
          <cell r="F724">
            <v>301</v>
          </cell>
          <cell r="G724">
            <v>510</v>
          </cell>
          <cell r="H724">
            <v>59</v>
          </cell>
          <cell r="I724">
            <v>15</v>
          </cell>
          <cell r="J724">
            <v>16</v>
          </cell>
          <cell r="K724">
            <v>27</v>
          </cell>
          <cell r="L724">
            <v>30</v>
          </cell>
          <cell r="M724">
            <v>131</v>
          </cell>
          <cell r="N724">
            <v>2</v>
          </cell>
          <cell r="O724">
            <v>1</v>
          </cell>
          <cell r="P724">
            <v>168.4</v>
          </cell>
          <cell r="Q724">
            <v>15</v>
          </cell>
        </row>
        <row r="725">
          <cell r="B725">
            <v>2016</v>
          </cell>
          <cell r="C725">
            <v>29</v>
          </cell>
          <cell r="D725" t="str">
            <v>Ryan Fitzpatrick</v>
          </cell>
          <cell r="F725">
            <v>228</v>
          </cell>
          <cell r="G725">
            <v>403</v>
          </cell>
          <cell r="H725">
            <v>56.6</v>
          </cell>
          <cell r="I725">
            <v>12</v>
          </cell>
          <cell r="J725">
            <v>17</v>
          </cell>
          <cell r="K725">
            <v>19</v>
          </cell>
          <cell r="L725">
            <v>33</v>
          </cell>
          <cell r="M725">
            <v>130</v>
          </cell>
          <cell r="N725">
            <v>0</v>
          </cell>
          <cell r="O725">
            <v>1</v>
          </cell>
          <cell r="P725">
            <v>133.30000000000001</v>
          </cell>
          <cell r="Q725">
            <v>14</v>
          </cell>
        </row>
        <row r="726">
          <cell r="B726">
            <v>2016</v>
          </cell>
          <cell r="C726">
            <v>30</v>
          </cell>
          <cell r="D726" t="str">
            <v>Case Keenum</v>
          </cell>
          <cell r="F726">
            <v>196</v>
          </cell>
          <cell r="G726">
            <v>322</v>
          </cell>
          <cell r="H726">
            <v>60.9</v>
          </cell>
          <cell r="I726">
            <v>9</v>
          </cell>
          <cell r="J726">
            <v>11</v>
          </cell>
          <cell r="K726">
            <v>23</v>
          </cell>
          <cell r="L726">
            <v>20</v>
          </cell>
          <cell r="M726">
            <v>51</v>
          </cell>
          <cell r="N726">
            <v>1</v>
          </cell>
          <cell r="O726">
            <v>1</v>
          </cell>
          <cell r="P726">
            <v>111</v>
          </cell>
          <cell r="Q726">
            <v>10</v>
          </cell>
        </row>
        <row r="727">
          <cell r="B727">
            <v>2016</v>
          </cell>
          <cell r="C727">
            <v>31</v>
          </cell>
          <cell r="D727" t="str">
            <v>Brian Hoyer</v>
          </cell>
          <cell r="F727">
            <v>134</v>
          </cell>
          <cell r="G727">
            <v>200</v>
          </cell>
          <cell r="H727">
            <v>67</v>
          </cell>
          <cell r="I727">
            <v>6</v>
          </cell>
          <cell r="J727">
            <v>0</v>
          </cell>
          <cell r="K727">
            <v>4</v>
          </cell>
          <cell r="L727">
            <v>7</v>
          </cell>
          <cell r="M727">
            <v>-2</v>
          </cell>
          <cell r="N727">
            <v>0</v>
          </cell>
          <cell r="O727">
            <v>1</v>
          </cell>
          <cell r="P727">
            <v>79.2</v>
          </cell>
          <cell r="Q727">
            <v>6</v>
          </cell>
        </row>
        <row r="728">
          <cell r="B728">
            <v>2016</v>
          </cell>
          <cell r="C728">
            <v>32</v>
          </cell>
          <cell r="D728" t="str">
            <v>Cody Kessler</v>
          </cell>
          <cell r="F728">
            <v>128</v>
          </cell>
          <cell r="G728">
            <v>195</v>
          </cell>
          <cell r="H728">
            <v>65.599999999999994</v>
          </cell>
          <cell r="I728">
            <v>6</v>
          </cell>
          <cell r="J728">
            <v>2</v>
          </cell>
          <cell r="K728">
            <v>21</v>
          </cell>
          <cell r="L728">
            <v>11</v>
          </cell>
          <cell r="M728">
            <v>18</v>
          </cell>
          <cell r="N728">
            <v>0</v>
          </cell>
          <cell r="O728">
            <v>1</v>
          </cell>
          <cell r="P728">
            <v>76.900000000000006</v>
          </cell>
          <cell r="Q728">
            <v>9</v>
          </cell>
        </row>
        <row r="729">
          <cell r="B729">
            <v>2016</v>
          </cell>
          <cell r="C729">
            <v>33</v>
          </cell>
          <cell r="D729" t="str">
            <v>Blaine Gabbert</v>
          </cell>
          <cell r="F729">
            <v>91</v>
          </cell>
          <cell r="G729">
            <v>160</v>
          </cell>
          <cell r="H729">
            <v>56.9</v>
          </cell>
          <cell r="I729">
            <v>5</v>
          </cell>
          <cell r="J729">
            <v>6</v>
          </cell>
          <cell r="K729">
            <v>11</v>
          </cell>
          <cell r="L729">
            <v>40</v>
          </cell>
          <cell r="M729">
            <v>173</v>
          </cell>
          <cell r="N729">
            <v>2</v>
          </cell>
          <cell r="O729">
            <v>0</v>
          </cell>
          <cell r="P729">
            <v>73.2</v>
          </cell>
          <cell r="Q729">
            <v>6</v>
          </cell>
        </row>
        <row r="730">
          <cell r="B730">
            <v>2016</v>
          </cell>
          <cell r="C730">
            <v>34</v>
          </cell>
          <cell r="D730" t="str">
            <v>Matt Barkley</v>
          </cell>
          <cell r="F730">
            <v>129</v>
          </cell>
          <cell r="G730">
            <v>216</v>
          </cell>
          <cell r="H730">
            <v>59.7</v>
          </cell>
          <cell r="I730">
            <v>8</v>
          </cell>
          <cell r="J730">
            <v>14</v>
          </cell>
          <cell r="K730">
            <v>6</v>
          </cell>
          <cell r="L730">
            <v>7</v>
          </cell>
          <cell r="M730">
            <v>2</v>
          </cell>
          <cell r="N730">
            <v>0</v>
          </cell>
          <cell r="O730">
            <v>2</v>
          </cell>
          <cell r="P730">
            <v>71.3</v>
          </cell>
          <cell r="Q730">
            <v>7</v>
          </cell>
        </row>
        <row r="731">
          <cell r="B731">
            <v>2016</v>
          </cell>
          <cell r="C731">
            <v>35</v>
          </cell>
          <cell r="D731" t="str">
            <v>Robert Griffin III</v>
          </cell>
          <cell r="F731">
            <v>87</v>
          </cell>
          <cell r="G731">
            <v>147</v>
          </cell>
          <cell r="H731">
            <v>59.2</v>
          </cell>
          <cell r="I731">
            <v>2</v>
          </cell>
          <cell r="J731">
            <v>3</v>
          </cell>
          <cell r="K731">
            <v>22</v>
          </cell>
          <cell r="L731">
            <v>31</v>
          </cell>
          <cell r="M731">
            <v>190</v>
          </cell>
          <cell r="N731">
            <v>2</v>
          </cell>
          <cell r="O731">
            <v>1</v>
          </cell>
          <cell r="P731">
            <v>66.5</v>
          </cell>
          <cell r="Q731">
            <v>5</v>
          </cell>
        </row>
        <row r="732">
          <cell r="B732">
            <v>2016</v>
          </cell>
          <cell r="C732">
            <v>36</v>
          </cell>
          <cell r="D732" t="str">
            <v>Matt Moore</v>
          </cell>
          <cell r="F732">
            <v>55</v>
          </cell>
          <cell r="G732">
            <v>87</v>
          </cell>
          <cell r="H732">
            <v>63.2</v>
          </cell>
          <cell r="I732">
            <v>8</v>
          </cell>
          <cell r="J732">
            <v>3</v>
          </cell>
          <cell r="K732">
            <v>1</v>
          </cell>
          <cell r="L732">
            <v>1</v>
          </cell>
          <cell r="M732">
            <v>-1</v>
          </cell>
          <cell r="N732">
            <v>0</v>
          </cell>
          <cell r="O732">
            <v>0</v>
          </cell>
          <cell r="P732">
            <v>54.7</v>
          </cell>
          <cell r="Q732">
            <v>4</v>
          </cell>
        </row>
        <row r="733">
          <cell r="B733">
            <v>2016</v>
          </cell>
          <cell r="C733">
            <v>37</v>
          </cell>
          <cell r="D733" t="str">
            <v>Jared Goff</v>
          </cell>
          <cell r="F733">
            <v>112</v>
          </cell>
          <cell r="G733">
            <v>205</v>
          </cell>
          <cell r="H733">
            <v>54.6</v>
          </cell>
          <cell r="I733">
            <v>5</v>
          </cell>
          <cell r="J733">
            <v>7</v>
          </cell>
          <cell r="K733">
            <v>26</v>
          </cell>
          <cell r="L733">
            <v>8</v>
          </cell>
          <cell r="M733">
            <v>16</v>
          </cell>
          <cell r="N733">
            <v>1</v>
          </cell>
          <cell r="O733">
            <v>2</v>
          </cell>
          <cell r="P733">
            <v>53.2</v>
          </cell>
          <cell r="Q733">
            <v>7</v>
          </cell>
        </row>
        <row r="734">
          <cell r="B734">
            <v>2016</v>
          </cell>
          <cell r="C734">
            <v>38</v>
          </cell>
          <cell r="D734" t="str">
            <v>Josh McCown</v>
          </cell>
          <cell r="F734">
            <v>90</v>
          </cell>
          <cell r="G734">
            <v>165</v>
          </cell>
          <cell r="H734">
            <v>54.5</v>
          </cell>
          <cell r="I734">
            <v>6</v>
          </cell>
          <cell r="J734">
            <v>6</v>
          </cell>
          <cell r="K734">
            <v>18</v>
          </cell>
          <cell r="L734">
            <v>7</v>
          </cell>
          <cell r="M734">
            <v>21</v>
          </cell>
          <cell r="N734">
            <v>0</v>
          </cell>
          <cell r="O734">
            <v>4</v>
          </cell>
          <cell r="P734">
            <v>52.1</v>
          </cell>
          <cell r="Q734">
            <v>5</v>
          </cell>
        </row>
        <row r="735">
          <cell r="B735">
            <v>2016</v>
          </cell>
          <cell r="C735">
            <v>39</v>
          </cell>
          <cell r="D735" t="str">
            <v>Jay Cutler</v>
          </cell>
          <cell r="F735">
            <v>81</v>
          </cell>
          <cell r="G735">
            <v>137</v>
          </cell>
          <cell r="H735">
            <v>59.1</v>
          </cell>
          <cell r="I735">
            <v>4</v>
          </cell>
          <cell r="J735">
            <v>5</v>
          </cell>
          <cell r="K735">
            <v>17</v>
          </cell>
          <cell r="L735">
            <v>5</v>
          </cell>
          <cell r="M735">
            <v>24</v>
          </cell>
          <cell r="N735">
            <v>0</v>
          </cell>
          <cell r="O735">
            <v>2</v>
          </cell>
          <cell r="P735">
            <v>46.8</v>
          </cell>
          <cell r="Q735">
            <v>5</v>
          </cell>
        </row>
        <row r="736">
          <cell r="B736">
            <v>2016</v>
          </cell>
          <cell r="C736">
            <v>40</v>
          </cell>
          <cell r="D736" t="str">
            <v>Jimmy Garoppolo</v>
          </cell>
          <cell r="F736">
            <v>43</v>
          </cell>
          <cell r="G736">
            <v>63</v>
          </cell>
          <cell r="H736">
            <v>68.3</v>
          </cell>
          <cell r="I736">
            <v>4</v>
          </cell>
          <cell r="J736">
            <v>0</v>
          </cell>
          <cell r="K736">
            <v>3</v>
          </cell>
          <cell r="L736">
            <v>10</v>
          </cell>
          <cell r="M736">
            <v>6</v>
          </cell>
          <cell r="N736">
            <v>0</v>
          </cell>
          <cell r="O736">
            <v>1</v>
          </cell>
          <cell r="P736">
            <v>35.6</v>
          </cell>
          <cell r="Q736">
            <v>6</v>
          </cell>
        </row>
        <row r="737">
          <cell r="B737">
            <v>2016</v>
          </cell>
          <cell r="C737">
            <v>41</v>
          </cell>
          <cell r="D737" t="str">
            <v>Landry Jones</v>
          </cell>
          <cell r="F737">
            <v>53</v>
          </cell>
          <cell r="G737">
            <v>86</v>
          </cell>
          <cell r="H737">
            <v>61.6</v>
          </cell>
          <cell r="I737">
            <v>4</v>
          </cell>
          <cell r="J737">
            <v>2</v>
          </cell>
          <cell r="K737">
            <v>4</v>
          </cell>
          <cell r="L737">
            <v>6</v>
          </cell>
          <cell r="M737">
            <v>-4</v>
          </cell>
          <cell r="N737">
            <v>0</v>
          </cell>
          <cell r="O737">
            <v>0</v>
          </cell>
          <cell r="P737">
            <v>33.9</v>
          </cell>
          <cell r="Q737">
            <v>8</v>
          </cell>
        </row>
        <row r="738">
          <cell r="B738">
            <v>2016</v>
          </cell>
          <cell r="C738">
            <v>42</v>
          </cell>
          <cell r="D738" t="str">
            <v>Bryce Petty</v>
          </cell>
          <cell r="F738">
            <v>75</v>
          </cell>
          <cell r="G738">
            <v>133</v>
          </cell>
          <cell r="H738">
            <v>56.4</v>
          </cell>
          <cell r="I738">
            <v>3</v>
          </cell>
          <cell r="J738">
            <v>7</v>
          </cell>
          <cell r="K738">
            <v>13</v>
          </cell>
          <cell r="L738">
            <v>5</v>
          </cell>
          <cell r="M738">
            <v>19</v>
          </cell>
          <cell r="N738">
            <v>0</v>
          </cell>
          <cell r="O738">
            <v>1</v>
          </cell>
          <cell r="P738">
            <v>32.299999999999997</v>
          </cell>
          <cell r="Q738">
            <v>6</v>
          </cell>
        </row>
        <row r="739">
          <cell r="B739">
            <v>2016</v>
          </cell>
          <cell r="C739">
            <v>43</v>
          </cell>
          <cell r="D739" t="str">
            <v>Paxton Lynch</v>
          </cell>
          <cell r="F739">
            <v>49</v>
          </cell>
          <cell r="G739">
            <v>83</v>
          </cell>
          <cell r="H739">
            <v>59</v>
          </cell>
          <cell r="I739">
            <v>2</v>
          </cell>
          <cell r="J739">
            <v>1</v>
          </cell>
          <cell r="K739">
            <v>9</v>
          </cell>
          <cell r="L739">
            <v>11</v>
          </cell>
          <cell r="M739">
            <v>25</v>
          </cell>
          <cell r="N739">
            <v>0</v>
          </cell>
          <cell r="O739">
            <v>0</v>
          </cell>
          <cell r="P739">
            <v>28.4</v>
          </cell>
          <cell r="Q739">
            <v>3</v>
          </cell>
        </row>
        <row r="740">
          <cell r="B740">
            <v>2016</v>
          </cell>
          <cell r="C740">
            <v>44</v>
          </cell>
          <cell r="D740" t="str">
            <v>Jacoby Brissett</v>
          </cell>
          <cell r="F740">
            <v>34</v>
          </cell>
          <cell r="G740">
            <v>55</v>
          </cell>
          <cell r="H740">
            <v>61.8</v>
          </cell>
          <cell r="I740">
            <v>0</v>
          </cell>
          <cell r="J740">
            <v>0</v>
          </cell>
          <cell r="K740">
            <v>6</v>
          </cell>
          <cell r="L740">
            <v>16</v>
          </cell>
          <cell r="M740">
            <v>83</v>
          </cell>
          <cell r="N740">
            <v>1</v>
          </cell>
          <cell r="O740">
            <v>1</v>
          </cell>
          <cell r="P740">
            <v>28.3</v>
          </cell>
          <cell r="Q740">
            <v>3</v>
          </cell>
        </row>
        <row r="741">
          <cell r="B741">
            <v>2016</v>
          </cell>
          <cell r="C741">
            <v>45</v>
          </cell>
          <cell r="D741" t="str">
            <v>Nick Foles</v>
          </cell>
          <cell r="F741">
            <v>36</v>
          </cell>
          <cell r="G741">
            <v>55</v>
          </cell>
          <cell r="H741">
            <v>65.5</v>
          </cell>
          <cell r="I741">
            <v>3</v>
          </cell>
          <cell r="J741">
            <v>0</v>
          </cell>
          <cell r="K741">
            <v>4</v>
          </cell>
          <cell r="L741">
            <v>4</v>
          </cell>
          <cell r="M741">
            <v>-4</v>
          </cell>
          <cell r="N741">
            <v>0</v>
          </cell>
          <cell r="O741">
            <v>0</v>
          </cell>
          <cell r="P741">
            <v>28</v>
          </cell>
          <cell r="Q741">
            <v>3</v>
          </cell>
        </row>
        <row r="742">
          <cell r="B742">
            <v>2016</v>
          </cell>
          <cell r="C742">
            <v>46</v>
          </cell>
          <cell r="D742" t="str">
            <v>Tom Savage</v>
          </cell>
          <cell r="F742">
            <v>46</v>
          </cell>
          <cell r="G742">
            <v>73</v>
          </cell>
          <cell r="H742">
            <v>63</v>
          </cell>
          <cell r="I742">
            <v>0</v>
          </cell>
          <cell r="J742">
            <v>0</v>
          </cell>
          <cell r="K742">
            <v>5</v>
          </cell>
          <cell r="L742">
            <v>6</v>
          </cell>
          <cell r="M742">
            <v>12</v>
          </cell>
          <cell r="N742">
            <v>0</v>
          </cell>
          <cell r="O742">
            <v>1</v>
          </cell>
          <cell r="P742">
            <v>17.600000000000001</v>
          </cell>
          <cell r="Q742">
            <v>3</v>
          </cell>
        </row>
        <row r="743">
          <cell r="B743">
            <v>2016</v>
          </cell>
          <cell r="C743">
            <v>47</v>
          </cell>
          <cell r="D743" t="str">
            <v>Kevin Hogan</v>
          </cell>
          <cell r="F743">
            <v>14</v>
          </cell>
          <cell r="G743">
            <v>26</v>
          </cell>
          <cell r="H743">
            <v>53.8</v>
          </cell>
          <cell r="I743">
            <v>0</v>
          </cell>
          <cell r="J743">
            <v>2</v>
          </cell>
          <cell r="K743">
            <v>2</v>
          </cell>
          <cell r="L743">
            <v>8</v>
          </cell>
          <cell r="M743">
            <v>105</v>
          </cell>
          <cell r="N743">
            <v>1</v>
          </cell>
          <cell r="O743">
            <v>0</v>
          </cell>
          <cell r="P743">
            <v>16.7</v>
          </cell>
          <cell r="Q743">
            <v>4</v>
          </cell>
        </row>
        <row r="744">
          <cell r="B744">
            <v>2016</v>
          </cell>
          <cell r="C744">
            <v>48</v>
          </cell>
          <cell r="D744" t="str">
            <v>Derek Anderson</v>
          </cell>
          <cell r="F744">
            <v>36</v>
          </cell>
          <cell r="G744">
            <v>53</v>
          </cell>
          <cell r="H744">
            <v>67.900000000000006</v>
          </cell>
          <cell r="I744">
            <v>2</v>
          </cell>
          <cell r="J744">
            <v>5</v>
          </cell>
          <cell r="K744">
            <v>0</v>
          </cell>
          <cell r="L744">
            <v>1</v>
          </cell>
          <cell r="M744">
            <v>4</v>
          </cell>
          <cell r="N744">
            <v>0</v>
          </cell>
          <cell r="O744">
            <v>1</v>
          </cell>
          <cell r="P744">
            <v>16.5</v>
          </cell>
          <cell r="Q744">
            <v>6</v>
          </cell>
        </row>
        <row r="745">
          <cell r="B745">
            <v>2016</v>
          </cell>
          <cell r="C745">
            <v>49</v>
          </cell>
          <cell r="D745" t="str">
            <v>Matt Cassel</v>
          </cell>
          <cell r="F745">
            <v>30</v>
          </cell>
          <cell r="G745">
            <v>51</v>
          </cell>
          <cell r="H745">
            <v>58.8</v>
          </cell>
          <cell r="I745">
            <v>2</v>
          </cell>
          <cell r="J745">
            <v>2</v>
          </cell>
          <cell r="K745">
            <v>5</v>
          </cell>
          <cell r="L745">
            <v>4</v>
          </cell>
          <cell r="M745">
            <v>3</v>
          </cell>
          <cell r="N745">
            <v>0</v>
          </cell>
          <cell r="O745">
            <v>0</v>
          </cell>
          <cell r="P745">
            <v>15.7</v>
          </cell>
          <cell r="Q745">
            <v>4</v>
          </cell>
        </row>
        <row r="746">
          <cell r="B746">
            <v>2016</v>
          </cell>
          <cell r="C746">
            <v>50</v>
          </cell>
          <cell r="D746" t="str">
            <v>Shaun Hill</v>
          </cell>
          <cell r="F746">
            <v>19</v>
          </cell>
          <cell r="G746">
            <v>35</v>
          </cell>
          <cell r="H746">
            <v>54.3</v>
          </cell>
          <cell r="I746">
            <v>0</v>
          </cell>
          <cell r="J746">
            <v>0</v>
          </cell>
          <cell r="K746">
            <v>1</v>
          </cell>
          <cell r="L746">
            <v>5</v>
          </cell>
          <cell r="M746">
            <v>5</v>
          </cell>
          <cell r="N746">
            <v>0</v>
          </cell>
          <cell r="O746">
            <v>0</v>
          </cell>
          <cell r="P746">
            <v>10.1</v>
          </cell>
          <cell r="Q746">
            <v>3</v>
          </cell>
        </row>
        <row r="747">
          <cell r="B747">
            <v>2016</v>
          </cell>
          <cell r="C747">
            <v>51</v>
          </cell>
          <cell r="D747" t="str">
            <v>Drew Stanton</v>
          </cell>
          <cell r="F747">
            <v>19</v>
          </cell>
          <cell r="G747">
            <v>48</v>
          </cell>
          <cell r="H747">
            <v>39.6</v>
          </cell>
          <cell r="I747">
            <v>2</v>
          </cell>
          <cell r="J747">
            <v>3</v>
          </cell>
          <cell r="K747">
            <v>1</v>
          </cell>
          <cell r="L747">
            <v>3</v>
          </cell>
          <cell r="M747">
            <v>-3</v>
          </cell>
          <cell r="N747">
            <v>0</v>
          </cell>
          <cell r="O747">
            <v>0</v>
          </cell>
          <cell r="P747">
            <v>9.4</v>
          </cell>
          <cell r="Q747">
            <v>5</v>
          </cell>
        </row>
        <row r="748">
          <cell r="B748">
            <v>2016</v>
          </cell>
          <cell r="C748">
            <v>52</v>
          </cell>
          <cell r="D748" t="str">
            <v>Charlie Whitehurst</v>
          </cell>
          <cell r="F748">
            <v>14</v>
          </cell>
          <cell r="G748">
            <v>24</v>
          </cell>
          <cell r="H748">
            <v>58.3</v>
          </cell>
          <cell r="I748">
            <v>1</v>
          </cell>
          <cell r="J748">
            <v>1</v>
          </cell>
          <cell r="K748">
            <v>2</v>
          </cell>
          <cell r="L748">
            <v>2</v>
          </cell>
          <cell r="M748">
            <v>1</v>
          </cell>
          <cell r="N748">
            <v>0</v>
          </cell>
          <cell r="O748">
            <v>0</v>
          </cell>
          <cell r="P748">
            <v>9.4</v>
          </cell>
          <cell r="Q748">
            <v>1</v>
          </cell>
        </row>
        <row r="749">
          <cell r="B749">
            <v>2016</v>
          </cell>
          <cell r="C749">
            <v>53</v>
          </cell>
          <cell r="D749" t="str">
            <v>Mike Glennon</v>
          </cell>
          <cell r="F749">
            <v>10</v>
          </cell>
          <cell r="G749">
            <v>11</v>
          </cell>
          <cell r="H749">
            <v>90.9</v>
          </cell>
          <cell r="I749">
            <v>1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9</v>
          </cell>
          <cell r="Q749">
            <v>2</v>
          </cell>
        </row>
        <row r="750">
          <cell r="B750">
            <v>2016</v>
          </cell>
          <cell r="C750">
            <v>54</v>
          </cell>
          <cell r="D750" t="str">
            <v>Scott Tolzien</v>
          </cell>
          <cell r="F750">
            <v>23</v>
          </cell>
          <cell r="G750">
            <v>37</v>
          </cell>
          <cell r="H750">
            <v>62.2</v>
          </cell>
          <cell r="I750">
            <v>1</v>
          </cell>
          <cell r="J750">
            <v>2</v>
          </cell>
          <cell r="K750">
            <v>3</v>
          </cell>
          <cell r="L750">
            <v>6</v>
          </cell>
          <cell r="M750">
            <v>3</v>
          </cell>
          <cell r="N750">
            <v>0</v>
          </cell>
          <cell r="O750">
            <v>0</v>
          </cell>
          <cell r="P750">
            <v>8.9</v>
          </cell>
          <cell r="Q750">
            <v>3</v>
          </cell>
        </row>
        <row r="751">
          <cell r="B751">
            <v>2016</v>
          </cell>
          <cell r="C751">
            <v>55</v>
          </cell>
          <cell r="D751" t="str">
            <v>Geno Smith</v>
          </cell>
          <cell r="F751">
            <v>8</v>
          </cell>
          <cell r="G751">
            <v>14</v>
          </cell>
          <cell r="H751">
            <v>57.1</v>
          </cell>
          <cell r="I751">
            <v>1</v>
          </cell>
          <cell r="J751">
            <v>1</v>
          </cell>
          <cell r="K751">
            <v>3</v>
          </cell>
          <cell r="L751">
            <v>2</v>
          </cell>
          <cell r="M751">
            <v>9</v>
          </cell>
          <cell r="N751">
            <v>0</v>
          </cell>
          <cell r="O751">
            <v>0</v>
          </cell>
          <cell r="P751">
            <v>7.9</v>
          </cell>
          <cell r="Q751">
            <v>2</v>
          </cell>
        </row>
        <row r="752">
          <cell r="B752">
            <v>2016</v>
          </cell>
          <cell r="C752">
            <v>56</v>
          </cell>
          <cell r="D752" t="str">
            <v>Trevone Boykin</v>
          </cell>
          <cell r="F752">
            <v>13</v>
          </cell>
          <cell r="G752">
            <v>18</v>
          </cell>
          <cell r="H752">
            <v>72.2</v>
          </cell>
          <cell r="I752">
            <v>1</v>
          </cell>
          <cell r="J752">
            <v>1</v>
          </cell>
          <cell r="K752">
            <v>1</v>
          </cell>
          <cell r="L752">
            <v>8</v>
          </cell>
          <cell r="M752">
            <v>1</v>
          </cell>
          <cell r="N752">
            <v>0</v>
          </cell>
          <cell r="O752">
            <v>0</v>
          </cell>
          <cell r="P752">
            <v>7.9</v>
          </cell>
          <cell r="Q752">
            <v>5</v>
          </cell>
        </row>
        <row r="753">
          <cell r="B753">
            <v>2016</v>
          </cell>
          <cell r="C753">
            <v>57</v>
          </cell>
          <cell r="D753" t="str">
            <v>E.J. Manuel</v>
          </cell>
          <cell r="F753">
            <v>11</v>
          </cell>
          <cell r="G753">
            <v>26</v>
          </cell>
          <cell r="H753">
            <v>42.3</v>
          </cell>
          <cell r="I753">
            <v>0</v>
          </cell>
          <cell r="J753">
            <v>0</v>
          </cell>
          <cell r="K753">
            <v>3</v>
          </cell>
          <cell r="L753">
            <v>8</v>
          </cell>
          <cell r="M753">
            <v>22</v>
          </cell>
          <cell r="N753">
            <v>0</v>
          </cell>
          <cell r="O753">
            <v>1</v>
          </cell>
          <cell r="P753">
            <v>7.4</v>
          </cell>
          <cell r="Q753">
            <v>6</v>
          </cell>
        </row>
        <row r="754">
          <cell r="B754">
            <v>2016</v>
          </cell>
          <cell r="C754">
            <v>58</v>
          </cell>
          <cell r="D754" t="str">
            <v>Connor Cook</v>
          </cell>
          <cell r="F754">
            <v>14</v>
          </cell>
          <cell r="G754">
            <v>21</v>
          </cell>
          <cell r="H754">
            <v>66.7</v>
          </cell>
          <cell r="I754">
            <v>1</v>
          </cell>
          <cell r="J754">
            <v>1</v>
          </cell>
          <cell r="K754">
            <v>2</v>
          </cell>
          <cell r="L754">
            <v>0</v>
          </cell>
          <cell r="M754">
            <v>0</v>
          </cell>
          <cell r="N754">
            <v>0</v>
          </cell>
          <cell r="O754">
            <v>1</v>
          </cell>
          <cell r="P754">
            <v>6</v>
          </cell>
          <cell r="Q754">
            <v>1</v>
          </cell>
        </row>
        <row r="755">
          <cell r="B755">
            <v>2016</v>
          </cell>
          <cell r="C755">
            <v>59</v>
          </cell>
          <cell r="D755" t="str">
            <v>Tony Romo</v>
          </cell>
          <cell r="F755">
            <v>3</v>
          </cell>
          <cell r="G755">
            <v>4</v>
          </cell>
          <cell r="H755">
            <v>75</v>
          </cell>
          <cell r="I755">
            <v>1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5.2</v>
          </cell>
          <cell r="Q755">
            <v>1</v>
          </cell>
        </row>
        <row r="756">
          <cell r="B756">
            <v>2016</v>
          </cell>
          <cell r="C756">
            <v>60</v>
          </cell>
          <cell r="D756" t="str">
            <v>Cardale Jones</v>
          </cell>
          <cell r="F756">
            <v>6</v>
          </cell>
          <cell r="G756">
            <v>11</v>
          </cell>
          <cell r="H756">
            <v>54.5</v>
          </cell>
          <cell r="I756">
            <v>0</v>
          </cell>
          <cell r="J756">
            <v>1</v>
          </cell>
          <cell r="K756">
            <v>1</v>
          </cell>
          <cell r="L756">
            <v>1</v>
          </cell>
          <cell r="M756">
            <v>-1</v>
          </cell>
          <cell r="N756">
            <v>0</v>
          </cell>
          <cell r="O756">
            <v>0</v>
          </cell>
          <cell r="P756">
            <v>1.7</v>
          </cell>
          <cell r="Q756">
            <v>1</v>
          </cell>
        </row>
        <row r="757">
          <cell r="B757">
            <v>2016</v>
          </cell>
          <cell r="C757">
            <v>61</v>
          </cell>
          <cell r="D757" t="str">
            <v>Matt McGloin</v>
          </cell>
          <cell r="F757">
            <v>8</v>
          </cell>
          <cell r="G757">
            <v>15</v>
          </cell>
          <cell r="H757">
            <v>53.3</v>
          </cell>
          <cell r="I757">
            <v>0</v>
          </cell>
          <cell r="J757">
            <v>0</v>
          </cell>
          <cell r="K757">
            <v>0</v>
          </cell>
          <cell r="L757">
            <v>3</v>
          </cell>
          <cell r="M757">
            <v>-3</v>
          </cell>
          <cell r="N757">
            <v>0</v>
          </cell>
          <cell r="O757">
            <v>0</v>
          </cell>
          <cell r="P757">
            <v>1.7</v>
          </cell>
          <cell r="Q757">
            <v>3</v>
          </cell>
        </row>
        <row r="758">
          <cell r="B758">
            <v>2016</v>
          </cell>
          <cell r="C758">
            <v>62</v>
          </cell>
          <cell r="D758" t="str">
            <v>David Fales</v>
          </cell>
          <cell r="F758">
            <v>2</v>
          </cell>
          <cell r="G758">
            <v>5</v>
          </cell>
          <cell r="H758">
            <v>40</v>
          </cell>
          <cell r="I758">
            <v>0</v>
          </cell>
          <cell r="J758">
            <v>0</v>
          </cell>
          <cell r="K758">
            <v>1</v>
          </cell>
          <cell r="L758">
            <v>1</v>
          </cell>
          <cell r="M758">
            <v>0</v>
          </cell>
          <cell r="N758">
            <v>0</v>
          </cell>
          <cell r="O758">
            <v>0</v>
          </cell>
          <cell r="P758">
            <v>0.9</v>
          </cell>
          <cell r="Q758">
            <v>1</v>
          </cell>
        </row>
        <row r="759">
          <cell r="B759">
            <v>2016</v>
          </cell>
          <cell r="C759">
            <v>63</v>
          </cell>
          <cell r="D759" t="str">
            <v>Joe Webb III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0.8</v>
          </cell>
          <cell r="Q759">
            <v>14</v>
          </cell>
        </row>
        <row r="760">
          <cell r="B760">
            <v>2016</v>
          </cell>
          <cell r="C760">
            <v>64</v>
          </cell>
          <cell r="D760" t="str">
            <v>Chase Daniel</v>
          </cell>
          <cell r="F760">
            <v>1</v>
          </cell>
          <cell r="G760">
            <v>1</v>
          </cell>
          <cell r="H760">
            <v>100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0.6</v>
          </cell>
          <cell r="Q760">
            <v>1</v>
          </cell>
        </row>
        <row r="761">
          <cell r="B761">
            <v>2016</v>
          </cell>
          <cell r="C761">
            <v>65</v>
          </cell>
          <cell r="D761" t="str">
            <v>Matt Schaub</v>
          </cell>
          <cell r="F761">
            <v>1</v>
          </cell>
          <cell r="G761">
            <v>3</v>
          </cell>
          <cell r="H761">
            <v>33.299999999999997</v>
          </cell>
          <cell r="I761">
            <v>0</v>
          </cell>
          <cell r="J761">
            <v>0</v>
          </cell>
          <cell r="K761">
            <v>0</v>
          </cell>
          <cell r="L761">
            <v>2</v>
          </cell>
          <cell r="M761">
            <v>-2</v>
          </cell>
          <cell r="N761">
            <v>0</v>
          </cell>
          <cell r="O761">
            <v>0</v>
          </cell>
          <cell r="P761">
            <v>0.4</v>
          </cell>
          <cell r="Q761">
            <v>4</v>
          </cell>
        </row>
        <row r="819">
          <cell r="B819">
            <v>2016</v>
          </cell>
          <cell r="C819">
            <v>123</v>
          </cell>
          <cell r="D819" t="str">
            <v>AJ McCarron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1</v>
          </cell>
        </row>
        <row r="844">
          <cell r="B844">
            <v>2016</v>
          </cell>
          <cell r="C844">
            <v>148</v>
          </cell>
          <cell r="D844" t="str">
            <v>Josh Johnson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8</v>
          </cell>
        </row>
        <row r="849">
          <cell r="B849">
            <v>2016</v>
          </cell>
          <cell r="C849">
            <v>153</v>
          </cell>
          <cell r="D849" t="str">
            <v>Kellen Clemens</v>
          </cell>
          <cell r="F849">
            <v>0</v>
          </cell>
          <cell r="G849">
            <v>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2</v>
          </cell>
          <cell r="M849">
            <v>-1</v>
          </cell>
          <cell r="N849">
            <v>0</v>
          </cell>
          <cell r="O849">
            <v>0</v>
          </cell>
          <cell r="P849">
            <v>-0.1</v>
          </cell>
          <cell r="Q849">
            <v>12</v>
          </cell>
        </row>
        <row r="850">
          <cell r="B850">
            <v>2016</v>
          </cell>
          <cell r="C850">
            <v>154</v>
          </cell>
          <cell r="D850" t="str">
            <v>Chad Henne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1</v>
          </cell>
          <cell r="M850">
            <v>-2</v>
          </cell>
          <cell r="N850">
            <v>0</v>
          </cell>
          <cell r="O850">
            <v>0</v>
          </cell>
          <cell r="P850">
            <v>-0.2</v>
          </cell>
          <cell r="Q850">
            <v>1</v>
          </cell>
        </row>
        <row r="851">
          <cell r="B851">
            <v>2016</v>
          </cell>
          <cell r="C851">
            <v>155</v>
          </cell>
          <cell r="D851" t="str">
            <v>Mark Sanchez</v>
          </cell>
          <cell r="F851">
            <v>10</v>
          </cell>
          <cell r="G851">
            <v>18</v>
          </cell>
          <cell r="H851">
            <v>55.6</v>
          </cell>
          <cell r="I851">
            <v>0</v>
          </cell>
          <cell r="J851">
            <v>2</v>
          </cell>
          <cell r="K851">
            <v>3</v>
          </cell>
          <cell r="L851">
            <v>4</v>
          </cell>
          <cell r="M851">
            <v>-2</v>
          </cell>
          <cell r="N851">
            <v>0</v>
          </cell>
          <cell r="O851">
            <v>0</v>
          </cell>
          <cell r="P851">
            <v>-0.5</v>
          </cell>
          <cell r="Q851">
            <v>2</v>
          </cell>
        </row>
        <row r="852">
          <cell r="B852">
            <v>2016</v>
          </cell>
          <cell r="C852">
            <v>156</v>
          </cell>
          <cell r="D852" t="str">
            <v>Sean Mannion</v>
          </cell>
          <cell r="F852">
            <v>3</v>
          </cell>
          <cell r="G852">
            <v>6</v>
          </cell>
          <cell r="H852">
            <v>50</v>
          </cell>
          <cell r="I852">
            <v>0</v>
          </cell>
          <cell r="J852">
            <v>1</v>
          </cell>
          <cell r="K852">
            <v>0</v>
          </cell>
          <cell r="L852">
            <v>1</v>
          </cell>
          <cell r="M852">
            <v>-1</v>
          </cell>
          <cell r="N852">
            <v>0</v>
          </cell>
          <cell r="O852">
            <v>0</v>
          </cell>
          <cell r="P852">
            <v>-1.3</v>
          </cell>
          <cell r="Q852">
            <v>1</v>
          </cell>
        </row>
        <row r="853">
          <cell r="B853">
            <v>2016</v>
          </cell>
          <cell r="C853">
            <v>157</v>
          </cell>
          <cell r="D853" t="str">
            <v>Ryan Mallett</v>
          </cell>
          <cell r="F853">
            <v>3</v>
          </cell>
          <cell r="G853">
            <v>6</v>
          </cell>
          <cell r="H853">
            <v>50</v>
          </cell>
          <cell r="I853">
            <v>0</v>
          </cell>
          <cell r="J853">
            <v>1</v>
          </cell>
          <cell r="K853">
            <v>0</v>
          </cell>
          <cell r="L853">
            <v>5</v>
          </cell>
          <cell r="M853">
            <v>-6</v>
          </cell>
          <cell r="N853">
            <v>0</v>
          </cell>
          <cell r="O853">
            <v>0</v>
          </cell>
          <cell r="P853">
            <v>-1.5</v>
          </cell>
          <cell r="Q853">
            <v>4</v>
          </cell>
        </row>
        <row r="854">
          <cell r="B854">
            <v>2016</v>
          </cell>
          <cell r="C854">
            <v>158</v>
          </cell>
          <cell r="D854" t="str">
            <v>Brett Hundley</v>
          </cell>
          <cell r="F854">
            <v>2</v>
          </cell>
          <cell r="G854">
            <v>10</v>
          </cell>
          <cell r="H854">
            <v>20</v>
          </cell>
          <cell r="I854">
            <v>0</v>
          </cell>
          <cell r="J854">
            <v>1</v>
          </cell>
          <cell r="K854">
            <v>0</v>
          </cell>
          <cell r="L854">
            <v>3</v>
          </cell>
          <cell r="M854">
            <v>-2</v>
          </cell>
          <cell r="N854">
            <v>0</v>
          </cell>
          <cell r="O854">
            <v>0</v>
          </cell>
          <cell r="P854">
            <v>-1.5</v>
          </cell>
          <cell r="Q854">
            <v>4</v>
          </cell>
        </row>
        <row r="855">
          <cell r="B855">
            <v>2015</v>
          </cell>
          <cell r="C855">
            <v>1</v>
          </cell>
          <cell r="D855" t="str">
            <v>Cam Newton</v>
          </cell>
          <cell r="F855">
            <v>296</v>
          </cell>
          <cell r="G855">
            <v>495</v>
          </cell>
          <cell r="H855">
            <v>59.8</v>
          </cell>
          <cell r="I855">
            <v>35</v>
          </cell>
          <cell r="J855">
            <v>10</v>
          </cell>
          <cell r="K855">
            <v>33</v>
          </cell>
          <cell r="L855">
            <v>132</v>
          </cell>
          <cell r="M855">
            <v>636</v>
          </cell>
          <cell r="N855">
            <v>10</v>
          </cell>
          <cell r="O855">
            <v>4</v>
          </cell>
          <cell r="P855">
            <v>389.1</v>
          </cell>
          <cell r="Q855">
            <v>16</v>
          </cell>
        </row>
        <row r="856">
          <cell r="B856">
            <v>2015</v>
          </cell>
          <cell r="C856">
            <v>2</v>
          </cell>
          <cell r="D856" t="str">
            <v>Tom Brady</v>
          </cell>
          <cell r="F856">
            <v>402</v>
          </cell>
          <cell r="G856">
            <v>624</v>
          </cell>
          <cell r="H856">
            <v>64.400000000000006</v>
          </cell>
          <cell r="I856">
            <v>36</v>
          </cell>
          <cell r="J856">
            <v>7</v>
          </cell>
          <cell r="K856">
            <v>38</v>
          </cell>
          <cell r="L856">
            <v>34</v>
          </cell>
          <cell r="M856">
            <v>53</v>
          </cell>
          <cell r="N856">
            <v>3</v>
          </cell>
          <cell r="O856">
            <v>2</v>
          </cell>
          <cell r="P856">
            <v>344.2</v>
          </cell>
          <cell r="Q856">
            <v>16</v>
          </cell>
        </row>
        <row r="857">
          <cell r="B857">
            <v>2015</v>
          </cell>
          <cell r="C857">
            <v>3</v>
          </cell>
          <cell r="D857" t="str">
            <v>Russell Wilson</v>
          </cell>
          <cell r="F857">
            <v>329</v>
          </cell>
          <cell r="G857">
            <v>483</v>
          </cell>
          <cell r="H857">
            <v>68.099999999999994</v>
          </cell>
          <cell r="I857">
            <v>34</v>
          </cell>
          <cell r="J857">
            <v>8</v>
          </cell>
          <cell r="K857">
            <v>45</v>
          </cell>
          <cell r="L857">
            <v>103</v>
          </cell>
          <cell r="M857">
            <v>553</v>
          </cell>
          <cell r="N857">
            <v>1</v>
          </cell>
          <cell r="O857">
            <v>3</v>
          </cell>
          <cell r="P857">
            <v>336.4</v>
          </cell>
          <cell r="Q857">
            <v>16</v>
          </cell>
        </row>
        <row r="858">
          <cell r="B858">
            <v>2015</v>
          </cell>
          <cell r="C858">
            <v>4</v>
          </cell>
          <cell r="D858" t="str">
            <v>Blake Bortles</v>
          </cell>
          <cell r="F858">
            <v>355</v>
          </cell>
          <cell r="G858">
            <v>606</v>
          </cell>
          <cell r="H858">
            <v>58.6</v>
          </cell>
          <cell r="I858">
            <v>35</v>
          </cell>
          <cell r="J858">
            <v>18</v>
          </cell>
          <cell r="K858">
            <v>51</v>
          </cell>
          <cell r="L858">
            <v>52</v>
          </cell>
          <cell r="M858">
            <v>310</v>
          </cell>
          <cell r="N858">
            <v>2</v>
          </cell>
          <cell r="O858">
            <v>5</v>
          </cell>
          <cell r="P858">
            <v>316.10000000000002</v>
          </cell>
          <cell r="Q858">
            <v>16</v>
          </cell>
        </row>
        <row r="859">
          <cell r="B859">
            <v>2015</v>
          </cell>
          <cell r="C859">
            <v>5</v>
          </cell>
          <cell r="D859" t="str">
            <v>Carson Palmer</v>
          </cell>
          <cell r="F859">
            <v>342</v>
          </cell>
          <cell r="G859">
            <v>537</v>
          </cell>
          <cell r="H859">
            <v>63.7</v>
          </cell>
          <cell r="I859">
            <v>35</v>
          </cell>
          <cell r="J859">
            <v>11</v>
          </cell>
          <cell r="K859">
            <v>25</v>
          </cell>
          <cell r="L859">
            <v>25</v>
          </cell>
          <cell r="M859">
            <v>24</v>
          </cell>
          <cell r="N859">
            <v>1</v>
          </cell>
          <cell r="O859">
            <v>2</v>
          </cell>
          <cell r="P859">
            <v>309.2</v>
          </cell>
          <cell r="Q859">
            <v>16</v>
          </cell>
        </row>
        <row r="860">
          <cell r="B860">
            <v>2015</v>
          </cell>
          <cell r="C860">
            <v>6</v>
          </cell>
          <cell r="D860" t="str">
            <v>Drew Brees</v>
          </cell>
          <cell r="F860">
            <v>428</v>
          </cell>
          <cell r="G860">
            <v>627</v>
          </cell>
          <cell r="H860">
            <v>68.3</v>
          </cell>
          <cell r="I860">
            <v>32</v>
          </cell>
          <cell r="J860">
            <v>11</v>
          </cell>
          <cell r="K860">
            <v>31</v>
          </cell>
          <cell r="L860">
            <v>24</v>
          </cell>
          <cell r="M860">
            <v>14</v>
          </cell>
          <cell r="N860">
            <v>1</v>
          </cell>
          <cell r="O860">
            <v>2</v>
          </cell>
          <cell r="P860">
            <v>306.5</v>
          </cell>
          <cell r="Q860">
            <v>15</v>
          </cell>
        </row>
        <row r="861">
          <cell r="B861">
            <v>2015</v>
          </cell>
          <cell r="C861">
            <v>7</v>
          </cell>
          <cell r="D861" t="str">
            <v>Aaron Rodgers</v>
          </cell>
          <cell r="F861">
            <v>347</v>
          </cell>
          <cell r="G861">
            <v>572</v>
          </cell>
          <cell r="H861">
            <v>60.7</v>
          </cell>
          <cell r="I861">
            <v>31</v>
          </cell>
          <cell r="J861">
            <v>8</v>
          </cell>
          <cell r="K861">
            <v>46</v>
          </cell>
          <cell r="L861">
            <v>58</v>
          </cell>
          <cell r="M861">
            <v>344</v>
          </cell>
          <cell r="N861">
            <v>1</v>
          </cell>
          <cell r="O861">
            <v>4</v>
          </cell>
          <cell r="P861">
            <v>301.3</v>
          </cell>
          <cell r="Q861">
            <v>16</v>
          </cell>
        </row>
        <row r="862">
          <cell r="B862">
            <v>2015</v>
          </cell>
          <cell r="C862">
            <v>8</v>
          </cell>
          <cell r="D862" t="str">
            <v>Kirk Cousins</v>
          </cell>
          <cell r="F862">
            <v>379</v>
          </cell>
          <cell r="G862">
            <v>543</v>
          </cell>
          <cell r="H862">
            <v>69.8</v>
          </cell>
          <cell r="I862">
            <v>29</v>
          </cell>
          <cell r="J862">
            <v>11</v>
          </cell>
          <cell r="K862">
            <v>26</v>
          </cell>
          <cell r="L862">
            <v>26</v>
          </cell>
          <cell r="M862">
            <v>48</v>
          </cell>
          <cell r="N862">
            <v>5</v>
          </cell>
          <cell r="O862">
            <v>3</v>
          </cell>
          <cell r="P862">
            <v>293.5</v>
          </cell>
          <cell r="Q862">
            <v>16</v>
          </cell>
        </row>
        <row r="863">
          <cell r="B863">
            <v>2015</v>
          </cell>
          <cell r="C863">
            <v>9</v>
          </cell>
          <cell r="D863" t="str">
            <v>Matthew Stafford</v>
          </cell>
          <cell r="F863">
            <v>398</v>
          </cell>
          <cell r="G863">
            <v>592</v>
          </cell>
          <cell r="H863">
            <v>67.2</v>
          </cell>
          <cell r="I863">
            <v>32</v>
          </cell>
          <cell r="J863">
            <v>13</v>
          </cell>
          <cell r="K863">
            <v>44</v>
          </cell>
          <cell r="L863">
            <v>44</v>
          </cell>
          <cell r="M863">
            <v>159</v>
          </cell>
          <cell r="N863">
            <v>1</v>
          </cell>
          <cell r="O863">
            <v>2</v>
          </cell>
          <cell r="P863">
            <v>290.2</v>
          </cell>
          <cell r="Q863">
            <v>16</v>
          </cell>
        </row>
        <row r="864">
          <cell r="B864">
            <v>2015</v>
          </cell>
          <cell r="C864">
            <v>10</v>
          </cell>
          <cell r="D864" t="str">
            <v>Eli Manning</v>
          </cell>
          <cell r="F864">
            <v>387</v>
          </cell>
          <cell r="G864">
            <v>618</v>
          </cell>
          <cell r="H864">
            <v>62.6</v>
          </cell>
          <cell r="I864">
            <v>35</v>
          </cell>
          <cell r="J864">
            <v>14</v>
          </cell>
          <cell r="K864">
            <v>27</v>
          </cell>
          <cell r="L864">
            <v>20</v>
          </cell>
          <cell r="M864">
            <v>61</v>
          </cell>
          <cell r="N864">
            <v>0</v>
          </cell>
          <cell r="O864">
            <v>4</v>
          </cell>
          <cell r="P864">
            <v>287.60000000000002</v>
          </cell>
          <cell r="Q864">
            <v>16</v>
          </cell>
        </row>
        <row r="865">
          <cell r="B865">
            <v>2015</v>
          </cell>
          <cell r="C865">
            <v>11</v>
          </cell>
          <cell r="D865" t="str">
            <v>Ryan Fitzpatrick</v>
          </cell>
          <cell r="F865">
            <v>335</v>
          </cell>
          <cell r="G865">
            <v>562</v>
          </cell>
          <cell r="H865">
            <v>59.6</v>
          </cell>
          <cell r="I865">
            <v>31</v>
          </cell>
          <cell r="J865">
            <v>15</v>
          </cell>
          <cell r="K865">
            <v>19</v>
          </cell>
          <cell r="L865">
            <v>60</v>
          </cell>
          <cell r="M865">
            <v>270</v>
          </cell>
          <cell r="N865">
            <v>2</v>
          </cell>
          <cell r="O865">
            <v>2</v>
          </cell>
          <cell r="P865">
            <v>285.10000000000002</v>
          </cell>
          <cell r="Q865">
            <v>16</v>
          </cell>
        </row>
        <row r="866">
          <cell r="B866">
            <v>2015</v>
          </cell>
          <cell r="C866">
            <v>12</v>
          </cell>
          <cell r="D866" t="str">
            <v>Philip Rivers</v>
          </cell>
          <cell r="F866">
            <v>437</v>
          </cell>
          <cell r="G866">
            <v>661</v>
          </cell>
          <cell r="H866">
            <v>66.099999999999994</v>
          </cell>
          <cell r="I866">
            <v>29</v>
          </cell>
          <cell r="J866">
            <v>13</v>
          </cell>
          <cell r="K866">
            <v>40</v>
          </cell>
          <cell r="L866">
            <v>17</v>
          </cell>
          <cell r="M866">
            <v>28</v>
          </cell>
          <cell r="N866">
            <v>0</v>
          </cell>
          <cell r="O866">
            <v>2</v>
          </cell>
          <cell r="P866">
            <v>284.3</v>
          </cell>
          <cell r="Q866">
            <v>16</v>
          </cell>
        </row>
        <row r="867">
          <cell r="B867">
            <v>2015</v>
          </cell>
          <cell r="C867">
            <v>13</v>
          </cell>
          <cell r="D867" t="str">
            <v>Jameis Winston</v>
          </cell>
          <cell r="F867">
            <v>312</v>
          </cell>
          <cell r="G867">
            <v>535</v>
          </cell>
          <cell r="H867">
            <v>58.3</v>
          </cell>
          <cell r="I867">
            <v>22</v>
          </cell>
          <cell r="J867">
            <v>15</v>
          </cell>
          <cell r="K867">
            <v>27</v>
          </cell>
          <cell r="L867">
            <v>54</v>
          </cell>
          <cell r="M867">
            <v>213</v>
          </cell>
          <cell r="N867">
            <v>6</v>
          </cell>
          <cell r="O867">
            <v>2</v>
          </cell>
          <cell r="P867">
            <v>275.2</v>
          </cell>
          <cell r="Q867">
            <v>16</v>
          </cell>
        </row>
        <row r="868">
          <cell r="B868">
            <v>2015</v>
          </cell>
          <cell r="C868">
            <v>14</v>
          </cell>
          <cell r="D868" t="str">
            <v>Derek Carr</v>
          </cell>
          <cell r="F868">
            <v>350</v>
          </cell>
          <cell r="G868">
            <v>573</v>
          </cell>
          <cell r="H868">
            <v>61.1</v>
          </cell>
          <cell r="I868">
            <v>32</v>
          </cell>
          <cell r="J868">
            <v>13</v>
          </cell>
          <cell r="K868">
            <v>31</v>
          </cell>
          <cell r="L868">
            <v>33</v>
          </cell>
          <cell r="M868">
            <v>138</v>
          </cell>
          <cell r="N868">
            <v>0</v>
          </cell>
          <cell r="O868">
            <v>3</v>
          </cell>
          <cell r="P868">
            <v>273.3</v>
          </cell>
          <cell r="Q868">
            <v>16</v>
          </cell>
        </row>
        <row r="869">
          <cell r="B869">
            <v>2015</v>
          </cell>
          <cell r="C869">
            <v>15</v>
          </cell>
          <cell r="D869" t="str">
            <v>Tyrod Taylor</v>
          </cell>
          <cell r="F869">
            <v>242</v>
          </cell>
          <cell r="G869">
            <v>380</v>
          </cell>
          <cell r="H869">
            <v>63.7</v>
          </cell>
          <cell r="I869">
            <v>20</v>
          </cell>
          <cell r="J869">
            <v>6</v>
          </cell>
          <cell r="K869">
            <v>36</v>
          </cell>
          <cell r="L869">
            <v>104</v>
          </cell>
          <cell r="M869">
            <v>568</v>
          </cell>
          <cell r="N869">
            <v>4</v>
          </cell>
          <cell r="O869">
            <v>1</v>
          </cell>
          <cell r="P869">
            <v>271.10000000000002</v>
          </cell>
          <cell r="Q869">
            <v>14</v>
          </cell>
        </row>
        <row r="870">
          <cell r="B870">
            <v>2015</v>
          </cell>
          <cell r="C870">
            <v>16</v>
          </cell>
          <cell r="D870" t="str">
            <v>Alex Smith</v>
          </cell>
          <cell r="F870">
            <v>307</v>
          </cell>
          <cell r="G870">
            <v>470</v>
          </cell>
          <cell r="H870">
            <v>65.3</v>
          </cell>
          <cell r="I870">
            <v>20</v>
          </cell>
          <cell r="J870">
            <v>7</v>
          </cell>
          <cell r="K870">
            <v>45</v>
          </cell>
          <cell r="L870">
            <v>84</v>
          </cell>
          <cell r="M870">
            <v>498</v>
          </cell>
          <cell r="N870">
            <v>2</v>
          </cell>
          <cell r="O870">
            <v>0</v>
          </cell>
          <cell r="P870">
            <v>271</v>
          </cell>
          <cell r="Q870">
            <v>16</v>
          </cell>
        </row>
        <row r="871">
          <cell r="B871">
            <v>2015</v>
          </cell>
          <cell r="C871">
            <v>17</v>
          </cell>
          <cell r="D871" t="str">
            <v>Ryan Tannehill</v>
          </cell>
          <cell r="F871">
            <v>363</v>
          </cell>
          <cell r="G871">
            <v>586</v>
          </cell>
          <cell r="H871">
            <v>61.9</v>
          </cell>
          <cell r="I871">
            <v>24</v>
          </cell>
          <cell r="J871">
            <v>12</v>
          </cell>
          <cell r="K871">
            <v>45</v>
          </cell>
          <cell r="L871">
            <v>32</v>
          </cell>
          <cell r="M871">
            <v>141</v>
          </cell>
          <cell r="N871">
            <v>1</v>
          </cell>
          <cell r="O871">
            <v>3</v>
          </cell>
          <cell r="P871">
            <v>257.8</v>
          </cell>
          <cell r="Q871">
            <v>16</v>
          </cell>
        </row>
        <row r="872">
          <cell r="B872">
            <v>2015</v>
          </cell>
          <cell r="C872">
            <v>18</v>
          </cell>
          <cell r="D872" t="str">
            <v>Andy Dalton</v>
          </cell>
          <cell r="F872">
            <v>255</v>
          </cell>
          <cell r="G872">
            <v>386</v>
          </cell>
          <cell r="H872">
            <v>66.099999999999994</v>
          </cell>
          <cell r="I872">
            <v>25</v>
          </cell>
          <cell r="J872">
            <v>7</v>
          </cell>
          <cell r="K872">
            <v>20</v>
          </cell>
          <cell r="L872">
            <v>57</v>
          </cell>
          <cell r="M872">
            <v>142</v>
          </cell>
          <cell r="N872">
            <v>3</v>
          </cell>
          <cell r="O872">
            <v>2</v>
          </cell>
          <cell r="P872">
            <v>244.1</v>
          </cell>
          <cell r="Q872">
            <v>13</v>
          </cell>
        </row>
        <row r="873">
          <cell r="B873">
            <v>2015</v>
          </cell>
          <cell r="C873">
            <v>19</v>
          </cell>
          <cell r="D873" t="str">
            <v>Matt Ryan</v>
          </cell>
          <cell r="F873">
            <v>407</v>
          </cell>
          <cell r="G873">
            <v>614</v>
          </cell>
          <cell r="H873">
            <v>66.3</v>
          </cell>
          <cell r="I873">
            <v>21</v>
          </cell>
          <cell r="J873">
            <v>16</v>
          </cell>
          <cell r="K873">
            <v>30</v>
          </cell>
          <cell r="L873">
            <v>36</v>
          </cell>
          <cell r="M873">
            <v>63</v>
          </cell>
          <cell r="N873">
            <v>0</v>
          </cell>
          <cell r="O873">
            <v>5</v>
          </cell>
          <cell r="P873">
            <v>233.9</v>
          </cell>
          <cell r="Q873">
            <v>16</v>
          </cell>
        </row>
        <row r="874">
          <cell r="B874">
            <v>2015</v>
          </cell>
          <cell r="C874">
            <v>20</v>
          </cell>
          <cell r="D874" t="str">
            <v>Ben Roethlisberger</v>
          </cell>
          <cell r="F874">
            <v>319</v>
          </cell>
          <cell r="G874">
            <v>469</v>
          </cell>
          <cell r="H874">
            <v>68</v>
          </cell>
          <cell r="I874">
            <v>21</v>
          </cell>
          <cell r="J874">
            <v>16</v>
          </cell>
          <cell r="K874">
            <v>20</v>
          </cell>
          <cell r="L874">
            <v>15</v>
          </cell>
          <cell r="M874">
            <v>29</v>
          </cell>
          <cell r="N874">
            <v>0</v>
          </cell>
          <cell r="O874">
            <v>0</v>
          </cell>
          <cell r="P874">
            <v>227.6</v>
          </cell>
          <cell r="Q874">
            <v>12</v>
          </cell>
        </row>
        <row r="875">
          <cell r="B875">
            <v>2015</v>
          </cell>
          <cell r="C875">
            <v>21</v>
          </cell>
          <cell r="D875" t="str">
            <v>Jay Cutler</v>
          </cell>
          <cell r="F875">
            <v>311</v>
          </cell>
          <cell r="G875">
            <v>483</v>
          </cell>
          <cell r="H875">
            <v>64.400000000000006</v>
          </cell>
          <cell r="I875">
            <v>21</v>
          </cell>
          <cell r="J875">
            <v>11</v>
          </cell>
          <cell r="K875">
            <v>29</v>
          </cell>
          <cell r="L875">
            <v>38</v>
          </cell>
          <cell r="M875">
            <v>201</v>
          </cell>
          <cell r="N875">
            <v>1</v>
          </cell>
          <cell r="O875">
            <v>5</v>
          </cell>
          <cell r="P875">
            <v>226.3</v>
          </cell>
          <cell r="Q875">
            <v>15</v>
          </cell>
        </row>
        <row r="876">
          <cell r="B876">
            <v>2015</v>
          </cell>
          <cell r="C876">
            <v>22</v>
          </cell>
          <cell r="D876" t="str">
            <v>Marcus Mariota</v>
          </cell>
          <cell r="F876">
            <v>230</v>
          </cell>
          <cell r="G876">
            <v>370</v>
          </cell>
          <cell r="H876">
            <v>62.2</v>
          </cell>
          <cell r="I876">
            <v>19</v>
          </cell>
          <cell r="J876">
            <v>10</v>
          </cell>
          <cell r="K876">
            <v>38</v>
          </cell>
          <cell r="L876">
            <v>34</v>
          </cell>
          <cell r="M876">
            <v>252</v>
          </cell>
          <cell r="N876">
            <v>2</v>
          </cell>
          <cell r="O876">
            <v>6</v>
          </cell>
          <cell r="P876">
            <v>210.6</v>
          </cell>
          <cell r="Q876">
            <v>12</v>
          </cell>
        </row>
        <row r="877">
          <cell r="B877">
            <v>2015</v>
          </cell>
          <cell r="C877">
            <v>23</v>
          </cell>
          <cell r="D877" t="str">
            <v>Teddy Bridgewater</v>
          </cell>
          <cell r="F877">
            <v>292</v>
          </cell>
          <cell r="G877">
            <v>447</v>
          </cell>
          <cell r="H877">
            <v>65.3</v>
          </cell>
          <cell r="I877">
            <v>14</v>
          </cell>
          <cell r="J877">
            <v>9</v>
          </cell>
          <cell r="K877">
            <v>44</v>
          </cell>
          <cell r="L877">
            <v>44</v>
          </cell>
          <cell r="M877">
            <v>192</v>
          </cell>
          <cell r="N877">
            <v>3</v>
          </cell>
          <cell r="O877">
            <v>3</v>
          </cell>
          <cell r="P877">
            <v>200.4</v>
          </cell>
          <cell r="Q877">
            <v>16</v>
          </cell>
        </row>
        <row r="878">
          <cell r="B878">
            <v>2015</v>
          </cell>
          <cell r="C878">
            <v>24</v>
          </cell>
          <cell r="D878" t="str">
            <v>Sam Bradford</v>
          </cell>
          <cell r="F878">
            <v>346</v>
          </cell>
          <cell r="G878">
            <v>532</v>
          </cell>
          <cell r="H878">
            <v>65</v>
          </cell>
          <cell r="I878">
            <v>19</v>
          </cell>
          <cell r="J878">
            <v>14</v>
          </cell>
          <cell r="K878">
            <v>28</v>
          </cell>
          <cell r="L878">
            <v>26</v>
          </cell>
          <cell r="M878">
            <v>39</v>
          </cell>
          <cell r="N878">
            <v>0</v>
          </cell>
          <cell r="O878">
            <v>3</v>
          </cell>
          <cell r="P878">
            <v>194.8</v>
          </cell>
          <cell r="Q878">
            <v>14</v>
          </cell>
        </row>
        <row r="879">
          <cell r="B879">
            <v>2015</v>
          </cell>
          <cell r="C879">
            <v>25</v>
          </cell>
          <cell r="D879" t="str">
            <v>Brian Hoyer</v>
          </cell>
          <cell r="F879">
            <v>224</v>
          </cell>
          <cell r="G879">
            <v>369</v>
          </cell>
          <cell r="H879">
            <v>60.7</v>
          </cell>
          <cell r="I879">
            <v>19</v>
          </cell>
          <cell r="J879">
            <v>7</v>
          </cell>
          <cell r="K879">
            <v>25</v>
          </cell>
          <cell r="L879">
            <v>15</v>
          </cell>
          <cell r="M879">
            <v>44</v>
          </cell>
          <cell r="N879">
            <v>0</v>
          </cell>
          <cell r="O879">
            <v>2</v>
          </cell>
          <cell r="P879">
            <v>166.6</v>
          </cell>
          <cell r="Q879">
            <v>11</v>
          </cell>
        </row>
        <row r="880">
          <cell r="B880">
            <v>2015</v>
          </cell>
          <cell r="C880">
            <v>26</v>
          </cell>
          <cell r="D880" t="str">
            <v>Joe Flacco</v>
          </cell>
          <cell r="F880">
            <v>266</v>
          </cell>
          <cell r="G880">
            <v>413</v>
          </cell>
          <cell r="H880">
            <v>64.400000000000006</v>
          </cell>
          <cell r="I880">
            <v>14</v>
          </cell>
          <cell r="J880">
            <v>12</v>
          </cell>
          <cell r="K880">
            <v>16</v>
          </cell>
          <cell r="L880">
            <v>13</v>
          </cell>
          <cell r="M880">
            <v>23</v>
          </cell>
          <cell r="N880">
            <v>3</v>
          </cell>
          <cell r="O880">
            <v>2</v>
          </cell>
          <cell r="P880">
            <v>162.1</v>
          </cell>
          <cell r="Q880">
            <v>10</v>
          </cell>
        </row>
        <row r="881">
          <cell r="B881">
            <v>2015</v>
          </cell>
          <cell r="C881">
            <v>27</v>
          </cell>
          <cell r="D881" t="str">
            <v>Josh McCown</v>
          </cell>
          <cell r="F881">
            <v>186</v>
          </cell>
          <cell r="G881">
            <v>292</v>
          </cell>
          <cell r="H881">
            <v>63.7</v>
          </cell>
          <cell r="I881">
            <v>12</v>
          </cell>
          <cell r="J881">
            <v>4</v>
          </cell>
          <cell r="K881">
            <v>23</v>
          </cell>
          <cell r="L881">
            <v>20</v>
          </cell>
          <cell r="M881">
            <v>98</v>
          </cell>
          <cell r="N881">
            <v>1</v>
          </cell>
          <cell r="O881">
            <v>6</v>
          </cell>
          <cell r="P881">
            <v>132.1</v>
          </cell>
          <cell r="Q881">
            <v>8</v>
          </cell>
        </row>
        <row r="882">
          <cell r="B882">
            <v>2015</v>
          </cell>
          <cell r="C882">
            <v>28</v>
          </cell>
          <cell r="D882" t="str">
            <v>Andrew Luck</v>
          </cell>
          <cell r="F882">
            <v>162</v>
          </cell>
          <cell r="G882">
            <v>293</v>
          </cell>
          <cell r="H882">
            <v>55.3</v>
          </cell>
          <cell r="I882">
            <v>15</v>
          </cell>
          <cell r="J882">
            <v>12</v>
          </cell>
          <cell r="K882">
            <v>15</v>
          </cell>
          <cell r="L882">
            <v>33</v>
          </cell>
          <cell r="M882">
            <v>196</v>
          </cell>
          <cell r="N882">
            <v>0</v>
          </cell>
          <cell r="O882">
            <v>1</v>
          </cell>
          <cell r="P882">
            <v>130.80000000000001</v>
          </cell>
          <cell r="Q882">
            <v>7</v>
          </cell>
        </row>
        <row r="883">
          <cell r="B883">
            <v>2015</v>
          </cell>
          <cell r="C883">
            <v>29</v>
          </cell>
          <cell r="D883" t="str">
            <v>Blaine Gabbert</v>
          </cell>
          <cell r="F883">
            <v>178</v>
          </cell>
          <cell r="G883">
            <v>282</v>
          </cell>
          <cell r="H883">
            <v>63.1</v>
          </cell>
          <cell r="I883">
            <v>10</v>
          </cell>
          <cell r="J883">
            <v>7</v>
          </cell>
          <cell r="K883">
            <v>25</v>
          </cell>
          <cell r="L883">
            <v>32</v>
          </cell>
          <cell r="M883">
            <v>185</v>
          </cell>
          <cell r="N883">
            <v>1</v>
          </cell>
          <cell r="O883">
            <v>1</v>
          </cell>
          <cell r="P883">
            <v>129.80000000000001</v>
          </cell>
          <cell r="Q883">
            <v>8</v>
          </cell>
        </row>
        <row r="884">
          <cell r="B884">
            <v>2015</v>
          </cell>
          <cell r="C884">
            <v>30</v>
          </cell>
          <cell r="D884" t="str">
            <v>Brock Osweiler</v>
          </cell>
          <cell r="F884">
            <v>170</v>
          </cell>
          <cell r="G884">
            <v>275</v>
          </cell>
          <cell r="H884">
            <v>61.8</v>
          </cell>
          <cell r="I884">
            <v>10</v>
          </cell>
          <cell r="J884">
            <v>6</v>
          </cell>
          <cell r="K884">
            <v>23</v>
          </cell>
          <cell r="L884">
            <v>21</v>
          </cell>
          <cell r="M884">
            <v>61</v>
          </cell>
          <cell r="N884">
            <v>1</v>
          </cell>
          <cell r="O884">
            <v>1</v>
          </cell>
          <cell r="P884">
            <v>116.7</v>
          </cell>
          <cell r="Q884">
            <v>8</v>
          </cell>
        </row>
        <row r="885">
          <cell r="B885">
            <v>2015</v>
          </cell>
          <cell r="C885">
            <v>31</v>
          </cell>
          <cell r="D885" t="str">
            <v>Colin Kaepernick</v>
          </cell>
          <cell r="F885">
            <v>144</v>
          </cell>
          <cell r="G885">
            <v>244</v>
          </cell>
          <cell r="H885">
            <v>59</v>
          </cell>
          <cell r="I885">
            <v>6</v>
          </cell>
          <cell r="J885">
            <v>5</v>
          </cell>
          <cell r="K885">
            <v>28</v>
          </cell>
          <cell r="L885">
            <v>45</v>
          </cell>
          <cell r="M885">
            <v>256</v>
          </cell>
          <cell r="N885">
            <v>1</v>
          </cell>
          <cell r="O885">
            <v>1</v>
          </cell>
          <cell r="P885">
            <v>110.3</v>
          </cell>
          <cell r="Q885">
            <v>9</v>
          </cell>
        </row>
        <row r="886">
          <cell r="B886">
            <v>2015</v>
          </cell>
          <cell r="C886">
            <v>32</v>
          </cell>
          <cell r="D886" t="str">
            <v>Nick Foles</v>
          </cell>
          <cell r="F886">
            <v>190</v>
          </cell>
          <cell r="G886">
            <v>337</v>
          </cell>
          <cell r="H886">
            <v>56.4</v>
          </cell>
          <cell r="I886">
            <v>7</v>
          </cell>
          <cell r="J886">
            <v>10</v>
          </cell>
          <cell r="K886">
            <v>14</v>
          </cell>
          <cell r="L886">
            <v>17</v>
          </cell>
          <cell r="M886">
            <v>20</v>
          </cell>
          <cell r="N886">
            <v>1</v>
          </cell>
          <cell r="O886">
            <v>2</v>
          </cell>
          <cell r="P886">
            <v>95.9</v>
          </cell>
          <cell r="Q886">
            <v>11</v>
          </cell>
        </row>
        <row r="887">
          <cell r="B887">
            <v>2015</v>
          </cell>
          <cell r="C887">
            <v>33</v>
          </cell>
          <cell r="D887" t="str">
            <v>Johnny Manziel</v>
          </cell>
          <cell r="F887">
            <v>129</v>
          </cell>
          <cell r="G887">
            <v>223</v>
          </cell>
          <cell r="H887">
            <v>57.8</v>
          </cell>
          <cell r="I887">
            <v>7</v>
          </cell>
          <cell r="J887">
            <v>5</v>
          </cell>
          <cell r="K887">
            <v>19</v>
          </cell>
          <cell r="L887">
            <v>37</v>
          </cell>
          <cell r="M887">
            <v>230</v>
          </cell>
          <cell r="N887">
            <v>0</v>
          </cell>
          <cell r="O887">
            <v>3</v>
          </cell>
          <cell r="P887">
            <v>95</v>
          </cell>
          <cell r="Q887">
            <v>9</v>
          </cell>
        </row>
        <row r="888">
          <cell r="B888">
            <v>2015</v>
          </cell>
          <cell r="C888">
            <v>34</v>
          </cell>
          <cell r="D888" t="str">
            <v>Peyton Manning</v>
          </cell>
          <cell r="F888">
            <v>198</v>
          </cell>
          <cell r="G888">
            <v>331</v>
          </cell>
          <cell r="H888">
            <v>59.8</v>
          </cell>
          <cell r="I888">
            <v>9</v>
          </cell>
          <cell r="J888">
            <v>17</v>
          </cell>
          <cell r="K888">
            <v>16</v>
          </cell>
          <cell r="L888">
            <v>6</v>
          </cell>
          <cell r="M888">
            <v>-6</v>
          </cell>
          <cell r="N888">
            <v>0</v>
          </cell>
          <cell r="O888">
            <v>0</v>
          </cell>
          <cell r="P888">
            <v>91.3</v>
          </cell>
          <cell r="Q888">
            <v>10</v>
          </cell>
        </row>
        <row r="889">
          <cell r="B889">
            <v>2015</v>
          </cell>
          <cell r="C889">
            <v>35</v>
          </cell>
          <cell r="D889" t="str">
            <v>Matt Hasselbeck</v>
          </cell>
          <cell r="F889">
            <v>156</v>
          </cell>
          <cell r="G889">
            <v>256</v>
          </cell>
          <cell r="H889">
            <v>60.9</v>
          </cell>
          <cell r="I889">
            <v>9</v>
          </cell>
          <cell r="J889">
            <v>5</v>
          </cell>
          <cell r="K889">
            <v>16</v>
          </cell>
          <cell r="L889">
            <v>16</v>
          </cell>
          <cell r="M889">
            <v>15</v>
          </cell>
          <cell r="N889">
            <v>0</v>
          </cell>
          <cell r="O889">
            <v>2</v>
          </cell>
          <cell r="P889">
            <v>91.2</v>
          </cell>
          <cell r="Q889">
            <v>8</v>
          </cell>
        </row>
        <row r="890">
          <cell r="B890">
            <v>2015</v>
          </cell>
          <cell r="C890">
            <v>36</v>
          </cell>
          <cell r="D890" t="str">
            <v>Ryan Mallett</v>
          </cell>
          <cell r="F890">
            <v>136</v>
          </cell>
          <cell r="G890">
            <v>244</v>
          </cell>
          <cell r="H890">
            <v>55.7</v>
          </cell>
          <cell r="I890">
            <v>5</v>
          </cell>
          <cell r="J890">
            <v>6</v>
          </cell>
          <cell r="K890">
            <v>6</v>
          </cell>
          <cell r="L890">
            <v>5</v>
          </cell>
          <cell r="M890">
            <v>15</v>
          </cell>
          <cell r="N890">
            <v>1</v>
          </cell>
          <cell r="O890">
            <v>0</v>
          </cell>
          <cell r="P890">
            <v>71</v>
          </cell>
          <cell r="Q890">
            <v>8</v>
          </cell>
        </row>
        <row r="891">
          <cell r="B891">
            <v>2015</v>
          </cell>
          <cell r="C891">
            <v>37</v>
          </cell>
          <cell r="D891" t="str">
            <v>Matt Cassel</v>
          </cell>
          <cell r="F891">
            <v>119</v>
          </cell>
          <cell r="G891">
            <v>204</v>
          </cell>
          <cell r="H891">
            <v>58.3</v>
          </cell>
          <cell r="I891">
            <v>5</v>
          </cell>
          <cell r="J891">
            <v>7</v>
          </cell>
          <cell r="K891">
            <v>14</v>
          </cell>
          <cell r="L891">
            <v>15</v>
          </cell>
          <cell r="M891">
            <v>78</v>
          </cell>
          <cell r="N891">
            <v>0</v>
          </cell>
          <cell r="O891">
            <v>0</v>
          </cell>
          <cell r="P891">
            <v>66.900000000000006</v>
          </cell>
          <cell r="Q891">
            <v>9</v>
          </cell>
        </row>
        <row r="892">
          <cell r="B892">
            <v>2015</v>
          </cell>
          <cell r="C892">
            <v>38</v>
          </cell>
          <cell r="D892" t="str">
            <v>Brandon Weeden</v>
          </cell>
          <cell r="F892">
            <v>97</v>
          </cell>
          <cell r="G892">
            <v>140</v>
          </cell>
          <cell r="H892">
            <v>69.3</v>
          </cell>
          <cell r="I892">
            <v>5</v>
          </cell>
          <cell r="J892">
            <v>2</v>
          </cell>
          <cell r="K892">
            <v>10</v>
          </cell>
          <cell r="L892">
            <v>16</v>
          </cell>
          <cell r="M892">
            <v>47</v>
          </cell>
          <cell r="N892">
            <v>1</v>
          </cell>
          <cell r="O892">
            <v>1</v>
          </cell>
          <cell r="P892">
            <v>66.400000000000006</v>
          </cell>
          <cell r="Q892">
            <v>6</v>
          </cell>
        </row>
        <row r="893">
          <cell r="B893">
            <v>2015</v>
          </cell>
          <cell r="C893">
            <v>39</v>
          </cell>
          <cell r="D893" t="str">
            <v>AJ McCarron</v>
          </cell>
          <cell r="F893">
            <v>79</v>
          </cell>
          <cell r="G893">
            <v>119</v>
          </cell>
          <cell r="H893">
            <v>66.400000000000006</v>
          </cell>
          <cell r="I893">
            <v>6</v>
          </cell>
          <cell r="J893">
            <v>2</v>
          </cell>
          <cell r="K893">
            <v>12</v>
          </cell>
          <cell r="L893">
            <v>14</v>
          </cell>
          <cell r="M893">
            <v>31</v>
          </cell>
          <cell r="N893">
            <v>0</v>
          </cell>
          <cell r="O893">
            <v>1</v>
          </cell>
          <cell r="P893">
            <v>55.3</v>
          </cell>
          <cell r="Q893">
            <v>7</v>
          </cell>
        </row>
        <row r="894">
          <cell r="B894">
            <v>2015</v>
          </cell>
          <cell r="C894">
            <v>40</v>
          </cell>
          <cell r="D894" t="str">
            <v>Case Keenum</v>
          </cell>
          <cell r="F894">
            <v>76</v>
          </cell>
          <cell r="G894">
            <v>125</v>
          </cell>
          <cell r="H894">
            <v>60.8</v>
          </cell>
          <cell r="I894">
            <v>4</v>
          </cell>
          <cell r="J894">
            <v>1</v>
          </cell>
          <cell r="K894">
            <v>4</v>
          </cell>
          <cell r="L894">
            <v>12</v>
          </cell>
          <cell r="M894">
            <v>5</v>
          </cell>
          <cell r="N894">
            <v>0</v>
          </cell>
          <cell r="O894">
            <v>2</v>
          </cell>
          <cell r="P894">
            <v>43.6</v>
          </cell>
          <cell r="Q894">
            <v>6</v>
          </cell>
        </row>
        <row r="895">
          <cell r="B895">
            <v>2015</v>
          </cell>
          <cell r="C895">
            <v>41</v>
          </cell>
          <cell r="D895" t="str">
            <v>Zach Mettenberger</v>
          </cell>
          <cell r="F895">
            <v>101</v>
          </cell>
          <cell r="G895">
            <v>166</v>
          </cell>
          <cell r="H895">
            <v>60.8</v>
          </cell>
          <cell r="I895">
            <v>4</v>
          </cell>
          <cell r="J895">
            <v>7</v>
          </cell>
          <cell r="K895">
            <v>13</v>
          </cell>
          <cell r="L895">
            <v>9</v>
          </cell>
          <cell r="M895">
            <v>8</v>
          </cell>
          <cell r="N895">
            <v>1</v>
          </cell>
          <cell r="O895">
            <v>2</v>
          </cell>
          <cell r="P895">
            <v>42.2</v>
          </cell>
          <cell r="Q895">
            <v>7</v>
          </cell>
        </row>
        <row r="896">
          <cell r="B896">
            <v>2015</v>
          </cell>
          <cell r="C896">
            <v>42</v>
          </cell>
          <cell r="D896" t="str">
            <v>Tony Romo</v>
          </cell>
          <cell r="F896">
            <v>83</v>
          </cell>
          <cell r="G896">
            <v>121</v>
          </cell>
          <cell r="H896">
            <v>68.599999999999994</v>
          </cell>
          <cell r="I896">
            <v>5</v>
          </cell>
          <cell r="J896">
            <v>7</v>
          </cell>
          <cell r="K896">
            <v>6</v>
          </cell>
          <cell r="L896">
            <v>4</v>
          </cell>
          <cell r="M896">
            <v>13</v>
          </cell>
          <cell r="N896">
            <v>0</v>
          </cell>
          <cell r="O896">
            <v>1</v>
          </cell>
          <cell r="P896">
            <v>40.6</v>
          </cell>
          <cell r="Q896">
            <v>4</v>
          </cell>
        </row>
        <row r="897">
          <cell r="B897">
            <v>2015</v>
          </cell>
          <cell r="C897">
            <v>43</v>
          </cell>
          <cell r="D897" t="str">
            <v>E.J. Manuel</v>
          </cell>
          <cell r="F897">
            <v>52</v>
          </cell>
          <cell r="G897">
            <v>84</v>
          </cell>
          <cell r="H897">
            <v>61.9</v>
          </cell>
          <cell r="I897">
            <v>3</v>
          </cell>
          <cell r="J897">
            <v>3</v>
          </cell>
          <cell r="K897">
            <v>6</v>
          </cell>
          <cell r="L897">
            <v>17</v>
          </cell>
          <cell r="M897">
            <v>64</v>
          </cell>
          <cell r="N897">
            <v>1</v>
          </cell>
          <cell r="O897">
            <v>1</v>
          </cell>
          <cell r="P897">
            <v>38.799999999999997</v>
          </cell>
          <cell r="Q897">
            <v>7</v>
          </cell>
        </row>
        <row r="898">
          <cell r="B898">
            <v>2015</v>
          </cell>
          <cell r="C898">
            <v>44</v>
          </cell>
          <cell r="D898" t="str">
            <v>Jimmy Clausen</v>
          </cell>
          <cell r="F898">
            <v>72</v>
          </cell>
          <cell r="G898">
            <v>125</v>
          </cell>
          <cell r="H898">
            <v>57.6</v>
          </cell>
          <cell r="I898">
            <v>2</v>
          </cell>
          <cell r="J898">
            <v>4</v>
          </cell>
          <cell r="K898">
            <v>7</v>
          </cell>
          <cell r="L898">
            <v>11</v>
          </cell>
          <cell r="M898">
            <v>36</v>
          </cell>
          <cell r="N898">
            <v>0</v>
          </cell>
          <cell r="O898">
            <v>0</v>
          </cell>
          <cell r="P898">
            <v>33.1</v>
          </cell>
          <cell r="Q898">
            <v>4</v>
          </cell>
        </row>
        <row r="899">
          <cell r="B899">
            <v>2015</v>
          </cell>
          <cell r="C899">
            <v>45</v>
          </cell>
          <cell r="D899" t="str">
            <v>Kellen Moore</v>
          </cell>
          <cell r="F899">
            <v>61</v>
          </cell>
          <cell r="G899">
            <v>104</v>
          </cell>
          <cell r="H899">
            <v>58.7</v>
          </cell>
          <cell r="I899">
            <v>4</v>
          </cell>
          <cell r="J899">
            <v>6</v>
          </cell>
          <cell r="K899">
            <v>5</v>
          </cell>
          <cell r="L899">
            <v>2</v>
          </cell>
          <cell r="M899">
            <v>-1</v>
          </cell>
          <cell r="N899">
            <v>0</v>
          </cell>
          <cell r="O899">
            <v>1</v>
          </cell>
          <cell r="P899">
            <v>33</v>
          </cell>
          <cell r="Q899">
            <v>3</v>
          </cell>
        </row>
        <row r="900">
          <cell r="B900">
            <v>2015</v>
          </cell>
          <cell r="C900">
            <v>46</v>
          </cell>
          <cell r="D900" t="str">
            <v>Mark Sanchez</v>
          </cell>
          <cell r="F900">
            <v>59</v>
          </cell>
          <cell r="G900">
            <v>91</v>
          </cell>
          <cell r="H900">
            <v>64.8</v>
          </cell>
          <cell r="I900">
            <v>4</v>
          </cell>
          <cell r="J900">
            <v>4</v>
          </cell>
          <cell r="K900">
            <v>9</v>
          </cell>
          <cell r="L900">
            <v>6</v>
          </cell>
          <cell r="M900">
            <v>22</v>
          </cell>
          <cell r="N900">
            <v>0</v>
          </cell>
          <cell r="O900">
            <v>1</v>
          </cell>
          <cell r="P900">
            <v>32.799999999999997</v>
          </cell>
          <cell r="Q900">
            <v>4</v>
          </cell>
        </row>
        <row r="901">
          <cell r="B901">
            <v>2015</v>
          </cell>
          <cell r="C901">
            <v>47</v>
          </cell>
          <cell r="D901" t="str">
            <v>Michael Vick</v>
          </cell>
          <cell r="F901">
            <v>40</v>
          </cell>
          <cell r="G901">
            <v>66</v>
          </cell>
          <cell r="H901">
            <v>60.6</v>
          </cell>
          <cell r="I901">
            <v>2</v>
          </cell>
          <cell r="J901">
            <v>1</v>
          </cell>
          <cell r="K901">
            <v>10</v>
          </cell>
          <cell r="L901">
            <v>20</v>
          </cell>
          <cell r="M901">
            <v>99</v>
          </cell>
          <cell r="N901">
            <v>0</v>
          </cell>
          <cell r="O901">
            <v>0</v>
          </cell>
          <cell r="P901">
            <v>30.7</v>
          </cell>
          <cell r="Q901">
            <v>5</v>
          </cell>
        </row>
        <row r="902">
          <cell r="B902">
            <v>2015</v>
          </cell>
          <cell r="C902">
            <v>48</v>
          </cell>
          <cell r="D902" t="str">
            <v>Matt Schaub</v>
          </cell>
          <cell r="F902">
            <v>52</v>
          </cell>
          <cell r="G902">
            <v>80</v>
          </cell>
          <cell r="H902">
            <v>65</v>
          </cell>
          <cell r="I902">
            <v>3</v>
          </cell>
          <cell r="J902">
            <v>4</v>
          </cell>
          <cell r="K902">
            <v>3</v>
          </cell>
          <cell r="L902">
            <v>4</v>
          </cell>
          <cell r="M902">
            <v>10</v>
          </cell>
          <cell r="N902">
            <v>0</v>
          </cell>
          <cell r="O902">
            <v>0</v>
          </cell>
          <cell r="P902">
            <v>26.6</v>
          </cell>
          <cell r="Q902">
            <v>2</v>
          </cell>
        </row>
        <row r="903">
          <cell r="B903">
            <v>2015</v>
          </cell>
          <cell r="C903">
            <v>49</v>
          </cell>
          <cell r="D903" t="str">
            <v>T.J. Yates</v>
          </cell>
          <cell r="F903">
            <v>28</v>
          </cell>
          <cell r="G903">
            <v>57</v>
          </cell>
          <cell r="H903">
            <v>49.1</v>
          </cell>
          <cell r="I903">
            <v>3</v>
          </cell>
          <cell r="J903">
            <v>1</v>
          </cell>
          <cell r="K903">
            <v>5</v>
          </cell>
          <cell r="L903">
            <v>6</v>
          </cell>
          <cell r="M903">
            <v>0</v>
          </cell>
          <cell r="N903">
            <v>0</v>
          </cell>
          <cell r="O903">
            <v>1</v>
          </cell>
          <cell r="P903">
            <v>22.9</v>
          </cell>
          <cell r="Q903">
            <v>4</v>
          </cell>
        </row>
        <row r="904">
          <cell r="B904">
            <v>2015</v>
          </cell>
          <cell r="C904">
            <v>50</v>
          </cell>
          <cell r="D904" t="str">
            <v>Landry Jones</v>
          </cell>
          <cell r="F904">
            <v>32</v>
          </cell>
          <cell r="G904">
            <v>55</v>
          </cell>
          <cell r="H904">
            <v>58.2</v>
          </cell>
          <cell r="I904">
            <v>3</v>
          </cell>
          <cell r="J904">
            <v>4</v>
          </cell>
          <cell r="K904">
            <v>2</v>
          </cell>
          <cell r="L904">
            <v>5</v>
          </cell>
          <cell r="M904">
            <v>-5</v>
          </cell>
          <cell r="N904">
            <v>0</v>
          </cell>
          <cell r="O904">
            <v>1</v>
          </cell>
          <cell r="P904">
            <v>22.1</v>
          </cell>
          <cell r="Q904">
            <v>7</v>
          </cell>
        </row>
        <row r="905">
          <cell r="B905">
            <v>2015</v>
          </cell>
          <cell r="C905">
            <v>51</v>
          </cell>
          <cell r="D905" t="str">
            <v>Geno Smith</v>
          </cell>
          <cell r="F905">
            <v>27</v>
          </cell>
          <cell r="G905">
            <v>42</v>
          </cell>
          <cell r="H905">
            <v>64.3</v>
          </cell>
          <cell r="I905">
            <v>2</v>
          </cell>
          <cell r="J905">
            <v>1</v>
          </cell>
          <cell r="K905">
            <v>3</v>
          </cell>
          <cell r="L905">
            <v>2</v>
          </cell>
          <cell r="M905">
            <v>34</v>
          </cell>
          <cell r="N905">
            <v>0</v>
          </cell>
          <cell r="O905">
            <v>0</v>
          </cell>
          <cell r="P905">
            <v>20</v>
          </cell>
          <cell r="Q905">
            <v>1</v>
          </cell>
        </row>
        <row r="906">
          <cell r="B906">
            <v>2015</v>
          </cell>
          <cell r="C906">
            <v>52</v>
          </cell>
          <cell r="D906" t="str">
            <v>Austin Davis</v>
          </cell>
          <cell r="F906">
            <v>56</v>
          </cell>
          <cell r="G906">
            <v>94</v>
          </cell>
          <cell r="H906">
            <v>59.6</v>
          </cell>
          <cell r="I906">
            <v>1</v>
          </cell>
          <cell r="J906">
            <v>3</v>
          </cell>
          <cell r="K906">
            <v>11</v>
          </cell>
          <cell r="L906">
            <v>7</v>
          </cell>
          <cell r="M906">
            <v>33</v>
          </cell>
          <cell r="N906">
            <v>0</v>
          </cell>
          <cell r="O906">
            <v>2</v>
          </cell>
          <cell r="P906">
            <v>19.2</v>
          </cell>
          <cell r="Q906">
            <v>3</v>
          </cell>
        </row>
        <row r="907">
          <cell r="B907">
            <v>2015</v>
          </cell>
          <cell r="C907">
            <v>53</v>
          </cell>
          <cell r="D907" t="str">
            <v>Luke McCown</v>
          </cell>
          <cell r="F907">
            <v>32</v>
          </cell>
          <cell r="G907">
            <v>39</v>
          </cell>
          <cell r="H907">
            <v>82.1</v>
          </cell>
          <cell r="I907">
            <v>0</v>
          </cell>
          <cell r="J907">
            <v>1</v>
          </cell>
          <cell r="K907">
            <v>1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11.4</v>
          </cell>
          <cell r="Q907">
            <v>8</v>
          </cell>
        </row>
        <row r="908">
          <cell r="B908">
            <v>2015</v>
          </cell>
          <cell r="C908">
            <v>54</v>
          </cell>
          <cell r="D908" t="str">
            <v>Josh Freeman</v>
          </cell>
          <cell r="F908">
            <v>15</v>
          </cell>
          <cell r="G908">
            <v>28</v>
          </cell>
          <cell r="H908">
            <v>53.6</v>
          </cell>
          <cell r="I908">
            <v>1</v>
          </cell>
          <cell r="J908">
            <v>1</v>
          </cell>
          <cell r="K908">
            <v>1</v>
          </cell>
          <cell r="L908">
            <v>8</v>
          </cell>
          <cell r="M908">
            <v>24</v>
          </cell>
          <cell r="N908">
            <v>0</v>
          </cell>
          <cell r="O908">
            <v>0</v>
          </cell>
          <cell r="P908">
            <v>10.4</v>
          </cell>
          <cell r="Q908">
            <v>1</v>
          </cell>
        </row>
        <row r="909">
          <cell r="B909">
            <v>2015</v>
          </cell>
          <cell r="C909">
            <v>55</v>
          </cell>
          <cell r="D909" t="str">
            <v>Dan Orlovsky</v>
          </cell>
          <cell r="F909">
            <v>22</v>
          </cell>
          <cell r="G909">
            <v>40</v>
          </cell>
          <cell r="H909">
            <v>55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10</v>
          </cell>
          <cell r="Q909">
            <v>3</v>
          </cell>
        </row>
        <row r="910">
          <cell r="B910">
            <v>2015</v>
          </cell>
          <cell r="C910">
            <v>56</v>
          </cell>
          <cell r="D910" t="str">
            <v>Matt McGloin</v>
          </cell>
          <cell r="F910">
            <v>23</v>
          </cell>
          <cell r="G910">
            <v>32</v>
          </cell>
          <cell r="H910">
            <v>71.900000000000006</v>
          </cell>
          <cell r="I910">
            <v>2</v>
          </cell>
          <cell r="J910">
            <v>1</v>
          </cell>
          <cell r="K910">
            <v>2</v>
          </cell>
          <cell r="L910">
            <v>0</v>
          </cell>
          <cell r="M910">
            <v>0</v>
          </cell>
          <cell r="N910">
            <v>0</v>
          </cell>
          <cell r="O910">
            <v>1</v>
          </cell>
          <cell r="P910">
            <v>9.6999999999999993</v>
          </cell>
          <cell r="Q910">
            <v>2</v>
          </cell>
        </row>
        <row r="911">
          <cell r="B911">
            <v>2015</v>
          </cell>
          <cell r="C911">
            <v>57</v>
          </cell>
          <cell r="D911" t="str">
            <v>Colt McCoy</v>
          </cell>
          <cell r="F911">
            <v>7</v>
          </cell>
          <cell r="G911">
            <v>11</v>
          </cell>
          <cell r="H911">
            <v>63.6</v>
          </cell>
          <cell r="I911">
            <v>1</v>
          </cell>
          <cell r="J911">
            <v>0</v>
          </cell>
          <cell r="K911">
            <v>1</v>
          </cell>
          <cell r="L911">
            <v>3</v>
          </cell>
          <cell r="M911">
            <v>-3</v>
          </cell>
          <cell r="N911">
            <v>0</v>
          </cell>
          <cell r="O911">
            <v>0</v>
          </cell>
          <cell r="P911">
            <v>8.8000000000000007</v>
          </cell>
          <cell r="Q911">
            <v>2</v>
          </cell>
        </row>
        <row r="912">
          <cell r="B912">
            <v>2015</v>
          </cell>
          <cell r="C912">
            <v>58</v>
          </cell>
          <cell r="D912" t="str">
            <v>Alex Tanney</v>
          </cell>
          <cell r="F912">
            <v>10</v>
          </cell>
          <cell r="G912">
            <v>14</v>
          </cell>
          <cell r="H912">
            <v>71.400000000000006</v>
          </cell>
          <cell r="I912">
            <v>1</v>
          </cell>
          <cell r="J912">
            <v>0</v>
          </cell>
          <cell r="K912">
            <v>3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8</v>
          </cell>
          <cell r="Q912">
            <v>1</v>
          </cell>
        </row>
        <row r="913">
          <cell r="B913">
            <v>2015</v>
          </cell>
          <cell r="C913">
            <v>59</v>
          </cell>
          <cell r="D913" t="str">
            <v>Ryan Nassib</v>
          </cell>
          <cell r="F913">
            <v>5</v>
          </cell>
          <cell r="G913">
            <v>5</v>
          </cell>
          <cell r="H913">
            <v>100</v>
          </cell>
          <cell r="I913">
            <v>1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6.7</v>
          </cell>
          <cell r="Q913">
            <v>1</v>
          </cell>
        </row>
        <row r="914">
          <cell r="B914">
            <v>2015</v>
          </cell>
          <cell r="C914">
            <v>60</v>
          </cell>
          <cell r="D914" t="str">
            <v>Kellen Clemens</v>
          </cell>
          <cell r="F914">
            <v>5</v>
          </cell>
          <cell r="G914">
            <v>6</v>
          </cell>
          <cell r="H914">
            <v>83.3</v>
          </cell>
          <cell r="I914">
            <v>1</v>
          </cell>
          <cell r="J914">
            <v>0</v>
          </cell>
          <cell r="K914">
            <v>0</v>
          </cell>
          <cell r="L914">
            <v>1</v>
          </cell>
          <cell r="M914">
            <v>-1</v>
          </cell>
          <cell r="N914">
            <v>0</v>
          </cell>
          <cell r="O914">
            <v>0</v>
          </cell>
          <cell r="P914">
            <v>6.4</v>
          </cell>
          <cell r="Q914">
            <v>2</v>
          </cell>
        </row>
        <row r="915">
          <cell r="B915">
            <v>2015</v>
          </cell>
          <cell r="C915">
            <v>61</v>
          </cell>
          <cell r="D915" t="str">
            <v>Ryan Lindley</v>
          </cell>
          <cell r="F915">
            <v>6</v>
          </cell>
          <cell r="G915">
            <v>10</v>
          </cell>
          <cell r="H915">
            <v>60</v>
          </cell>
          <cell r="I915">
            <v>1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6.3</v>
          </cell>
          <cell r="Q915">
            <v>1</v>
          </cell>
        </row>
        <row r="916">
          <cell r="B916">
            <v>2015</v>
          </cell>
          <cell r="C916">
            <v>62</v>
          </cell>
          <cell r="D916" t="str">
            <v>Charlie Whitehurst</v>
          </cell>
          <cell r="F916">
            <v>16</v>
          </cell>
          <cell r="G916">
            <v>32</v>
          </cell>
          <cell r="H916">
            <v>50</v>
          </cell>
          <cell r="I916">
            <v>0</v>
          </cell>
          <cell r="J916">
            <v>1</v>
          </cell>
          <cell r="K916">
            <v>5</v>
          </cell>
          <cell r="L916">
            <v>2</v>
          </cell>
          <cell r="M916">
            <v>1</v>
          </cell>
          <cell r="N916">
            <v>0</v>
          </cell>
          <cell r="O916">
            <v>0</v>
          </cell>
          <cell r="P916">
            <v>4</v>
          </cell>
          <cell r="Q916">
            <v>4</v>
          </cell>
        </row>
        <row r="917">
          <cell r="B917">
            <v>2015</v>
          </cell>
          <cell r="C917">
            <v>63</v>
          </cell>
          <cell r="D917" t="str">
            <v>B.J. Daniels</v>
          </cell>
          <cell r="F917">
            <v>1</v>
          </cell>
          <cell r="G917">
            <v>2</v>
          </cell>
          <cell r="H917">
            <v>50</v>
          </cell>
          <cell r="I917">
            <v>0</v>
          </cell>
          <cell r="J917">
            <v>0</v>
          </cell>
          <cell r="K917">
            <v>0</v>
          </cell>
          <cell r="L917">
            <v>6</v>
          </cell>
          <cell r="M917">
            <v>6</v>
          </cell>
          <cell r="N917">
            <v>0</v>
          </cell>
          <cell r="O917">
            <v>0</v>
          </cell>
          <cell r="P917">
            <v>3.7</v>
          </cell>
          <cell r="Q917">
            <v>8</v>
          </cell>
        </row>
        <row r="918">
          <cell r="B918">
            <v>2015</v>
          </cell>
          <cell r="C918">
            <v>64</v>
          </cell>
          <cell r="D918" t="str">
            <v>Sean Mannion</v>
          </cell>
          <cell r="F918">
            <v>6</v>
          </cell>
          <cell r="G918">
            <v>7</v>
          </cell>
          <cell r="H918">
            <v>85.7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1.2</v>
          </cell>
          <cell r="Q918">
            <v>1</v>
          </cell>
        </row>
        <row r="919">
          <cell r="B919">
            <v>2015</v>
          </cell>
          <cell r="C919">
            <v>65</v>
          </cell>
          <cell r="D919" t="str">
            <v>Derek Anderson</v>
          </cell>
          <cell r="F919">
            <v>4</v>
          </cell>
          <cell r="G919">
            <v>6</v>
          </cell>
          <cell r="H919">
            <v>66.7</v>
          </cell>
          <cell r="I919">
            <v>0</v>
          </cell>
          <cell r="J919">
            <v>0</v>
          </cell>
          <cell r="K919">
            <v>0</v>
          </cell>
          <cell r="L919">
            <v>7</v>
          </cell>
          <cell r="M919">
            <v>-2</v>
          </cell>
          <cell r="N919">
            <v>0</v>
          </cell>
          <cell r="O919">
            <v>0</v>
          </cell>
          <cell r="P919">
            <v>1.2</v>
          </cell>
          <cell r="Q919">
            <v>3</v>
          </cell>
        </row>
        <row r="920">
          <cell r="B920">
            <v>2015</v>
          </cell>
          <cell r="C920">
            <v>66</v>
          </cell>
          <cell r="D920" t="str">
            <v>Tarvaris Jackson</v>
          </cell>
          <cell r="F920">
            <v>4</v>
          </cell>
          <cell r="G920">
            <v>6</v>
          </cell>
          <cell r="H920">
            <v>66.7</v>
          </cell>
          <cell r="I920">
            <v>0</v>
          </cell>
          <cell r="J920">
            <v>0</v>
          </cell>
          <cell r="K920">
            <v>1</v>
          </cell>
          <cell r="L920">
            <v>8</v>
          </cell>
          <cell r="M920">
            <v>-8</v>
          </cell>
          <cell r="N920">
            <v>0</v>
          </cell>
          <cell r="O920">
            <v>0</v>
          </cell>
          <cell r="P920">
            <v>0.7</v>
          </cell>
          <cell r="Q920">
            <v>4</v>
          </cell>
        </row>
        <row r="921">
          <cell r="B921">
            <v>2015</v>
          </cell>
          <cell r="C921">
            <v>67</v>
          </cell>
          <cell r="D921" t="str">
            <v>Matt Moore</v>
          </cell>
          <cell r="F921">
            <v>1</v>
          </cell>
          <cell r="G921">
            <v>1</v>
          </cell>
          <cell r="H921">
            <v>100</v>
          </cell>
          <cell r="I921">
            <v>0</v>
          </cell>
          <cell r="J921">
            <v>0</v>
          </cell>
          <cell r="K921">
            <v>0</v>
          </cell>
          <cell r="L921">
            <v>3</v>
          </cell>
          <cell r="M921">
            <v>-2</v>
          </cell>
          <cell r="N921">
            <v>0</v>
          </cell>
          <cell r="O921">
            <v>0</v>
          </cell>
          <cell r="P921">
            <v>0.4</v>
          </cell>
          <cell r="Q921">
            <v>1</v>
          </cell>
        </row>
        <row r="922">
          <cell r="B922">
            <v>2015</v>
          </cell>
          <cell r="C922">
            <v>68</v>
          </cell>
          <cell r="D922" t="str">
            <v>Shaun Hill</v>
          </cell>
          <cell r="F922">
            <v>2</v>
          </cell>
          <cell r="G922">
            <v>7</v>
          </cell>
          <cell r="H922">
            <v>28.6</v>
          </cell>
          <cell r="I922">
            <v>0</v>
          </cell>
          <cell r="J922">
            <v>0</v>
          </cell>
          <cell r="K922">
            <v>1</v>
          </cell>
          <cell r="L922">
            <v>4</v>
          </cell>
          <cell r="M922">
            <v>-5</v>
          </cell>
          <cell r="N922">
            <v>0</v>
          </cell>
          <cell r="O922">
            <v>0</v>
          </cell>
          <cell r="P922">
            <v>0.1</v>
          </cell>
          <cell r="Q922">
            <v>3</v>
          </cell>
        </row>
        <row r="976">
          <cell r="B976">
            <v>2015</v>
          </cell>
          <cell r="C976">
            <v>122</v>
          </cell>
          <cell r="D976" t="str">
            <v>Chase Daniel</v>
          </cell>
          <cell r="F976">
            <v>2</v>
          </cell>
          <cell r="G976">
            <v>2</v>
          </cell>
          <cell r="H976">
            <v>100</v>
          </cell>
          <cell r="I976">
            <v>0</v>
          </cell>
          <cell r="J976">
            <v>0</v>
          </cell>
          <cell r="K976">
            <v>0</v>
          </cell>
          <cell r="L976">
            <v>2</v>
          </cell>
          <cell r="M976">
            <v>-2</v>
          </cell>
          <cell r="N976">
            <v>0</v>
          </cell>
          <cell r="O976">
            <v>0</v>
          </cell>
          <cell r="P976">
            <v>0</v>
          </cell>
          <cell r="Q976">
            <v>2</v>
          </cell>
        </row>
        <row r="982">
          <cell r="B982">
            <v>2015</v>
          </cell>
          <cell r="C982">
            <v>128</v>
          </cell>
          <cell r="D982" t="str">
            <v>Joe Webb III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1</v>
          </cell>
          <cell r="M982">
            <v>-1</v>
          </cell>
          <cell r="N982">
            <v>0</v>
          </cell>
          <cell r="O982">
            <v>0</v>
          </cell>
          <cell r="P982">
            <v>0</v>
          </cell>
          <cell r="Q982">
            <v>16</v>
          </cell>
        </row>
        <row r="1016">
          <cell r="B1016">
            <v>2015</v>
          </cell>
          <cell r="C1016">
            <v>162</v>
          </cell>
          <cell r="D1016" t="str">
            <v>Scott Tolzien</v>
          </cell>
          <cell r="F1016">
            <v>1</v>
          </cell>
          <cell r="G1016">
            <v>1</v>
          </cell>
          <cell r="H1016">
            <v>100</v>
          </cell>
          <cell r="I1016">
            <v>0</v>
          </cell>
          <cell r="J1016">
            <v>0</v>
          </cell>
          <cell r="K1016">
            <v>1</v>
          </cell>
          <cell r="L1016">
            <v>3</v>
          </cell>
          <cell r="M1016">
            <v>-3</v>
          </cell>
          <cell r="N1016">
            <v>0</v>
          </cell>
          <cell r="O1016">
            <v>0</v>
          </cell>
          <cell r="P1016">
            <v>-0.1</v>
          </cell>
          <cell r="Q1016">
            <v>3</v>
          </cell>
        </row>
        <row r="1017">
          <cell r="B1017">
            <v>2015</v>
          </cell>
          <cell r="C1017">
            <v>163</v>
          </cell>
          <cell r="D1017" t="str">
            <v>Trevor Siemian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1</v>
          </cell>
          <cell r="M1017">
            <v>-1</v>
          </cell>
          <cell r="N1017">
            <v>0</v>
          </cell>
          <cell r="O1017">
            <v>0</v>
          </cell>
          <cell r="P1017">
            <v>-0.1</v>
          </cell>
          <cell r="Q1017">
            <v>1</v>
          </cell>
        </row>
        <row r="1018">
          <cell r="B1018">
            <v>2015</v>
          </cell>
          <cell r="C1018">
            <v>164</v>
          </cell>
          <cell r="D1018" t="str">
            <v>Jimmy Garoppolo</v>
          </cell>
          <cell r="F1018">
            <v>1</v>
          </cell>
          <cell r="G1018">
            <v>4</v>
          </cell>
          <cell r="H1018">
            <v>25</v>
          </cell>
          <cell r="I1018">
            <v>0</v>
          </cell>
          <cell r="J1018">
            <v>0</v>
          </cell>
          <cell r="K1018">
            <v>0</v>
          </cell>
          <cell r="L1018">
            <v>5</v>
          </cell>
          <cell r="M1018">
            <v>-5</v>
          </cell>
          <cell r="N1018">
            <v>0</v>
          </cell>
          <cell r="O1018">
            <v>0</v>
          </cell>
          <cell r="P1018">
            <v>-0.3</v>
          </cell>
          <cell r="Q1018">
            <v>5</v>
          </cell>
        </row>
        <row r="1019">
          <cell r="B1019">
            <v>2015</v>
          </cell>
          <cell r="C1019">
            <v>165</v>
          </cell>
          <cell r="D1019" t="str">
            <v>Drew Stanton</v>
          </cell>
          <cell r="F1019">
            <v>11</v>
          </cell>
          <cell r="G1019">
            <v>25</v>
          </cell>
          <cell r="H1019">
            <v>44</v>
          </cell>
          <cell r="I1019">
            <v>0</v>
          </cell>
          <cell r="J1019">
            <v>2</v>
          </cell>
          <cell r="K1019">
            <v>2</v>
          </cell>
          <cell r="L1019">
            <v>13</v>
          </cell>
          <cell r="M1019">
            <v>-13</v>
          </cell>
          <cell r="N1019">
            <v>0</v>
          </cell>
          <cell r="O1019">
            <v>0</v>
          </cell>
          <cell r="P1019">
            <v>-1.1000000000000001</v>
          </cell>
          <cell r="Q1019">
            <v>7</v>
          </cell>
        </row>
        <row r="1020">
          <cell r="B1020">
            <v>2015</v>
          </cell>
          <cell r="C1020">
            <v>166</v>
          </cell>
          <cell r="D1020" t="str">
            <v>Sean Renfree</v>
          </cell>
          <cell r="F1020">
            <v>3</v>
          </cell>
          <cell r="G1020">
            <v>7</v>
          </cell>
          <cell r="H1020">
            <v>42.9</v>
          </cell>
          <cell r="I1020">
            <v>0</v>
          </cell>
          <cell r="J1020">
            <v>1</v>
          </cell>
          <cell r="K1020">
            <v>2</v>
          </cell>
          <cell r="L1020">
            <v>1</v>
          </cell>
          <cell r="M1020">
            <v>-4</v>
          </cell>
          <cell r="N1020">
            <v>0</v>
          </cell>
          <cell r="O1020">
            <v>0</v>
          </cell>
          <cell r="P1020">
            <v>-2</v>
          </cell>
          <cell r="Q1020">
            <v>2</v>
          </cell>
        </row>
        <row r="1021">
          <cell r="B1021">
            <v>2014</v>
          </cell>
          <cell r="C1021">
            <v>1</v>
          </cell>
          <cell r="D1021" t="str">
            <v>Aaron Rodgers</v>
          </cell>
          <cell r="F1021">
            <v>341</v>
          </cell>
          <cell r="G1021">
            <v>520</v>
          </cell>
          <cell r="H1021">
            <v>65.599999999999994</v>
          </cell>
          <cell r="I1021">
            <v>38</v>
          </cell>
          <cell r="J1021">
            <v>5</v>
          </cell>
          <cell r="K1021">
            <v>28</v>
          </cell>
          <cell r="L1021">
            <v>43</v>
          </cell>
          <cell r="M1021">
            <v>269</v>
          </cell>
          <cell r="N1021">
            <v>2</v>
          </cell>
          <cell r="O1021">
            <v>2</v>
          </cell>
          <cell r="P1021">
            <v>354.1</v>
          </cell>
          <cell r="Q1021">
            <v>16</v>
          </cell>
        </row>
        <row r="1022">
          <cell r="B1022">
            <v>2014</v>
          </cell>
          <cell r="C1022">
            <v>2</v>
          </cell>
          <cell r="D1022" t="str">
            <v>Russell Wilson</v>
          </cell>
          <cell r="F1022">
            <v>285</v>
          </cell>
          <cell r="G1022">
            <v>452</v>
          </cell>
          <cell r="H1022">
            <v>63.1</v>
          </cell>
          <cell r="I1022">
            <v>20</v>
          </cell>
          <cell r="J1022">
            <v>7</v>
          </cell>
          <cell r="K1022">
            <v>42</v>
          </cell>
          <cell r="L1022">
            <v>118</v>
          </cell>
          <cell r="M1022">
            <v>849</v>
          </cell>
          <cell r="N1022">
            <v>6</v>
          </cell>
          <cell r="O1022">
            <v>0</v>
          </cell>
          <cell r="P1022">
            <v>328</v>
          </cell>
          <cell r="Q1022">
            <v>16</v>
          </cell>
        </row>
        <row r="1023">
          <cell r="B1023">
            <v>2014</v>
          </cell>
          <cell r="C1023">
            <v>3</v>
          </cell>
          <cell r="D1023" t="str">
            <v>Ben Roethlisberger</v>
          </cell>
          <cell r="F1023">
            <v>408</v>
          </cell>
          <cell r="G1023">
            <v>608</v>
          </cell>
          <cell r="H1023">
            <v>67.099999999999994</v>
          </cell>
          <cell r="I1023">
            <v>32</v>
          </cell>
          <cell r="J1023">
            <v>9</v>
          </cell>
          <cell r="K1023">
            <v>33</v>
          </cell>
          <cell r="L1023">
            <v>33</v>
          </cell>
          <cell r="M1023">
            <v>27</v>
          </cell>
          <cell r="N1023">
            <v>0</v>
          </cell>
          <cell r="O1023">
            <v>5</v>
          </cell>
          <cell r="P1023">
            <v>306.2</v>
          </cell>
          <cell r="Q1023">
            <v>16</v>
          </cell>
        </row>
        <row r="1024">
          <cell r="B1024">
            <v>2014</v>
          </cell>
          <cell r="C1024">
            <v>4</v>
          </cell>
          <cell r="D1024" t="str">
            <v>Drew Brees</v>
          </cell>
          <cell r="F1024">
            <v>456</v>
          </cell>
          <cell r="G1024">
            <v>659</v>
          </cell>
          <cell r="H1024">
            <v>69.2</v>
          </cell>
          <cell r="I1024">
            <v>33</v>
          </cell>
          <cell r="J1024">
            <v>17</v>
          </cell>
          <cell r="K1024">
            <v>29</v>
          </cell>
          <cell r="L1024">
            <v>27</v>
          </cell>
          <cell r="M1024">
            <v>68</v>
          </cell>
          <cell r="N1024">
            <v>1</v>
          </cell>
          <cell r="O1024">
            <v>3</v>
          </cell>
          <cell r="P1024">
            <v>303.39999999999998</v>
          </cell>
          <cell r="Q1024">
            <v>16</v>
          </cell>
        </row>
        <row r="1025">
          <cell r="B1025">
            <v>2014</v>
          </cell>
          <cell r="C1025">
            <v>5</v>
          </cell>
          <cell r="D1025" t="str">
            <v>Matt Ryan</v>
          </cell>
          <cell r="F1025">
            <v>415</v>
          </cell>
          <cell r="G1025">
            <v>628</v>
          </cell>
          <cell r="H1025">
            <v>66.099999999999994</v>
          </cell>
          <cell r="I1025">
            <v>28</v>
          </cell>
          <cell r="J1025">
            <v>14</v>
          </cell>
          <cell r="K1025">
            <v>31</v>
          </cell>
          <cell r="L1025">
            <v>29</v>
          </cell>
          <cell r="M1025">
            <v>145</v>
          </cell>
          <cell r="N1025">
            <v>0</v>
          </cell>
          <cell r="O1025">
            <v>2</v>
          </cell>
          <cell r="P1025">
            <v>284</v>
          </cell>
          <cell r="Q1025">
            <v>16</v>
          </cell>
        </row>
        <row r="1026">
          <cell r="B1026">
            <v>2014</v>
          </cell>
          <cell r="C1026">
            <v>6</v>
          </cell>
          <cell r="D1026" t="str">
            <v>Ryan Tannehill</v>
          </cell>
          <cell r="F1026">
            <v>392</v>
          </cell>
          <cell r="G1026">
            <v>590</v>
          </cell>
          <cell r="H1026">
            <v>66.400000000000006</v>
          </cell>
          <cell r="I1026">
            <v>27</v>
          </cell>
          <cell r="J1026">
            <v>12</v>
          </cell>
          <cell r="K1026">
            <v>46</v>
          </cell>
          <cell r="L1026">
            <v>56</v>
          </cell>
          <cell r="M1026">
            <v>311</v>
          </cell>
          <cell r="N1026">
            <v>1</v>
          </cell>
          <cell r="O1026">
            <v>2</v>
          </cell>
          <cell r="P1026">
            <v>278.89999999999998</v>
          </cell>
          <cell r="Q1026">
            <v>16</v>
          </cell>
        </row>
        <row r="1027">
          <cell r="B1027">
            <v>2014</v>
          </cell>
          <cell r="C1027">
            <v>7</v>
          </cell>
          <cell r="D1027" t="str">
            <v>Tom Brady</v>
          </cell>
          <cell r="F1027">
            <v>373</v>
          </cell>
          <cell r="G1027">
            <v>582</v>
          </cell>
          <cell r="H1027">
            <v>64.099999999999994</v>
          </cell>
          <cell r="I1027">
            <v>33</v>
          </cell>
          <cell r="J1027">
            <v>9</v>
          </cell>
          <cell r="K1027">
            <v>21</v>
          </cell>
          <cell r="L1027">
            <v>36</v>
          </cell>
          <cell r="M1027">
            <v>57</v>
          </cell>
          <cell r="N1027">
            <v>0</v>
          </cell>
          <cell r="O1027">
            <v>3</v>
          </cell>
          <cell r="P1027">
            <v>278.3</v>
          </cell>
          <cell r="Q1027">
            <v>16</v>
          </cell>
        </row>
        <row r="1028">
          <cell r="B1028">
            <v>2014</v>
          </cell>
          <cell r="C1028">
            <v>8</v>
          </cell>
          <cell r="D1028" t="str">
            <v>Joe Flacco</v>
          </cell>
          <cell r="F1028">
            <v>344</v>
          </cell>
          <cell r="G1028">
            <v>554</v>
          </cell>
          <cell r="H1028">
            <v>62.1</v>
          </cell>
          <cell r="I1028">
            <v>27</v>
          </cell>
          <cell r="J1028">
            <v>12</v>
          </cell>
          <cell r="K1028">
            <v>19</v>
          </cell>
          <cell r="L1028">
            <v>39</v>
          </cell>
          <cell r="M1028">
            <v>70</v>
          </cell>
          <cell r="N1028">
            <v>2</v>
          </cell>
          <cell r="O1028">
            <v>0</v>
          </cell>
          <cell r="P1028">
            <v>262.39999999999998</v>
          </cell>
          <cell r="Q1028">
            <v>16</v>
          </cell>
        </row>
        <row r="1029">
          <cell r="B1029">
            <v>2014</v>
          </cell>
          <cell r="C1029">
            <v>9</v>
          </cell>
          <cell r="D1029" t="str">
            <v>Matthew Stafford</v>
          </cell>
          <cell r="F1029">
            <v>363</v>
          </cell>
          <cell r="G1029">
            <v>602</v>
          </cell>
          <cell r="H1029">
            <v>60.3</v>
          </cell>
          <cell r="I1029">
            <v>22</v>
          </cell>
          <cell r="J1029">
            <v>12</v>
          </cell>
          <cell r="K1029">
            <v>45</v>
          </cell>
          <cell r="L1029">
            <v>43</v>
          </cell>
          <cell r="M1029">
            <v>93</v>
          </cell>
          <cell r="N1029">
            <v>2</v>
          </cell>
          <cell r="O1029">
            <v>3</v>
          </cell>
          <cell r="P1029">
            <v>251.4</v>
          </cell>
          <cell r="Q1029">
            <v>16</v>
          </cell>
        </row>
        <row r="1030">
          <cell r="B1030">
            <v>2014</v>
          </cell>
          <cell r="C1030">
            <v>10</v>
          </cell>
          <cell r="D1030" t="str">
            <v>Cam Newton</v>
          </cell>
          <cell r="F1030">
            <v>262</v>
          </cell>
          <cell r="G1030">
            <v>448</v>
          </cell>
          <cell r="H1030">
            <v>58.5</v>
          </cell>
          <cell r="I1030">
            <v>18</v>
          </cell>
          <cell r="J1030">
            <v>12</v>
          </cell>
          <cell r="K1030">
            <v>38</v>
          </cell>
          <cell r="L1030">
            <v>103</v>
          </cell>
          <cell r="M1030">
            <v>539</v>
          </cell>
          <cell r="N1030">
            <v>5</v>
          </cell>
          <cell r="O1030">
            <v>5</v>
          </cell>
          <cell r="P1030">
            <v>248.9</v>
          </cell>
          <cell r="Q1030">
            <v>14</v>
          </cell>
        </row>
        <row r="1031">
          <cell r="B1031">
            <v>2014</v>
          </cell>
          <cell r="C1031">
            <v>11</v>
          </cell>
          <cell r="D1031" t="str">
            <v>Andy Dalton</v>
          </cell>
          <cell r="F1031">
            <v>309</v>
          </cell>
          <cell r="G1031">
            <v>481</v>
          </cell>
          <cell r="H1031">
            <v>64.2</v>
          </cell>
          <cell r="I1031">
            <v>19</v>
          </cell>
          <cell r="J1031">
            <v>17</v>
          </cell>
          <cell r="K1031">
            <v>21</v>
          </cell>
          <cell r="L1031">
            <v>60</v>
          </cell>
          <cell r="M1031">
            <v>169</v>
          </cell>
          <cell r="N1031">
            <v>4</v>
          </cell>
          <cell r="O1031">
            <v>2</v>
          </cell>
          <cell r="P1031">
            <v>225</v>
          </cell>
          <cell r="Q1031">
            <v>16</v>
          </cell>
        </row>
        <row r="1032">
          <cell r="B1032">
            <v>2014</v>
          </cell>
          <cell r="C1032">
            <v>12</v>
          </cell>
          <cell r="D1032" t="str">
            <v>Alex Smith</v>
          </cell>
          <cell r="F1032">
            <v>303</v>
          </cell>
          <cell r="G1032">
            <v>464</v>
          </cell>
          <cell r="H1032">
            <v>65.3</v>
          </cell>
          <cell r="I1032">
            <v>18</v>
          </cell>
          <cell r="J1032">
            <v>6</v>
          </cell>
          <cell r="K1032">
            <v>45</v>
          </cell>
          <cell r="L1032">
            <v>49</v>
          </cell>
          <cell r="M1032">
            <v>254</v>
          </cell>
          <cell r="N1032">
            <v>1</v>
          </cell>
          <cell r="O1032">
            <v>1</v>
          </cell>
          <cell r="P1032">
            <v>219.9</v>
          </cell>
          <cell r="Q1032">
            <v>15</v>
          </cell>
        </row>
        <row r="1033">
          <cell r="B1033">
            <v>2014</v>
          </cell>
          <cell r="C1033">
            <v>13</v>
          </cell>
          <cell r="D1033" t="str">
            <v>Ryan Fitzpatrick</v>
          </cell>
          <cell r="F1033">
            <v>197</v>
          </cell>
          <cell r="G1033">
            <v>312</v>
          </cell>
          <cell r="H1033">
            <v>63.1</v>
          </cell>
          <cell r="I1033">
            <v>17</v>
          </cell>
          <cell r="J1033">
            <v>8</v>
          </cell>
          <cell r="K1033">
            <v>21</v>
          </cell>
          <cell r="L1033">
            <v>50</v>
          </cell>
          <cell r="M1033">
            <v>184</v>
          </cell>
          <cell r="N1033">
            <v>2</v>
          </cell>
          <cell r="O1033">
            <v>1</v>
          </cell>
          <cell r="P1033">
            <v>179.8</v>
          </cell>
          <cell r="Q1033">
            <v>12</v>
          </cell>
        </row>
        <row r="1034">
          <cell r="B1034">
            <v>2014</v>
          </cell>
          <cell r="C1034">
            <v>14</v>
          </cell>
          <cell r="D1034" t="str">
            <v>Teddy Bridgewater</v>
          </cell>
          <cell r="F1034">
            <v>259</v>
          </cell>
          <cell r="G1034">
            <v>402</v>
          </cell>
          <cell r="H1034">
            <v>64.400000000000006</v>
          </cell>
          <cell r="I1034">
            <v>14</v>
          </cell>
          <cell r="J1034">
            <v>12</v>
          </cell>
          <cell r="K1034">
            <v>39</v>
          </cell>
          <cell r="L1034">
            <v>47</v>
          </cell>
          <cell r="M1034">
            <v>209</v>
          </cell>
          <cell r="N1034">
            <v>1</v>
          </cell>
          <cell r="O1034">
            <v>0</v>
          </cell>
          <cell r="P1034">
            <v>179.7</v>
          </cell>
          <cell r="Q1034">
            <v>13</v>
          </cell>
        </row>
        <row r="1035">
          <cell r="B1035">
            <v>2014</v>
          </cell>
          <cell r="C1035">
            <v>15</v>
          </cell>
          <cell r="D1035" t="str">
            <v>Blake Bortles</v>
          </cell>
          <cell r="F1035">
            <v>280</v>
          </cell>
          <cell r="G1035">
            <v>475</v>
          </cell>
          <cell r="H1035">
            <v>58.9</v>
          </cell>
          <cell r="I1035">
            <v>11</v>
          </cell>
          <cell r="J1035">
            <v>17</v>
          </cell>
          <cell r="K1035">
            <v>55</v>
          </cell>
          <cell r="L1035">
            <v>56</v>
          </cell>
          <cell r="M1035">
            <v>419</v>
          </cell>
          <cell r="N1035">
            <v>0</v>
          </cell>
          <cell r="O1035">
            <v>1</v>
          </cell>
          <cell r="P1035">
            <v>168.2</v>
          </cell>
          <cell r="Q1035">
            <v>14</v>
          </cell>
        </row>
        <row r="1036">
          <cell r="B1036">
            <v>2014</v>
          </cell>
          <cell r="C1036">
            <v>16</v>
          </cell>
          <cell r="D1036" t="str">
            <v>Brian Hoyer</v>
          </cell>
          <cell r="F1036">
            <v>242</v>
          </cell>
          <cell r="G1036">
            <v>438</v>
          </cell>
          <cell r="H1036">
            <v>55.3</v>
          </cell>
          <cell r="I1036">
            <v>12</v>
          </cell>
          <cell r="J1036">
            <v>13</v>
          </cell>
          <cell r="K1036">
            <v>24</v>
          </cell>
          <cell r="L1036">
            <v>24</v>
          </cell>
          <cell r="M1036">
            <v>39</v>
          </cell>
          <cell r="N1036">
            <v>0</v>
          </cell>
          <cell r="O1036">
            <v>1</v>
          </cell>
          <cell r="P1036">
            <v>157</v>
          </cell>
          <cell r="Q1036">
            <v>14</v>
          </cell>
        </row>
        <row r="1037">
          <cell r="B1037">
            <v>2014</v>
          </cell>
          <cell r="C1037">
            <v>17</v>
          </cell>
          <cell r="D1037" t="str">
            <v>Geno Smith</v>
          </cell>
          <cell r="F1037">
            <v>219</v>
          </cell>
          <cell r="G1037">
            <v>367</v>
          </cell>
          <cell r="H1037">
            <v>59.7</v>
          </cell>
          <cell r="I1037">
            <v>13</v>
          </cell>
          <cell r="J1037">
            <v>13</v>
          </cell>
          <cell r="K1037">
            <v>28</v>
          </cell>
          <cell r="L1037">
            <v>59</v>
          </cell>
          <cell r="M1037">
            <v>238</v>
          </cell>
          <cell r="N1037">
            <v>1</v>
          </cell>
          <cell r="O1037">
            <v>3</v>
          </cell>
          <cell r="P1037">
            <v>150.80000000000001</v>
          </cell>
          <cell r="Q1037">
            <v>14</v>
          </cell>
        </row>
        <row r="1038">
          <cell r="B1038">
            <v>2014</v>
          </cell>
          <cell r="C1038">
            <v>18</v>
          </cell>
          <cell r="D1038" t="str">
            <v>Josh McCown</v>
          </cell>
          <cell r="F1038">
            <v>184</v>
          </cell>
          <cell r="G1038">
            <v>327</v>
          </cell>
          <cell r="H1038">
            <v>56.3</v>
          </cell>
          <cell r="I1038">
            <v>11</v>
          </cell>
          <cell r="J1038">
            <v>14</v>
          </cell>
          <cell r="K1038">
            <v>36</v>
          </cell>
          <cell r="L1038">
            <v>25</v>
          </cell>
          <cell r="M1038">
            <v>127</v>
          </cell>
          <cell r="N1038">
            <v>3</v>
          </cell>
          <cell r="O1038">
            <v>4</v>
          </cell>
          <cell r="P1038">
            <v>126.9</v>
          </cell>
          <cell r="Q1038">
            <v>11</v>
          </cell>
        </row>
        <row r="1039">
          <cell r="B1039">
            <v>2014</v>
          </cell>
          <cell r="C1039">
            <v>19</v>
          </cell>
          <cell r="D1039" t="str">
            <v>Nick Foles</v>
          </cell>
          <cell r="F1039">
            <v>186</v>
          </cell>
          <cell r="G1039">
            <v>311</v>
          </cell>
          <cell r="H1039">
            <v>59.8</v>
          </cell>
          <cell r="I1039">
            <v>13</v>
          </cell>
          <cell r="J1039">
            <v>10</v>
          </cell>
          <cell r="K1039">
            <v>9</v>
          </cell>
          <cell r="L1039">
            <v>16</v>
          </cell>
          <cell r="M1039">
            <v>68</v>
          </cell>
          <cell r="N1039">
            <v>0</v>
          </cell>
          <cell r="O1039">
            <v>3</v>
          </cell>
          <cell r="P1039">
            <v>119.3</v>
          </cell>
          <cell r="Q1039">
            <v>8</v>
          </cell>
        </row>
        <row r="1040">
          <cell r="B1040">
            <v>2014</v>
          </cell>
          <cell r="C1040">
            <v>20</v>
          </cell>
          <cell r="D1040" t="str">
            <v>Drew Stanton</v>
          </cell>
          <cell r="F1040">
            <v>132</v>
          </cell>
          <cell r="G1040">
            <v>240</v>
          </cell>
          <cell r="H1040">
            <v>55</v>
          </cell>
          <cell r="I1040">
            <v>7</v>
          </cell>
          <cell r="J1040">
            <v>5</v>
          </cell>
          <cell r="K1040">
            <v>11</v>
          </cell>
          <cell r="L1040">
            <v>25</v>
          </cell>
          <cell r="M1040">
            <v>63</v>
          </cell>
          <cell r="N1040">
            <v>0</v>
          </cell>
          <cell r="O1040">
            <v>0</v>
          </cell>
          <cell r="P1040">
            <v>94.9</v>
          </cell>
          <cell r="Q1040">
            <v>9</v>
          </cell>
        </row>
        <row r="1041">
          <cell r="B1041">
            <v>2014</v>
          </cell>
          <cell r="C1041">
            <v>21</v>
          </cell>
          <cell r="D1041" t="str">
            <v>Mike Glennon</v>
          </cell>
          <cell r="F1041">
            <v>117</v>
          </cell>
          <cell r="G1041">
            <v>203</v>
          </cell>
          <cell r="H1041">
            <v>57.6</v>
          </cell>
          <cell r="I1041">
            <v>10</v>
          </cell>
          <cell r="J1041">
            <v>6</v>
          </cell>
          <cell r="K1041">
            <v>16</v>
          </cell>
          <cell r="L1041">
            <v>10</v>
          </cell>
          <cell r="M1041">
            <v>49</v>
          </cell>
          <cell r="N1041">
            <v>0</v>
          </cell>
          <cell r="O1041">
            <v>0</v>
          </cell>
          <cell r="P1041">
            <v>89.6</v>
          </cell>
          <cell r="Q1041">
            <v>6</v>
          </cell>
        </row>
        <row r="1042">
          <cell r="B1042">
            <v>2014</v>
          </cell>
          <cell r="C1042">
            <v>22</v>
          </cell>
          <cell r="D1042" t="str">
            <v>Kirk Cousins</v>
          </cell>
          <cell r="F1042">
            <v>126</v>
          </cell>
          <cell r="G1042">
            <v>204</v>
          </cell>
          <cell r="H1042">
            <v>61.8</v>
          </cell>
          <cell r="I1042">
            <v>10</v>
          </cell>
          <cell r="J1042">
            <v>9</v>
          </cell>
          <cell r="K1042">
            <v>8</v>
          </cell>
          <cell r="L1042">
            <v>7</v>
          </cell>
          <cell r="M1042">
            <v>20</v>
          </cell>
          <cell r="N1042">
            <v>0</v>
          </cell>
          <cell r="O1042">
            <v>2</v>
          </cell>
          <cell r="P1042">
            <v>88.5</v>
          </cell>
          <cell r="Q1042">
            <v>6</v>
          </cell>
        </row>
        <row r="1043">
          <cell r="B1043">
            <v>2014</v>
          </cell>
          <cell r="C1043">
            <v>23</v>
          </cell>
          <cell r="D1043" t="str">
            <v>Robert Griffin III</v>
          </cell>
          <cell r="F1043">
            <v>147</v>
          </cell>
          <cell r="G1043">
            <v>214</v>
          </cell>
          <cell r="H1043">
            <v>68.7</v>
          </cell>
          <cell r="I1043">
            <v>4</v>
          </cell>
          <cell r="J1043">
            <v>6</v>
          </cell>
          <cell r="K1043">
            <v>33</v>
          </cell>
          <cell r="L1043">
            <v>38</v>
          </cell>
          <cell r="M1043">
            <v>176</v>
          </cell>
          <cell r="N1043">
            <v>1</v>
          </cell>
          <cell r="O1043">
            <v>4</v>
          </cell>
          <cell r="P1043">
            <v>87.2</v>
          </cell>
          <cell r="Q1043">
            <v>9</v>
          </cell>
        </row>
        <row r="1044">
          <cell r="B1044">
            <v>2014</v>
          </cell>
          <cell r="C1044">
            <v>24</v>
          </cell>
          <cell r="D1044" t="str">
            <v>Colt McCoy</v>
          </cell>
          <cell r="F1044">
            <v>91</v>
          </cell>
          <cell r="G1044">
            <v>128</v>
          </cell>
          <cell r="H1044">
            <v>71.099999999999994</v>
          </cell>
          <cell r="I1044">
            <v>4</v>
          </cell>
          <cell r="J1044">
            <v>3</v>
          </cell>
          <cell r="K1044">
            <v>17</v>
          </cell>
          <cell r="L1044">
            <v>16</v>
          </cell>
          <cell r="M1044">
            <v>66</v>
          </cell>
          <cell r="N1044">
            <v>1</v>
          </cell>
          <cell r="O1044">
            <v>1</v>
          </cell>
          <cell r="P1044">
            <v>63</v>
          </cell>
          <cell r="Q1044">
            <v>5</v>
          </cell>
        </row>
        <row r="1045">
          <cell r="B1045">
            <v>2014</v>
          </cell>
          <cell r="C1045">
            <v>25</v>
          </cell>
          <cell r="D1045" t="str">
            <v>Chad Henne</v>
          </cell>
          <cell r="F1045">
            <v>42</v>
          </cell>
          <cell r="G1045">
            <v>78</v>
          </cell>
          <cell r="H1045">
            <v>53.8</v>
          </cell>
          <cell r="I1045">
            <v>3</v>
          </cell>
          <cell r="J1045">
            <v>1</v>
          </cell>
          <cell r="K1045">
            <v>16</v>
          </cell>
          <cell r="L1045">
            <v>4</v>
          </cell>
          <cell r="M1045">
            <v>25</v>
          </cell>
          <cell r="N1045">
            <v>0</v>
          </cell>
          <cell r="O1045">
            <v>1</v>
          </cell>
          <cell r="P1045">
            <v>30.1</v>
          </cell>
          <cell r="Q1045">
            <v>3</v>
          </cell>
        </row>
        <row r="1046">
          <cell r="B1046">
            <v>2014</v>
          </cell>
          <cell r="C1046">
            <v>26</v>
          </cell>
          <cell r="D1046" t="str">
            <v>Case Keenum</v>
          </cell>
          <cell r="F1046">
            <v>45</v>
          </cell>
          <cell r="G1046">
            <v>77</v>
          </cell>
          <cell r="H1046">
            <v>58.4</v>
          </cell>
          <cell r="I1046">
            <v>2</v>
          </cell>
          <cell r="J1046">
            <v>2</v>
          </cell>
          <cell r="K1046">
            <v>3</v>
          </cell>
          <cell r="L1046">
            <v>10</v>
          </cell>
          <cell r="M1046">
            <v>35</v>
          </cell>
          <cell r="N1046">
            <v>0</v>
          </cell>
          <cell r="O1046">
            <v>1</v>
          </cell>
          <cell r="P1046">
            <v>22.9</v>
          </cell>
          <cell r="Q1046">
            <v>2</v>
          </cell>
        </row>
        <row r="1047">
          <cell r="B1047">
            <v>2014</v>
          </cell>
          <cell r="C1047">
            <v>27</v>
          </cell>
          <cell r="D1047" t="str">
            <v>Jimmy Garoppolo</v>
          </cell>
          <cell r="F1047">
            <v>19</v>
          </cell>
          <cell r="G1047">
            <v>27</v>
          </cell>
          <cell r="H1047">
            <v>70.400000000000006</v>
          </cell>
          <cell r="I1047">
            <v>1</v>
          </cell>
          <cell r="J1047">
            <v>0</v>
          </cell>
          <cell r="K1047">
            <v>5</v>
          </cell>
          <cell r="L1047">
            <v>10</v>
          </cell>
          <cell r="M1047">
            <v>9</v>
          </cell>
          <cell r="N1047">
            <v>0</v>
          </cell>
          <cell r="O1047">
            <v>0</v>
          </cell>
          <cell r="P1047">
            <v>12.2</v>
          </cell>
          <cell r="Q1047">
            <v>6</v>
          </cell>
        </row>
        <row r="1048">
          <cell r="B1048">
            <v>2014</v>
          </cell>
          <cell r="C1048">
            <v>28</v>
          </cell>
          <cell r="D1048" t="str">
            <v>Chase Daniel</v>
          </cell>
          <cell r="F1048">
            <v>16</v>
          </cell>
          <cell r="G1048">
            <v>28</v>
          </cell>
          <cell r="H1048">
            <v>57.1</v>
          </cell>
          <cell r="I1048">
            <v>0</v>
          </cell>
          <cell r="J1048">
            <v>0</v>
          </cell>
          <cell r="K1048">
            <v>4</v>
          </cell>
          <cell r="L1048">
            <v>4</v>
          </cell>
          <cell r="M1048">
            <v>15</v>
          </cell>
          <cell r="N1048">
            <v>0</v>
          </cell>
          <cell r="O1048">
            <v>0</v>
          </cell>
          <cell r="P1048">
            <v>7.8</v>
          </cell>
          <cell r="Q1048">
            <v>3</v>
          </cell>
        </row>
        <row r="1049">
          <cell r="B1049">
            <v>2014</v>
          </cell>
          <cell r="C1049">
            <v>29</v>
          </cell>
          <cell r="D1049" t="str">
            <v>Blaine Gabbert</v>
          </cell>
          <cell r="F1049">
            <v>3</v>
          </cell>
          <cell r="G1049">
            <v>7</v>
          </cell>
          <cell r="H1049">
            <v>42.9</v>
          </cell>
          <cell r="I1049">
            <v>1</v>
          </cell>
          <cell r="J1049">
            <v>0</v>
          </cell>
          <cell r="K1049">
            <v>0</v>
          </cell>
          <cell r="L1049">
            <v>1</v>
          </cell>
          <cell r="M1049">
            <v>5</v>
          </cell>
          <cell r="N1049">
            <v>0</v>
          </cell>
          <cell r="O1049">
            <v>0</v>
          </cell>
          <cell r="P1049">
            <v>6</v>
          </cell>
          <cell r="Q1049">
            <v>1</v>
          </cell>
        </row>
        <row r="1050">
          <cell r="B1050">
            <v>2014</v>
          </cell>
          <cell r="C1050">
            <v>30</v>
          </cell>
          <cell r="D1050" t="str">
            <v>Joe Webb III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2.1</v>
          </cell>
          <cell r="Q1050">
            <v>7</v>
          </cell>
        </row>
        <row r="1051">
          <cell r="B1051">
            <v>2014</v>
          </cell>
          <cell r="C1051">
            <v>31</v>
          </cell>
          <cell r="D1051" t="str">
            <v>Matt Moore</v>
          </cell>
          <cell r="F1051">
            <v>2</v>
          </cell>
          <cell r="G1051">
            <v>4</v>
          </cell>
          <cell r="H1051">
            <v>50</v>
          </cell>
          <cell r="I1051">
            <v>0</v>
          </cell>
          <cell r="J1051">
            <v>0</v>
          </cell>
          <cell r="K1051">
            <v>0</v>
          </cell>
          <cell r="L1051">
            <v>2</v>
          </cell>
          <cell r="M1051">
            <v>-2</v>
          </cell>
          <cell r="N1051">
            <v>0</v>
          </cell>
          <cell r="O1051">
            <v>0</v>
          </cell>
          <cell r="P1051">
            <v>0.6</v>
          </cell>
          <cell r="Q1051">
            <v>2</v>
          </cell>
        </row>
        <row r="1086">
          <cell r="B1086">
            <v>2014</v>
          </cell>
          <cell r="C1086">
            <v>66</v>
          </cell>
          <cell r="D1086" t="str">
            <v>Trevor Lawrence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</row>
        <row r="1087">
          <cell r="B1087">
            <v>2014</v>
          </cell>
          <cell r="C1087">
            <v>67</v>
          </cell>
          <cell r="D1087" t="str">
            <v>Justin Fields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</row>
        <row r="1088">
          <cell r="B1088">
            <v>2014</v>
          </cell>
          <cell r="C1088">
            <v>68</v>
          </cell>
          <cell r="D1088" t="str">
            <v>Kyle Allen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</row>
        <row r="1089">
          <cell r="B1089">
            <v>2014</v>
          </cell>
          <cell r="C1089">
            <v>69</v>
          </cell>
          <cell r="D1089" t="str">
            <v>Joe Burrow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</row>
        <row r="1090">
          <cell r="B1090">
            <v>2014</v>
          </cell>
          <cell r="C1090">
            <v>70</v>
          </cell>
          <cell r="D1090" t="str">
            <v>Tua Tagovailoa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</row>
        <row r="1091">
          <cell r="B1091">
            <v>2014</v>
          </cell>
          <cell r="C1091">
            <v>71</v>
          </cell>
          <cell r="D1091" t="str">
            <v>Jacob Eason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</row>
        <row r="1092">
          <cell r="B1092">
            <v>2014</v>
          </cell>
          <cell r="C1092">
            <v>72</v>
          </cell>
          <cell r="D1092" t="str">
            <v>Jake Fromm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</row>
        <row r="1093">
          <cell r="B1093">
            <v>2014</v>
          </cell>
          <cell r="C1093">
            <v>73</v>
          </cell>
          <cell r="D1093" t="str">
            <v>Jordan Love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</row>
        <row r="1094">
          <cell r="B1094">
            <v>2014</v>
          </cell>
          <cell r="C1094">
            <v>74</v>
          </cell>
          <cell r="D1094" t="str">
            <v>Jalen Hurts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</row>
        <row r="1095">
          <cell r="B1095">
            <v>2014</v>
          </cell>
          <cell r="C1095">
            <v>75</v>
          </cell>
          <cell r="D1095" t="str">
            <v>Tyler Huntley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</row>
        <row r="1096">
          <cell r="B1096">
            <v>2014</v>
          </cell>
          <cell r="C1096">
            <v>76</v>
          </cell>
          <cell r="D1096" t="str">
            <v>Shane Buechele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</row>
        <row r="1097">
          <cell r="B1097">
            <v>2014</v>
          </cell>
          <cell r="C1097">
            <v>77</v>
          </cell>
          <cell r="D1097" t="str">
            <v>Kellen Mond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</row>
        <row r="1098">
          <cell r="B1098">
            <v>2014</v>
          </cell>
          <cell r="C1098">
            <v>78</v>
          </cell>
          <cell r="D1098" t="str">
            <v>Bryce Perkins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</row>
        <row r="1099">
          <cell r="B1099">
            <v>2014</v>
          </cell>
          <cell r="C1099">
            <v>79</v>
          </cell>
          <cell r="D1099" t="str">
            <v>Ryan Willis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</row>
        <row r="1100">
          <cell r="B1100">
            <v>2014</v>
          </cell>
          <cell r="C1100">
            <v>80</v>
          </cell>
          <cell r="D1100" t="str">
            <v>Zach Wilson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</row>
        <row r="1101">
          <cell r="B1101">
            <v>2014</v>
          </cell>
          <cell r="C1101">
            <v>81</v>
          </cell>
          <cell r="D1101" t="str">
            <v>Davis Mills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</row>
        <row r="1102">
          <cell r="B1102">
            <v>2014</v>
          </cell>
          <cell r="C1102">
            <v>82</v>
          </cell>
          <cell r="D1102" t="str">
            <v>Lamar Jackson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</row>
        <row r="1103">
          <cell r="B1103">
            <v>2014</v>
          </cell>
          <cell r="C1103">
            <v>83</v>
          </cell>
          <cell r="D1103" t="str">
            <v>Jake Locker</v>
          </cell>
          <cell r="F1103">
            <v>86</v>
          </cell>
          <cell r="G1103">
            <v>146</v>
          </cell>
          <cell r="H1103">
            <v>58.9</v>
          </cell>
          <cell r="I1103">
            <v>5</v>
          </cell>
          <cell r="J1103">
            <v>7</v>
          </cell>
          <cell r="K1103">
            <v>14</v>
          </cell>
          <cell r="L1103">
            <v>22</v>
          </cell>
          <cell r="M1103">
            <v>142</v>
          </cell>
          <cell r="N1103">
            <v>1</v>
          </cell>
          <cell r="O1103">
            <v>1</v>
          </cell>
          <cell r="P1103">
            <v>0</v>
          </cell>
          <cell r="Q1103">
            <v>7</v>
          </cell>
        </row>
        <row r="1104">
          <cell r="B1104">
            <v>2014</v>
          </cell>
          <cell r="C1104">
            <v>84</v>
          </cell>
          <cell r="D1104" t="str">
            <v>Ryan Mallett</v>
          </cell>
          <cell r="F1104">
            <v>41</v>
          </cell>
          <cell r="G1104">
            <v>75</v>
          </cell>
          <cell r="H1104">
            <v>54.7</v>
          </cell>
          <cell r="I1104">
            <v>2</v>
          </cell>
          <cell r="J1104">
            <v>2</v>
          </cell>
          <cell r="K1104">
            <v>1</v>
          </cell>
          <cell r="L1104">
            <v>6</v>
          </cell>
          <cell r="M1104">
            <v>-2</v>
          </cell>
          <cell r="N1104">
            <v>0</v>
          </cell>
          <cell r="O1104">
            <v>0</v>
          </cell>
          <cell r="P1104">
            <v>0</v>
          </cell>
          <cell r="Q1104">
            <v>3</v>
          </cell>
        </row>
        <row r="1105">
          <cell r="B1105">
            <v>2014</v>
          </cell>
          <cell r="C1105">
            <v>85</v>
          </cell>
          <cell r="D1105" t="str">
            <v>Christian Ponder</v>
          </cell>
          <cell r="F1105">
            <v>22</v>
          </cell>
          <cell r="G1105">
            <v>44</v>
          </cell>
          <cell r="H1105">
            <v>50</v>
          </cell>
          <cell r="I1105">
            <v>0</v>
          </cell>
          <cell r="J1105">
            <v>2</v>
          </cell>
          <cell r="K1105">
            <v>6</v>
          </cell>
          <cell r="L1105">
            <v>4</v>
          </cell>
          <cell r="M1105">
            <v>16</v>
          </cell>
          <cell r="N1105">
            <v>1</v>
          </cell>
          <cell r="O1105">
            <v>0</v>
          </cell>
          <cell r="P1105">
            <v>0</v>
          </cell>
          <cell r="Q1105">
            <v>2</v>
          </cell>
        </row>
        <row r="1106">
          <cell r="B1106">
            <v>2014</v>
          </cell>
          <cell r="C1106">
            <v>86</v>
          </cell>
          <cell r="D1106" t="str">
            <v>Colin Kaepernick</v>
          </cell>
          <cell r="F1106">
            <v>289</v>
          </cell>
          <cell r="G1106">
            <v>478</v>
          </cell>
          <cell r="H1106">
            <v>60.5</v>
          </cell>
          <cell r="I1106">
            <v>19</v>
          </cell>
          <cell r="J1106">
            <v>10</v>
          </cell>
          <cell r="K1106">
            <v>52</v>
          </cell>
          <cell r="L1106">
            <v>104</v>
          </cell>
          <cell r="M1106">
            <v>639</v>
          </cell>
          <cell r="N1106">
            <v>1</v>
          </cell>
          <cell r="O1106">
            <v>5</v>
          </cell>
          <cell r="P1106">
            <v>0</v>
          </cell>
          <cell r="Q1106">
            <v>16</v>
          </cell>
        </row>
        <row r="1107">
          <cell r="B1107">
            <v>2014</v>
          </cell>
          <cell r="C1107">
            <v>87</v>
          </cell>
          <cell r="D1107" t="str">
            <v>T.J. Yates</v>
          </cell>
          <cell r="F1107">
            <v>3</v>
          </cell>
          <cell r="G1107">
            <v>4</v>
          </cell>
          <cell r="H1107">
            <v>75</v>
          </cell>
          <cell r="I1107">
            <v>0</v>
          </cell>
          <cell r="J1107">
            <v>1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1</v>
          </cell>
        </row>
        <row r="1108">
          <cell r="B1108">
            <v>2014</v>
          </cell>
          <cell r="C1108">
            <v>88</v>
          </cell>
          <cell r="D1108" t="str">
            <v>Jordan Palmer</v>
          </cell>
          <cell r="F1108">
            <v>1</v>
          </cell>
          <cell r="G1108">
            <v>3</v>
          </cell>
          <cell r="H1108">
            <v>33.299999999999997</v>
          </cell>
          <cell r="I1108">
            <v>0</v>
          </cell>
          <cell r="J1108">
            <v>0</v>
          </cell>
          <cell r="K1108">
            <v>0</v>
          </cell>
          <cell r="L1108">
            <v>1</v>
          </cell>
          <cell r="M1108">
            <v>-1</v>
          </cell>
          <cell r="N1108">
            <v>0</v>
          </cell>
          <cell r="O1108">
            <v>0</v>
          </cell>
          <cell r="P1108">
            <v>0</v>
          </cell>
          <cell r="Q1108">
            <v>1</v>
          </cell>
        </row>
        <row r="1109">
          <cell r="B1109">
            <v>2014</v>
          </cell>
          <cell r="C1109">
            <v>89</v>
          </cell>
          <cell r="D1109" t="str">
            <v>John David Booty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</row>
        <row r="1110">
          <cell r="B1110">
            <v>2014</v>
          </cell>
          <cell r="C1110">
            <v>90</v>
          </cell>
          <cell r="D1110" t="str">
            <v>Erik Ainge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</row>
        <row r="1111">
          <cell r="B1111">
            <v>2014</v>
          </cell>
          <cell r="C1111">
            <v>91</v>
          </cell>
          <cell r="D1111" t="str">
            <v>Hunter Cantwell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</row>
        <row r="1112">
          <cell r="B1112">
            <v>2014</v>
          </cell>
          <cell r="C1112">
            <v>92</v>
          </cell>
          <cell r="D1112" t="str">
            <v>Ben Chappell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</row>
        <row r="1113">
          <cell r="B1113">
            <v>2014</v>
          </cell>
          <cell r="C1113">
            <v>93</v>
          </cell>
          <cell r="D1113" t="str">
            <v>Adam Froman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</row>
        <row r="1114">
          <cell r="B1114">
            <v>2014</v>
          </cell>
          <cell r="C1114">
            <v>94</v>
          </cell>
          <cell r="D1114" t="str">
            <v>Austin Davis</v>
          </cell>
          <cell r="F1114">
            <v>180</v>
          </cell>
          <cell r="G1114">
            <v>284</v>
          </cell>
          <cell r="H1114">
            <v>63.4</v>
          </cell>
          <cell r="I1114">
            <v>12</v>
          </cell>
          <cell r="J1114">
            <v>9</v>
          </cell>
          <cell r="K1114">
            <v>29</v>
          </cell>
          <cell r="L1114">
            <v>16</v>
          </cell>
          <cell r="M1114">
            <v>36</v>
          </cell>
          <cell r="N1114">
            <v>0</v>
          </cell>
          <cell r="O1114">
            <v>3</v>
          </cell>
          <cell r="P1114">
            <v>0</v>
          </cell>
          <cell r="Q1114">
            <v>10</v>
          </cell>
        </row>
        <row r="1115">
          <cell r="B1115">
            <v>2014</v>
          </cell>
          <cell r="C1115">
            <v>95</v>
          </cell>
          <cell r="D1115" t="str">
            <v>Andrew Luck</v>
          </cell>
          <cell r="F1115">
            <v>380</v>
          </cell>
          <cell r="G1115">
            <v>616</v>
          </cell>
          <cell r="H1115">
            <v>61.7</v>
          </cell>
          <cell r="I1115">
            <v>40</v>
          </cell>
          <cell r="J1115">
            <v>16</v>
          </cell>
          <cell r="K1115">
            <v>27</v>
          </cell>
          <cell r="L1115">
            <v>64</v>
          </cell>
          <cell r="M1115">
            <v>273</v>
          </cell>
          <cell r="N1115">
            <v>3</v>
          </cell>
          <cell r="O1115">
            <v>6</v>
          </cell>
          <cell r="P1115">
            <v>0</v>
          </cell>
          <cell r="Q1115">
            <v>16</v>
          </cell>
        </row>
        <row r="1116">
          <cell r="B1116">
            <v>2014</v>
          </cell>
          <cell r="C1116">
            <v>96</v>
          </cell>
          <cell r="D1116" t="str">
            <v>Brandon Weeden</v>
          </cell>
          <cell r="F1116">
            <v>24</v>
          </cell>
          <cell r="G1116">
            <v>41</v>
          </cell>
          <cell r="H1116">
            <v>58.5</v>
          </cell>
          <cell r="I1116">
            <v>3</v>
          </cell>
          <cell r="J1116">
            <v>2</v>
          </cell>
          <cell r="K1116">
            <v>1</v>
          </cell>
          <cell r="L1116">
            <v>6</v>
          </cell>
          <cell r="M1116">
            <v>-1</v>
          </cell>
          <cell r="N1116">
            <v>0</v>
          </cell>
          <cell r="O1116">
            <v>0</v>
          </cell>
          <cell r="P1116">
            <v>0</v>
          </cell>
          <cell r="Q1116">
            <v>5</v>
          </cell>
        </row>
        <row r="1117">
          <cell r="B1117">
            <v>2014</v>
          </cell>
          <cell r="C1117">
            <v>97</v>
          </cell>
          <cell r="D1117" t="str">
            <v>Brock Osweiler</v>
          </cell>
          <cell r="F1117">
            <v>4</v>
          </cell>
          <cell r="G1117">
            <v>10</v>
          </cell>
          <cell r="H1117">
            <v>40</v>
          </cell>
          <cell r="I1117">
            <v>1</v>
          </cell>
          <cell r="J1117">
            <v>0</v>
          </cell>
          <cell r="K1117">
            <v>0</v>
          </cell>
          <cell r="L1117">
            <v>8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4</v>
          </cell>
        </row>
        <row r="1118">
          <cell r="B1118">
            <v>2014</v>
          </cell>
          <cell r="C1118">
            <v>98</v>
          </cell>
          <cell r="D1118" t="str">
            <v>Ryan Lindley</v>
          </cell>
          <cell r="F1118">
            <v>45</v>
          </cell>
          <cell r="G1118">
            <v>93</v>
          </cell>
          <cell r="H1118">
            <v>48.4</v>
          </cell>
          <cell r="I1118">
            <v>2</v>
          </cell>
          <cell r="J1118">
            <v>4</v>
          </cell>
          <cell r="K1118">
            <v>6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3</v>
          </cell>
        </row>
        <row r="1119">
          <cell r="B1119">
            <v>2014</v>
          </cell>
          <cell r="C1119">
            <v>99</v>
          </cell>
          <cell r="D1119" t="str">
            <v>Derek Anderson</v>
          </cell>
          <cell r="F1119">
            <v>65</v>
          </cell>
          <cell r="G1119">
            <v>97</v>
          </cell>
          <cell r="H1119">
            <v>67</v>
          </cell>
          <cell r="I1119">
            <v>5</v>
          </cell>
          <cell r="J1119">
            <v>0</v>
          </cell>
          <cell r="K1119">
            <v>4</v>
          </cell>
          <cell r="L1119">
            <v>8</v>
          </cell>
          <cell r="M1119">
            <v>24</v>
          </cell>
          <cell r="N1119">
            <v>0</v>
          </cell>
          <cell r="O1119">
            <v>0</v>
          </cell>
          <cell r="P1119">
            <v>0</v>
          </cell>
          <cell r="Q1119">
            <v>6</v>
          </cell>
        </row>
        <row r="1120">
          <cell r="B1120">
            <v>2014</v>
          </cell>
          <cell r="C1120">
            <v>100</v>
          </cell>
          <cell r="D1120" t="str">
            <v>Eli Manning</v>
          </cell>
          <cell r="F1120">
            <v>379</v>
          </cell>
          <cell r="G1120">
            <v>601</v>
          </cell>
          <cell r="H1120">
            <v>63.1</v>
          </cell>
          <cell r="I1120">
            <v>30</v>
          </cell>
          <cell r="J1120">
            <v>14</v>
          </cell>
          <cell r="K1120">
            <v>28</v>
          </cell>
          <cell r="L1120">
            <v>12</v>
          </cell>
          <cell r="M1120">
            <v>31</v>
          </cell>
          <cell r="N1120">
            <v>1</v>
          </cell>
          <cell r="O1120">
            <v>4</v>
          </cell>
          <cell r="P1120">
            <v>0</v>
          </cell>
          <cell r="Q1120">
            <v>16</v>
          </cell>
        </row>
        <row r="1121">
          <cell r="B1121">
            <v>2014</v>
          </cell>
          <cell r="C1121">
            <v>101</v>
          </cell>
          <cell r="D1121" t="str">
            <v>Jason Campbell</v>
          </cell>
          <cell r="F1121">
            <v>11</v>
          </cell>
          <cell r="G1121">
            <v>19</v>
          </cell>
          <cell r="H1121">
            <v>57.9</v>
          </cell>
          <cell r="I1121">
            <v>0</v>
          </cell>
          <cell r="J1121">
            <v>0</v>
          </cell>
          <cell r="K1121">
            <v>1</v>
          </cell>
          <cell r="L1121">
            <v>1</v>
          </cell>
          <cell r="M1121">
            <v>1</v>
          </cell>
          <cell r="N1121">
            <v>0</v>
          </cell>
          <cell r="O1121">
            <v>1</v>
          </cell>
          <cell r="P1121">
            <v>0</v>
          </cell>
          <cell r="Q1121">
            <v>4</v>
          </cell>
        </row>
        <row r="1122">
          <cell r="B1122">
            <v>2014</v>
          </cell>
          <cell r="C1122">
            <v>102</v>
          </cell>
          <cell r="D1122" t="str">
            <v>Jay Cutler</v>
          </cell>
          <cell r="F1122">
            <v>370</v>
          </cell>
          <cell r="G1122">
            <v>561</v>
          </cell>
          <cell r="H1122">
            <v>66</v>
          </cell>
          <cell r="I1122">
            <v>28</v>
          </cell>
          <cell r="J1122">
            <v>18</v>
          </cell>
          <cell r="K1122">
            <v>38</v>
          </cell>
          <cell r="L1122">
            <v>39</v>
          </cell>
          <cell r="M1122">
            <v>191</v>
          </cell>
          <cell r="N1122">
            <v>2</v>
          </cell>
          <cell r="O1122">
            <v>6</v>
          </cell>
          <cell r="P1122">
            <v>0</v>
          </cell>
          <cell r="Q1122">
            <v>15</v>
          </cell>
        </row>
        <row r="1123">
          <cell r="B1123">
            <v>2014</v>
          </cell>
          <cell r="C1123">
            <v>103</v>
          </cell>
          <cell r="D1123" t="str">
            <v>Keith Null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</row>
        <row r="1124">
          <cell r="B1124">
            <v>2014</v>
          </cell>
          <cell r="C1124">
            <v>104</v>
          </cell>
          <cell r="D1124" t="str">
            <v>Brett Ratliff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</row>
        <row r="1125">
          <cell r="B1125">
            <v>2014</v>
          </cell>
          <cell r="C1125">
            <v>105</v>
          </cell>
          <cell r="D1125" t="str">
            <v>Brian Brohm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</row>
        <row r="1126">
          <cell r="B1126">
            <v>2014</v>
          </cell>
          <cell r="C1126">
            <v>106</v>
          </cell>
          <cell r="D1126" t="str">
            <v>Bruce Gradkowski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</v>
          </cell>
          <cell r="M1126">
            <v>-2</v>
          </cell>
          <cell r="N1126">
            <v>0</v>
          </cell>
          <cell r="O1126">
            <v>0</v>
          </cell>
          <cell r="P1126">
            <v>0</v>
          </cell>
          <cell r="Q1126">
            <v>1</v>
          </cell>
        </row>
        <row r="1127">
          <cell r="B1127">
            <v>2014</v>
          </cell>
          <cell r="C1127">
            <v>107</v>
          </cell>
          <cell r="D1127" t="str">
            <v>Carson Palmer</v>
          </cell>
          <cell r="F1127">
            <v>141</v>
          </cell>
          <cell r="G1127">
            <v>224</v>
          </cell>
          <cell r="H1127">
            <v>62.9</v>
          </cell>
          <cell r="I1127">
            <v>11</v>
          </cell>
          <cell r="J1127">
            <v>3</v>
          </cell>
          <cell r="K1127">
            <v>9</v>
          </cell>
          <cell r="L1127">
            <v>8</v>
          </cell>
          <cell r="M1127">
            <v>25</v>
          </cell>
          <cell r="N1127">
            <v>0</v>
          </cell>
          <cell r="O1127">
            <v>1</v>
          </cell>
          <cell r="P1127">
            <v>0</v>
          </cell>
          <cell r="Q1127">
            <v>6</v>
          </cell>
        </row>
        <row r="1128">
          <cell r="B1128">
            <v>2014</v>
          </cell>
          <cell r="C1128">
            <v>108</v>
          </cell>
          <cell r="D1128" t="str">
            <v>Josh Johnson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</row>
        <row r="1129">
          <cell r="B1129">
            <v>2014</v>
          </cell>
          <cell r="C1129">
            <v>109</v>
          </cell>
          <cell r="D1129" t="str">
            <v>Kellen Clemens</v>
          </cell>
          <cell r="F1129">
            <v>1</v>
          </cell>
          <cell r="G1129">
            <v>3</v>
          </cell>
          <cell r="H1129">
            <v>33.299999999999997</v>
          </cell>
          <cell r="I1129">
            <v>0</v>
          </cell>
          <cell r="J1129">
            <v>0</v>
          </cell>
          <cell r="K1129">
            <v>1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2</v>
          </cell>
        </row>
        <row r="1130">
          <cell r="B1130">
            <v>2014</v>
          </cell>
          <cell r="C1130">
            <v>110</v>
          </cell>
          <cell r="D1130" t="str">
            <v>Shaun Hill</v>
          </cell>
          <cell r="F1130">
            <v>145</v>
          </cell>
          <cell r="G1130">
            <v>229</v>
          </cell>
          <cell r="H1130">
            <v>63.3</v>
          </cell>
          <cell r="I1130">
            <v>8</v>
          </cell>
          <cell r="J1130">
            <v>7</v>
          </cell>
          <cell r="K1130">
            <v>18</v>
          </cell>
          <cell r="L1130">
            <v>10</v>
          </cell>
          <cell r="M1130">
            <v>10</v>
          </cell>
          <cell r="N1130">
            <v>1</v>
          </cell>
          <cell r="O1130">
            <v>1</v>
          </cell>
          <cell r="P1130">
            <v>0</v>
          </cell>
          <cell r="Q1130">
            <v>9</v>
          </cell>
        </row>
        <row r="1131">
          <cell r="B1131">
            <v>2014</v>
          </cell>
          <cell r="C1131">
            <v>111</v>
          </cell>
          <cell r="D1131" t="str">
            <v>Tarvaris Jackson</v>
          </cell>
          <cell r="F1131">
            <v>1</v>
          </cell>
          <cell r="G1131">
            <v>1</v>
          </cell>
          <cell r="H1131">
            <v>100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1</v>
          </cell>
        </row>
        <row r="1132">
          <cell r="B1132">
            <v>2014</v>
          </cell>
          <cell r="C1132">
            <v>112</v>
          </cell>
          <cell r="D1132" t="str">
            <v>Tony Romo</v>
          </cell>
          <cell r="F1132">
            <v>304</v>
          </cell>
          <cell r="G1132">
            <v>435</v>
          </cell>
          <cell r="H1132">
            <v>69.900000000000006</v>
          </cell>
          <cell r="I1132">
            <v>34</v>
          </cell>
          <cell r="J1132">
            <v>9</v>
          </cell>
          <cell r="K1132">
            <v>29</v>
          </cell>
          <cell r="L1132">
            <v>26</v>
          </cell>
          <cell r="M1132">
            <v>61</v>
          </cell>
          <cell r="N1132">
            <v>0</v>
          </cell>
          <cell r="O1132">
            <v>3</v>
          </cell>
          <cell r="P1132">
            <v>0</v>
          </cell>
          <cell r="Q1132">
            <v>15</v>
          </cell>
        </row>
        <row r="1133">
          <cell r="B1133">
            <v>2014</v>
          </cell>
          <cell r="C1133">
            <v>113</v>
          </cell>
          <cell r="D1133" t="str">
            <v>Philip Rivers</v>
          </cell>
          <cell r="F1133">
            <v>379</v>
          </cell>
          <cell r="G1133">
            <v>570</v>
          </cell>
          <cell r="H1133">
            <v>66.5</v>
          </cell>
          <cell r="I1133">
            <v>31</v>
          </cell>
          <cell r="J1133">
            <v>18</v>
          </cell>
          <cell r="K1133">
            <v>36</v>
          </cell>
          <cell r="L1133">
            <v>37</v>
          </cell>
          <cell r="M1133">
            <v>102</v>
          </cell>
          <cell r="N1133">
            <v>0</v>
          </cell>
          <cell r="O1133">
            <v>2</v>
          </cell>
          <cell r="P1133">
            <v>0</v>
          </cell>
          <cell r="Q1133">
            <v>16</v>
          </cell>
        </row>
        <row r="1134">
          <cell r="B1134">
            <v>2014</v>
          </cell>
          <cell r="C1134">
            <v>114</v>
          </cell>
          <cell r="D1134" t="str">
            <v>Jimmy Clausen</v>
          </cell>
          <cell r="F1134">
            <v>26</v>
          </cell>
          <cell r="G1134">
            <v>48</v>
          </cell>
          <cell r="H1134">
            <v>54.2</v>
          </cell>
          <cell r="I1134">
            <v>2</v>
          </cell>
          <cell r="J1134">
            <v>1</v>
          </cell>
          <cell r="K1134">
            <v>3</v>
          </cell>
          <cell r="L1134">
            <v>3</v>
          </cell>
          <cell r="M1134">
            <v>9</v>
          </cell>
          <cell r="N1134">
            <v>0</v>
          </cell>
          <cell r="O1134">
            <v>0</v>
          </cell>
          <cell r="P1134">
            <v>0</v>
          </cell>
          <cell r="Q1134">
            <v>4</v>
          </cell>
        </row>
        <row r="1135">
          <cell r="B1135">
            <v>2014</v>
          </cell>
          <cell r="C1135">
            <v>115</v>
          </cell>
          <cell r="D1135" t="str">
            <v>Charlie Whitehurst</v>
          </cell>
          <cell r="F1135">
            <v>105</v>
          </cell>
          <cell r="G1135">
            <v>185</v>
          </cell>
          <cell r="H1135">
            <v>56.8</v>
          </cell>
          <cell r="I1135">
            <v>7</v>
          </cell>
          <cell r="J1135">
            <v>2</v>
          </cell>
          <cell r="K1135">
            <v>18</v>
          </cell>
          <cell r="L1135">
            <v>20</v>
          </cell>
          <cell r="M1135">
            <v>90</v>
          </cell>
          <cell r="N1135">
            <v>0</v>
          </cell>
          <cell r="O1135">
            <v>0</v>
          </cell>
          <cell r="P1135">
            <v>0</v>
          </cell>
          <cell r="Q1135">
            <v>7</v>
          </cell>
        </row>
        <row r="1136">
          <cell r="B1136">
            <v>2014</v>
          </cell>
          <cell r="C1136">
            <v>116</v>
          </cell>
          <cell r="D1136" t="str">
            <v>Peyton Manning</v>
          </cell>
          <cell r="F1136">
            <v>395</v>
          </cell>
          <cell r="G1136">
            <v>597</v>
          </cell>
          <cell r="H1136">
            <v>66.2</v>
          </cell>
          <cell r="I1136">
            <v>39</v>
          </cell>
          <cell r="J1136">
            <v>15</v>
          </cell>
          <cell r="K1136">
            <v>17</v>
          </cell>
          <cell r="L1136">
            <v>24</v>
          </cell>
          <cell r="M1136">
            <v>-24</v>
          </cell>
          <cell r="N1136">
            <v>0</v>
          </cell>
          <cell r="O1136">
            <v>2</v>
          </cell>
          <cell r="P1136">
            <v>0</v>
          </cell>
          <cell r="Q1136">
            <v>16</v>
          </cell>
        </row>
        <row r="1137">
          <cell r="B1137">
            <v>2014</v>
          </cell>
          <cell r="C1137">
            <v>117</v>
          </cell>
          <cell r="D1137" t="str">
            <v>Kyle Orton</v>
          </cell>
          <cell r="F1137">
            <v>287</v>
          </cell>
          <cell r="G1137">
            <v>447</v>
          </cell>
          <cell r="H1137">
            <v>64.2</v>
          </cell>
          <cell r="I1137">
            <v>18</v>
          </cell>
          <cell r="J1137">
            <v>10</v>
          </cell>
          <cell r="K1137">
            <v>33</v>
          </cell>
          <cell r="L1137">
            <v>15</v>
          </cell>
          <cell r="M1137">
            <v>14</v>
          </cell>
          <cell r="N1137">
            <v>1</v>
          </cell>
          <cell r="O1137">
            <v>3</v>
          </cell>
          <cell r="P1137">
            <v>0</v>
          </cell>
          <cell r="Q1137">
            <v>12</v>
          </cell>
        </row>
        <row r="1138">
          <cell r="B1138">
            <v>2014</v>
          </cell>
          <cell r="C1138">
            <v>118</v>
          </cell>
          <cell r="D1138" t="str">
            <v>Luke McCown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16</v>
          </cell>
        </row>
        <row r="1139">
          <cell r="B1139">
            <v>2014</v>
          </cell>
          <cell r="C1139">
            <v>119</v>
          </cell>
          <cell r="D1139" t="str">
            <v>Mark Sanchez</v>
          </cell>
          <cell r="F1139">
            <v>198</v>
          </cell>
          <cell r="G1139">
            <v>309</v>
          </cell>
          <cell r="H1139">
            <v>64.099999999999994</v>
          </cell>
          <cell r="I1139">
            <v>14</v>
          </cell>
          <cell r="J1139">
            <v>11</v>
          </cell>
          <cell r="K1139">
            <v>23</v>
          </cell>
          <cell r="L1139">
            <v>34</v>
          </cell>
          <cell r="M1139">
            <v>87</v>
          </cell>
          <cell r="N1139">
            <v>1</v>
          </cell>
          <cell r="O1139">
            <v>3</v>
          </cell>
          <cell r="P1139">
            <v>0</v>
          </cell>
          <cell r="Q1139">
            <v>9</v>
          </cell>
        </row>
        <row r="1140">
          <cell r="B1140">
            <v>2014</v>
          </cell>
          <cell r="C1140">
            <v>120</v>
          </cell>
          <cell r="D1140" t="str">
            <v>Matt Cassel</v>
          </cell>
          <cell r="F1140">
            <v>41</v>
          </cell>
          <cell r="G1140">
            <v>71</v>
          </cell>
          <cell r="H1140">
            <v>57.7</v>
          </cell>
          <cell r="I1140">
            <v>3</v>
          </cell>
          <cell r="J1140">
            <v>4</v>
          </cell>
          <cell r="K1140">
            <v>6</v>
          </cell>
          <cell r="L1140">
            <v>9</v>
          </cell>
          <cell r="M1140">
            <v>18</v>
          </cell>
          <cell r="N1140">
            <v>0</v>
          </cell>
          <cell r="O1140">
            <v>0</v>
          </cell>
          <cell r="P1140">
            <v>0</v>
          </cell>
          <cell r="Q1140">
            <v>3</v>
          </cell>
        </row>
        <row r="1141">
          <cell r="B1141">
            <v>2014</v>
          </cell>
          <cell r="C1141">
            <v>121</v>
          </cell>
          <cell r="D1141" t="str">
            <v>Matt Flynn</v>
          </cell>
          <cell r="F1141">
            <v>8</v>
          </cell>
          <cell r="G1141">
            <v>16</v>
          </cell>
          <cell r="H1141">
            <v>50</v>
          </cell>
          <cell r="I1141">
            <v>0</v>
          </cell>
          <cell r="J1141">
            <v>1</v>
          </cell>
          <cell r="K1141">
            <v>2</v>
          </cell>
          <cell r="L1141">
            <v>10</v>
          </cell>
          <cell r="M1141">
            <v>-10</v>
          </cell>
          <cell r="N1141">
            <v>0</v>
          </cell>
          <cell r="O1141">
            <v>1</v>
          </cell>
          <cell r="P1141">
            <v>0</v>
          </cell>
          <cell r="Q1141">
            <v>7</v>
          </cell>
        </row>
        <row r="1142">
          <cell r="B1142">
            <v>2014</v>
          </cell>
          <cell r="C1142">
            <v>122</v>
          </cell>
          <cell r="D1142" t="str">
            <v>Matt Hasselbeck</v>
          </cell>
          <cell r="F1142">
            <v>30</v>
          </cell>
          <cell r="G1142">
            <v>44</v>
          </cell>
          <cell r="H1142">
            <v>68.2</v>
          </cell>
          <cell r="I1142">
            <v>2</v>
          </cell>
          <cell r="J1142">
            <v>0</v>
          </cell>
          <cell r="K1142">
            <v>2</v>
          </cell>
          <cell r="L1142">
            <v>8</v>
          </cell>
          <cell r="M1142">
            <v>-11</v>
          </cell>
          <cell r="N1142">
            <v>0</v>
          </cell>
          <cell r="O1142">
            <v>1</v>
          </cell>
          <cell r="P1142">
            <v>0</v>
          </cell>
          <cell r="Q1142">
            <v>4</v>
          </cell>
        </row>
        <row r="1143">
          <cell r="B1143">
            <v>2014</v>
          </cell>
          <cell r="C1143">
            <v>123</v>
          </cell>
          <cell r="D1143" t="str">
            <v>Matt Schaub</v>
          </cell>
          <cell r="F1143">
            <v>5</v>
          </cell>
          <cell r="G1143">
            <v>10</v>
          </cell>
          <cell r="H1143">
            <v>50</v>
          </cell>
          <cell r="I1143">
            <v>0</v>
          </cell>
          <cell r="J1143">
            <v>2</v>
          </cell>
          <cell r="K1143">
            <v>3</v>
          </cell>
          <cell r="L1143">
            <v>0</v>
          </cell>
          <cell r="M1143">
            <v>0</v>
          </cell>
          <cell r="N1143">
            <v>0</v>
          </cell>
          <cell r="O1143">
            <v>1</v>
          </cell>
          <cell r="P1143">
            <v>0</v>
          </cell>
          <cell r="Q1143">
            <v>11</v>
          </cell>
        </row>
        <row r="1144">
          <cell r="B1144">
            <v>2014</v>
          </cell>
          <cell r="C1144">
            <v>124</v>
          </cell>
          <cell r="D1144" t="str">
            <v>Michael Vick</v>
          </cell>
          <cell r="F1144">
            <v>64</v>
          </cell>
          <cell r="G1144">
            <v>121</v>
          </cell>
          <cell r="H1144">
            <v>52.9</v>
          </cell>
          <cell r="I1144">
            <v>3</v>
          </cell>
          <cell r="J1144">
            <v>2</v>
          </cell>
          <cell r="K1144">
            <v>19</v>
          </cell>
          <cell r="L1144">
            <v>26</v>
          </cell>
          <cell r="M1144">
            <v>153</v>
          </cell>
          <cell r="N1144">
            <v>0</v>
          </cell>
          <cell r="O1144">
            <v>2</v>
          </cell>
          <cell r="P1144">
            <v>0</v>
          </cell>
          <cell r="Q1144">
            <v>10</v>
          </cell>
        </row>
        <row r="1145">
          <cell r="B1145">
            <v>2014</v>
          </cell>
          <cell r="C1145">
            <v>125</v>
          </cell>
          <cell r="D1145" t="str">
            <v>Mitchell Trubisky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</row>
        <row r="1146">
          <cell r="B1146">
            <v>2014</v>
          </cell>
          <cell r="C1146">
            <v>126</v>
          </cell>
          <cell r="D1146" t="str">
            <v>Deshaun Watson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</row>
        <row r="1147">
          <cell r="B1147">
            <v>2014</v>
          </cell>
          <cell r="C1147">
            <v>127</v>
          </cell>
          <cell r="D1147" t="str">
            <v>Patrick Mahomes II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</row>
        <row r="1148">
          <cell r="B1148">
            <v>2014</v>
          </cell>
          <cell r="C1148">
            <v>128</v>
          </cell>
          <cell r="D1148" t="str">
            <v>Carson Wentz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</row>
        <row r="1149">
          <cell r="B1149">
            <v>2014</v>
          </cell>
          <cell r="C1149">
            <v>129</v>
          </cell>
          <cell r="D1149" t="str">
            <v>Dak Prescott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</row>
        <row r="1150">
          <cell r="B1150">
            <v>2014</v>
          </cell>
          <cell r="C1150">
            <v>130</v>
          </cell>
          <cell r="D1150" t="str">
            <v>Jeff Driskel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</row>
        <row r="1151">
          <cell r="B1151">
            <v>2014</v>
          </cell>
          <cell r="C1151">
            <v>131</v>
          </cell>
          <cell r="D1151" t="str">
            <v>Jacoby Brissett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</row>
        <row r="1152">
          <cell r="B1152">
            <v>2014</v>
          </cell>
          <cell r="C1152">
            <v>132</v>
          </cell>
          <cell r="D1152" t="str">
            <v>Nate Sudfeld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</row>
        <row r="1153">
          <cell r="B1153">
            <v>2014</v>
          </cell>
          <cell r="C1153">
            <v>133</v>
          </cell>
          <cell r="D1153" t="str">
            <v>Brandon Allen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</row>
        <row r="1154">
          <cell r="B1154">
            <v>2014</v>
          </cell>
          <cell r="C1154">
            <v>134</v>
          </cell>
          <cell r="D1154" t="str">
            <v>Kevin Hogan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</row>
        <row r="1155">
          <cell r="B1155">
            <v>2014</v>
          </cell>
          <cell r="C1155">
            <v>135</v>
          </cell>
          <cell r="D1155" t="str">
            <v>Logan Woodside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</row>
        <row r="1156">
          <cell r="B1156">
            <v>2014</v>
          </cell>
          <cell r="C1156">
            <v>136</v>
          </cell>
          <cell r="D1156" t="str">
            <v>Mason Rudolph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</row>
        <row r="1157">
          <cell r="B1157">
            <v>2014</v>
          </cell>
          <cell r="C1157">
            <v>137</v>
          </cell>
          <cell r="D1157" t="str">
            <v>Josh Rosen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</row>
        <row r="1158">
          <cell r="B1158">
            <v>2014</v>
          </cell>
          <cell r="C1158">
            <v>138</v>
          </cell>
          <cell r="D1158" t="str">
            <v>Sam Darnold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</row>
        <row r="1159">
          <cell r="B1159">
            <v>2014</v>
          </cell>
          <cell r="C1159">
            <v>139</v>
          </cell>
          <cell r="D1159" t="str">
            <v>Baker Mayfield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</row>
        <row r="1160">
          <cell r="B1160">
            <v>2014</v>
          </cell>
          <cell r="C1160">
            <v>140</v>
          </cell>
          <cell r="D1160" t="str">
            <v>Josh Allen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</row>
        <row r="1161">
          <cell r="B1161">
            <v>2014</v>
          </cell>
          <cell r="C1161">
            <v>141</v>
          </cell>
          <cell r="D1161" t="str">
            <v>Mike White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</row>
        <row r="1162">
          <cell r="B1162">
            <v>2014</v>
          </cell>
          <cell r="C1162">
            <v>142</v>
          </cell>
          <cell r="D1162" t="str">
            <v>Taysom Hill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</row>
        <row r="1163">
          <cell r="B1163">
            <v>2014</v>
          </cell>
          <cell r="C1163">
            <v>143</v>
          </cell>
          <cell r="D1163" t="str">
            <v>Joshua Dobbs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</row>
        <row r="1164">
          <cell r="B1164">
            <v>2014</v>
          </cell>
          <cell r="C1164">
            <v>144</v>
          </cell>
          <cell r="D1164" t="str">
            <v>Davis Webb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</row>
        <row r="1165">
          <cell r="B1165">
            <v>2014</v>
          </cell>
          <cell r="C1165">
            <v>145</v>
          </cell>
          <cell r="D1165" t="str">
            <v>C.J. Beathard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</row>
        <row r="1166">
          <cell r="B1166">
            <v>2014</v>
          </cell>
          <cell r="C1166">
            <v>146</v>
          </cell>
          <cell r="D1166" t="str">
            <v>Cooper Rush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</row>
        <row r="1167">
          <cell r="B1167">
            <v>2014</v>
          </cell>
          <cell r="C1167">
            <v>147</v>
          </cell>
          <cell r="D1167" t="str">
            <v>Nick Mullens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</row>
        <row r="1168">
          <cell r="B1168">
            <v>2014</v>
          </cell>
          <cell r="C1168">
            <v>148</v>
          </cell>
          <cell r="D1168" t="str">
            <v>P.J. Walker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</row>
        <row r="1169">
          <cell r="B1169">
            <v>2014</v>
          </cell>
          <cell r="C1169">
            <v>149</v>
          </cell>
          <cell r="D1169" t="str">
            <v>Jared Goff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</row>
        <row r="1170">
          <cell r="B1170">
            <v>2014</v>
          </cell>
          <cell r="C1170">
            <v>150</v>
          </cell>
          <cell r="D1170" t="str">
            <v>Ryan Nassib</v>
          </cell>
          <cell r="F1170">
            <v>4</v>
          </cell>
          <cell r="G1170">
            <v>5</v>
          </cell>
          <cell r="H1170">
            <v>80</v>
          </cell>
          <cell r="I1170">
            <v>0</v>
          </cell>
          <cell r="J1170">
            <v>0</v>
          </cell>
          <cell r="K1170">
            <v>2</v>
          </cell>
          <cell r="L1170">
            <v>2</v>
          </cell>
          <cell r="M1170">
            <v>-3</v>
          </cell>
          <cell r="N1170">
            <v>0</v>
          </cell>
          <cell r="O1170">
            <v>0</v>
          </cell>
          <cell r="P1170">
            <v>0</v>
          </cell>
          <cell r="Q1170">
            <v>4</v>
          </cell>
        </row>
        <row r="1171">
          <cell r="B1171">
            <v>2014</v>
          </cell>
          <cell r="C1171">
            <v>151</v>
          </cell>
          <cell r="D1171" t="str">
            <v>Garrett Gilbert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</row>
        <row r="1172">
          <cell r="B1172">
            <v>2014</v>
          </cell>
          <cell r="C1172">
            <v>152</v>
          </cell>
          <cell r="D1172" t="str">
            <v>Connor Shaw</v>
          </cell>
          <cell r="F1172">
            <v>14</v>
          </cell>
          <cell r="G1172">
            <v>28</v>
          </cell>
          <cell r="H1172">
            <v>50</v>
          </cell>
          <cell r="I1172">
            <v>0</v>
          </cell>
          <cell r="J1172">
            <v>1</v>
          </cell>
          <cell r="K1172">
            <v>4</v>
          </cell>
          <cell r="L1172">
            <v>7</v>
          </cell>
          <cell r="M1172">
            <v>9</v>
          </cell>
          <cell r="N1172">
            <v>0</v>
          </cell>
          <cell r="O1172">
            <v>1</v>
          </cell>
          <cell r="P1172">
            <v>0</v>
          </cell>
          <cell r="Q1172">
            <v>1</v>
          </cell>
        </row>
        <row r="1173">
          <cell r="B1173">
            <v>2014</v>
          </cell>
          <cell r="C1173">
            <v>153</v>
          </cell>
          <cell r="D1173" t="str">
            <v>Matt Simms</v>
          </cell>
          <cell r="F1173">
            <v>3</v>
          </cell>
          <cell r="G1173">
            <v>8</v>
          </cell>
          <cell r="H1173">
            <v>37.5</v>
          </cell>
          <cell r="I1173">
            <v>0</v>
          </cell>
          <cell r="J1173">
            <v>0</v>
          </cell>
          <cell r="K1173">
            <v>0</v>
          </cell>
          <cell r="L1173">
            <v>1</v>
          </cell>
          <cell r="M1173">
            <v>2</v>
          </cell>
          <cell r="N1173">
            <v>0</v>
          </cell>
          <cell r="O1173">
            <v>0</v>
          </cell>
          <cell r="P1173">
            <v>0</v>
          </cell>
          <cell r="Q1173">
            <v>1</v>
          </cell>
        </row>
        <row r="1174">
          <cell r="B1174">
            <v>2014</v>
          </cell>
          <cell r="C1174">
            <v>154</v>
          </cell>
          <cell r="D1174" t="str">
            <v>E.J. Manuel</v>
          </cell>
          <cell r="F1174">
            <v>76</v>
          </cell>
          <cell r="G1174">
            <v>131</v>
          </cell>
          <cell r="H1174">
            <v>58</v>
          </cell>
          <cell r="I1174">
            <v>5</v>
          </cell>
          <cell r="J1174">
            <v>3</v>
          </cell>
          <cell r="K1174">
            <v>6</v>
          </cell>
          <cell r="L1174">
            <v>16</v>
          </cell>
          <cell r="M1174">
            <v>52</v>
          </cell>
          <cell r="N1174">
            <v>1</v>
          </cell>
          <cell r="O1174">
            <v>0</v>
          </cell>
          <cell r="P1174">
            <v>0</v>
          </cell>
          <cell r="Q1174">
            <v>5</v>
          </cell>
        </row>
        <row r="1175">
          <cell r="B1175">
            <v>2014</v>
          </cell>
          <cell r="C1175">
            <v>155</v>
          </cell>
          <cell r="D1175" t="str">
            <v>Matt Barkley</v>
          </cell>
          <cell r="F1175">
            <v>0</v>
          </cell>
          <cell r="G1175">
            <v>1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3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1</v>
          </cell>
        </row>
        <row r="1176">
          <cell r="B1176">
            <v>2014</v>
          </cell>
          <cell r="C1176">
            <v>156</v>
          </cell>
          <cell r="D1176" t="str">
            <v>Matt McGloin</v>
          </cell>
          <cell r="F1176">
            <v>12</v>
          </cell>
          <cell r="G1176">
            <v>19</v>
          </cell>
          <cell r="H1176">
            <v>63.2</v>
          </cell>
          <cell r="I1176">
            <v>1</v>
          </cell>
          <cell r="J1176">
            <v>2</v>
          </cell>
          <cell r="K1176">
            <v>1</v>
          </cell>
          <cell r="L1176">
            <v>2</v>
          </cell>
          <cell r="M1176">
            <v>3</v>
          </cell>
          <cell r="N1176">
            <v>0</v>
          </cell>
          <cell r="O1176">
            <v>0</v>
          </cell>
          <cell r="P1176">
            <v>0</v>
          </cell>
          <cell r="Q1176">
            <v>1</v>
          </cell>
        </row>
        <row r="1177">
          <cell r="B1177">
            <v>2014</v>
          </cell>
          <cell r="C1177">
            <v>157</v>
          </cell>
          <cell r="D1177" t="str">
            <v>Johnny Manziel</v>
          </cell>
          <cell r="F1177">
            <v>18</v>
          </cell>
          <cell r="G1177">
            <v>35</v>
          </cell>
          <cell r="H1177">
            <v>51.4</v>
          </cell>
          <cell r="I1177">
            <v>0</v>
          </cell>
          <cell r="J1177">
            <v>2</v>
          </cell>
          <cell r="K1177">
            <v>3</v>
          </cell>
          <cell r="L1177">
            <v>9</v>
          </cell>
          <cell r="M1177">
            <v>29</v>
          </cell>
          <cell r="N1177">
            <v>1</v>
          </cell>
          <cell r="O1177">
            <v>0</v>
          </cell>
          <cell r="P1177">
            <v>0</v>
          </cell>
          <cell r="Q1177">
            <v>5</v>
          </cell>
        </row>
        <row r="1178">
          <cell r="B1178">
            <v>2014</v>
          </cell>
          <cell r="C1178">
            <v>158</v>
          </cell>
          <cell r="D1178" t="str">
            <v>David Fales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</row>
        <row r="1179">
          <cell r="B1179">
            <v>2014</v>
          </cell>
          <cell r="C1179">
            <v>159</v>
          </cell>
          <cell r="D1179" t="str">
            <v>AJ McCarron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</row>
        <row r="1180">
          <cell r="B1180">
            <v>2014</v>
          </cell>
          <cell r="C1180">
            <v>160</v>
          </cell>
          <cell r="D1180" t="str">
            <v>Derek Carr</v>
          </cell>
          <cell r="F1180">
            <v>348</v>
          </cell>
          <cell r="G1180">
            <v>599</v>
          </cell>
          <cell r="H1180">
            <v>58.1</v>
          </cell>
          <cell r="I1180">
            <v>21</v>
          </cell>
          <cell r="J1180">
            <v>12</v>
          </cell>
          <cell r="K1180">
            <v>24</v>
          </cell>
          <cell r="L1180">
            <v>29</v>
          </cell>
          <cell r="M1180">
            <v>92</v>
          </cell>
          <cell r="N1180">
            <v>0</v>
          </cell>
          <cell r="O1180">
            <v>4</v>
          </cell>
          <cell r="P1180">
            <v>0</v>
          </cell>
          <cell r="Q1180">
            <v>16</v>
          </cell>
        </row>
        <row r="1181">
          <cell r="B1181">
            <v>2014</v>
          </cell>
          <cell r="C1181">
            <v>161</v>
          </cell>
          <cell r="D1181" t="str">
            <v>Zach Mettenberger</v>
          </cell>
          <cell r="F1181">
            <v>107</v>
          </cell>
          <cell r="G1181">
            <v>179</v>
          </cell>
          <cell r="H1181">
            <v>59.8</v>
          </cell>
          <cell r="I1181">
            <v>8</v>
          </cell>
          <cell r="J1181">
            <v>7</v>
          </cell>
          <cell r="K1181">
            <v>18</v>
          </cell>
          <cell r="L1181">
            <v>5</v>
          </cell>
          <cell r="M1181">
            <v>4</v>
          </cell>
          <cell r="N1181">
            <v>0</v>
          </cell>
          <cell r="O1181">
            <v>2</v>
          </cell>
          <cell r="P1181">
            <v>0</v>
          </cell>
          <cell r="Q1181">
            <v>7</v>
          </cell>
        </row>
        <row r="1182">
          <cell r="B1182">
            <v>2014</v>
          </cell>
          <cell r="C1182">
            <v>162</v>
          </cell>
          <cell r="D1182" t="str">
            <v>Tom Savage</v>
          </cell>
          <cell r="F1182">
            <v>10</v>
          </cell>
          <cell r="G1182">
            <v>19</v>
          </cell>
          <cell r="H1182">
            <v>52.6</v>
          </cell>
          <cell r="I1182">
            <v>0</v>
          </cell>
          <cell r="J1182">
            <v>1</v>
          </cell>
          <cell r="K1182">
            <v>1</v>
          </cell>
          <cell r="L1182">
            <v>6</v>
          </cell>
          <cell r="M1182">
            <v>-6</v>
          </cell>
          <cell r="N1182">
            <v>0</v>
          </cell>
          <cell r="O1182">
            <v>1</v>
          </cell>
          <cell r="P1182">
            <v>0</v>
          </cell>
          <cell r="Q1182">
            <v>2</v>
          </cell>
        </row>
        <row r="1183">
          <cell r="B1183">
            <v>2014</v>
          </cell>
          <cell r="C1183">
            <v>163</v>
          </cell>
          <cell r="D1183" t="str">
            <v>Brett Smith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</row>
        <row r="1184">
          <cell r="B1184">
            <v>2014</v>
          </cell>
          <cell r="C1184">
            <v>164</v>
          </cell>
          <cell r="D1184" t="str">
            <v>Trevor Siemian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</row>
        <row r="1185">
          <cell r="B1185">
            <v>2014</v>
          </cell>
          <cell r="C1185">
            <v>165</v>
          </cell>
          <cell r="D1185" t="str">
            <v>Marcus Mariota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</row>
        <row r="1186">
          <cell r="B1186">
            <v>2014</v>
          </cell>
          <cell r="C1186">
            <v>166</v>
          </cell>
          <cell r="D1186" t="str">
            <v>Jameis Winston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</row>
        <row r="1187">
          <cell r="B1187">
            <v>2014</v>
          </cell>
          <cell r="C1187">
            <v>167</v>
          </cell>
          <cell r="D1187" t="str">
            <v>Sean Mannion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</row>
        <row r="1188">
          <cell r="B1188">
            <v>2014</v>
          </cell>
          <cell r="C1188">
            <v>168</v>
          </cell>
          <cell r="D1188" t="str">
            <v>Taylor Heinicke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</row>
        <row r="1189">
          <cell r="B1189">
            <v>2014</v>
          </cell>
          <cell r="C1189">
            <v>169</v>
          </cell>
          <cell r="D1189" t="str">
            <v>Tyrod Taylor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4</v>
          </cell>
          <cell r="M1189">
            <v>-3</v>
          </cell>
          <cell r="N1189">
            <v>0</v>
          </cell>
          <cell r="O1189">
            <v>0</v>
          </cell>
          <cell r="P1189">
            <v>-0.3</v>
          </cell>
          <cell r="Q1189">
            <v>1</v>
          </cell>
        </row>
        <row r="1190">
          <cell r="B1190">
            <v>2013</v>
          </cell>
          <cell r="C1190">
            <v>1</v>
          </cell>
          <cell r="D1190" t="str">
            <v>Drew Brees</v>
          </cell>
          <cell r="F1190">
            <v>446</v>
          </cell>
          <cell r="G1190">
            <v>650</v>
          </cell>
          <cell r="H1190">
            <v>68.599999999999994</v>
          </cell>
          <cell r="I1190">
            <v>39</v>
          </cell>
          <cell r="J1190">
            <v>12</v>
          </cell>
          <cell r="K1190">
            <v>37</v>
          </cell>
          <cell r="L1190">
            <v>35</v>
          </cell>
          <cell r="M1190">
            <v>52</v>
          </cell>
          <cell r="N1190">
            <v>3</v>
          </cell>
          <cell r="O1190">
            <v>2</v>
          </cell>
          <cell r="P1190">
            <v>357.6</v>
          </cell>
          <cell r="Q1190">
            <v>16</v>
          </cell>
        </row>
        <row r="1191">
          <cell r="B1191">
            <v>2013</v>
          </cell>
          <cell r="C1191">
            <v>2</v>
          </cell>
          <cell r="D1191" t="str">
            <v>Cam Newton</v>
          </cell>
          <cell r="F1191">
            <v>292</v>
          </cell>
          <cell r="G1191">
            <v>473</v>
          </cell>
          <cell r="H1191">
            <v>61.7</v>
          </cell>
          <cell r="I1191">
            <v>24</v>
          </cell>
          <cell r="J1191">
            <v>13</v>
          </cell>
          <cell r="K1191">
            <v>43</v>
          </cell>
          <cell r="L1191">
            <v>111</v>
          </cell>
          <cell r="M1191">
            <v>585</v>
          </cell>
          <cell r="N1191">
            <v>6</v>
          </cell>
          <cell r="O1191">
            <v>1</v>
          </cell>
          <cell r="P1191">
            <v>297.8</v>
          </cell>
          <cell r="Q1191">
            <v>16</v>
          </cell>
        </row>
        <row r="1192">
          <cell r="B1192">
            <v>2013</v>
          </cell>
          <cell r="C1192">
            <v>3</v>
          </cell>
          <cell r="D1192" t="str">
            <v>Andy Dalton</v>
          </cell>
          <cell r="F1192">
            <v>363</v>
          </cell>
          <cell r="G1192">
            <v>586</v>
          </cell>
          <cell r="H1192">
            <v>61.9</v>
          </cell>
          <cell r="I1192">
            <v>33</v>
          </cell>
          <cell r="J1192">
            <v>20</v>
          </cell>
          <cell r="K1192">
            <v>29</v>
          </cell>
          <cell r="L1192">
            <v>61</v>
          </cell>
          <cell r="M1192">
            <v>183</v>
          </cell>
          <cell r="N1192">
            <v>2</v>
          </cell>
          <cell r="O1192">
            <v>3</v>
          </cell>
          <cell r="P1192">
            <v>288</v>
          </cell>
          <cell r="Q1192">
            <v>16</v>
          </cell>
        </row>
        <row r="1193">
          <cell r="B1193">
            <v>2013</v>
          </cell>
          <cell r="C1193">
            <v>4</v>
          </cell>
          <cell r="D1193" t="str">
            <v>Matthew Stafford</v>
          </cell>
          <cell r="F1193">
            <v>371</v>
          </cell>
          <cell r="G1193">
            <v>634</v>
          </cell>
          <cell r="H1193">
            <v>58.5</v>
          </cell>
          <cell r="I1193">
            <v>29</v>
          </cell>
          <cell r="J1193">
            <v>19</v>
          </cell>
          <cell r="K1193">
            <v>23</v>
          </cell>
          <cell r="L1193">
            <v>37</v>
          </cell>
          <cell r="M1193">
            <v>69</v>
          </cell>
          <cell r="N1193">
            <v>2</v>
          </cell>
          <cell r="O1193">
            <v>4</v>
          </cell>
          <cell r="P1193">
            <v>279</v>
          </cell>
          <cell r="Q1193">
            <v>16</v>
          </cell>
        </row>
        <row r="1194">
          <cell r="B1194">
            <v>2013</v>
          </cell>
          <cell r="C1194">
            <v>5</v>
          </cell>
          <cell r="D1194" t="str">
            <v>Russell Wilson</v>
          </cell>
          <cell r="F1194">
            <v>257</v>
          </cell>
          <cell r="G1194">
            <v>407</v>
          </cell>
          <cell r="H1194">
            <v>63.1</v>
          </cell>
          <cell r="I1194">
            <v>26</v>
          </cell>
          <cell r="J1194">
            <v>9</v>
          </cell>
          <cell r="K1194">
            <v>44</v>
          </cell>
          <cell r="L1194">
            <v>96</v>
          </cell>
          <cell r="M1194">
            <v>539</v>
          </cell>
          <cell r="N1194">
            <v>1</v>
          </cell>
          <cell r="O1194">
            <v>5</v>
          </cell>
          <cell r="P1194">
            <v>270.3</v>
          </cell>
          <cell r="Q1194">
            <v>16</v>
          </cell>
        </row>
        <row r="1195">
          <cell r="B1195">
            <v>2013</v>
          </cell>
          <cell r="C1195">
            <v>6</v>
          </cell>
          <cell r="D1195" t="str">
            <v>Nick Foles</v>
          </cell>
          <cell r="F1195">
            <v>203</v>
          </cell>
          <cell r="G1195">
            <v>317</v>
          </cell>
          <cell r="H1195">
            <v>64</v>
          </cell>
          <cell r="I1195">
            <v>27</v>
          </cell>
          <cell r="J1195">
            <v>2</v>
          </cell>
          <cell r="K1195">
            <v>28</v>
          </cell>
          <cell r="L1195">
            <v>57</v>
          </cell>
          <cell r="M1195">
            <v>221</v>
          </cell>
          <cell r="N1195">
            <v>3</v>
          </cell>
          <cell r="O1195">
            <v>2</v>
          </cell>
          <cell r="P1195">
            <v>259.7</v>
          </cell>
          <cell r="Q1195">
            <v>13</v>
          </cell>
        </row>
        <row r="1196">
          <cell r="B1196">
            <v>2013</v>
          </cell>
          <cell r="C1196">
            <v>7</v>
          </cell>
          <cell r="D1196" t="str">
            <v>Ben Roethlisberger</v>
          </cell>
          <cell r="F1196">
            <v>375</v>
          </cell>
          <cell r="G1196">
            <v>584</v>
          </cell>
          <cell r="H1196">
            <v>64.2</v>
          </cell>
          <cell r="I1196">
            <v>28</v>
          </cell>
          <cell r="J1196">
            <v>14</v>
          </cell>
          <cell r="K1196">
            <v>42</v>
          </cell>
          <cell r="L1196">
            <v>27</v>
          </cell>
          <cell r="M1196">
            <v>99</v>
          </cell>
          <cell r="N1196">
            <v>1</v>
          </cell>
          <cell r="O1196">
            <v>6</v>
          </cell>
          <cell r="P1196">
            <v>258.89999999999998</v>
          </cell>
          <cell r="Q1196">
            <v>16</v>
          </cell>
        </row>
        <row r="1197">
          <cell r="B1197">
            <v>2013</v>
          </cell>
          <cell r="C1197">
            <v>8</v>
          </cell>
          <cell r="D1197" t="str">
            <v>Alex Smith</v>
          </cell>
          <cell r="F1197">
            <v>308</v>
          </cell>
          <cell r="G1197">
            <v>508</v>
          </cell>
          <cell r="H1197">
            <v>60.6</v>
          </cell>
          <cell r="I1197">
            <v>23</v>
          </cell>
          <cell r="J1197">
            <v>7</v>
          </cell>
          <cell r="K1197">
            <v>39</v>
          </cell>
          <cell r="L1197">
            <v>76</v>
          </cell>
          <cell r="M1197">
            <v>431</v>
          </cell>
          <cell r="N1197">
            <v>1</v>
          </cell>
          <cell r="O1197">
            <v>3</v>
          </cell>
          <cell r="P1197">
            <v>253.7</v>
          </cell>
          <cell r="Q1197">
            <v>15</v>
          </cell>
        </row>
        <row r="1198">
          <cell r="B1198">
            <v>2013</v>
          </cell>
          <cell r="C1198">
            <v>9</v>
          </cell>
          <cell r="D1198" t="str">
            <v>Tom Brady</v>
          </cell>
          <cell r="F1198">
            <v>380</v>
          </cell>
          <cell r="G1198">
            <v>628</v>
          </cell>
          <cell r="H1198">
            <v>60.5</v>
          </cell>
          <cell r="I1198">
            <v>25</v>
          </cell>
          <cell r="J1198">
            <v>11</v>
          </cell>
          <cell r="K1198">
            <v>40</v>
          </cell>
          <cell r="L1198">
            <v>32</v>
          </cell>
          <cell r="M1198">
            <v>18</v>
          </cell>
          <cell r="N1198">
            <v>0</v>
          </cell>
          <cell r="O1198">
            <v>3</v>
          </cell>
          <cell r="P1198">
            <v>251.5</v>
          </cell>
          <cell r="Q1198">
            <v>16</v>
          </cell>
        </row>
        <row r="1199">
          <cell r="B1199">
            <v>2013</v>
          </cell>
          <cell r="C1199">
            <v>10</v>
          </cell>
          <cell r="D1199" t="str">
            <v>Matt Ryan</v>
          </cell>
          <cell r="F1199">
            <v>439</v>
          </cell>
          <cell r="G1199">
            <v>651</v>
          </cell>
          <cell r="H1199">
            <v>67.400000000000006</v>
          </cell>
          <cell r="I1199">
            <v>26</v>
          </cell>
          <cell r="J1199">
            <v>17</v>
          </cell>
          <cell r="K1199">
            <v>44</v>
          </cell>
          <cell r="L1199">
            <v>17</v>
          </cell>
          <cell r="M1199">
            <v>55</v>
          </cell>
          <cell r="N1199">
            <v>0</v>
          </cell>
          <cell r="O1199">
            <v>4</v>
          </cell>
          <cell r="P1199">
            <v>248.1</v>
          </cell>
          <cell r="Q1199">
            <v>16</v>
          </cell>
        </row>
        <row r="1200">
          <cell r="B1200">
            <v>2013</v>
          </cell>
          <cell r="C1200">
            <v>11</v>
          </cell>
          <cell r="D1200" t="str">
            <v>Ryan Tannehill</v>
          </cell>
          <cell r="F1200">
            <v>355</v>
          </cell>
          <cell r="G1200">
            <v>588</v>
          </cell>
          <cell r="H1200">
            <v>60.4</v>
          </cell>
          <cell r="I1200">
            <v>24</v>
          </cell>
          <cell r="J1200">
            <v>17</v>
          </cell>
          <cell r="K1200">
            <v>58</v>
          </cell>
          <cell r="L1200">
            <v>40</v>
          </cell>
          <cell r="M1200">
            <v>238</v>
          </cell>
          <cell r="N1200">
            <v>1</v>
          </cell>
          <cell r="O1200">
            <v>5</v>
          </cell>
          <cell r="P1200">
            <v>238.5</v>
          </cell>
          <cell r="Q1200">
            <v>16</v>
          </cell>
        </row>
        <row r="1201">
          <cell r="B1201">
            <v>2013</v>
          </cell>
          <cell r="C1201">
            <v>12</v>
          </cell>
          <cell r="D1201" t="str">
            <v>Robert Griffin III</v>
          </cell>
          <cell r="F1201">
            <v>274</v>
          </cell>
          <cell r="G1201">
            <v>456</v>
          </cell>
          <cell r="H1201">
            <v>60.1</v>
          </cell>
          <cell r="I1201">
            <v>16</v>
          </cell>
          <cell r="J1201">
            <v>12</v>
          </cell>
          <cell r="K1201">
            <v>38</v>
          </cell>
          <cell r="L1201">
            <v>86</v>
          </cell>
          <cell r="M1201">
            <v>489</v>
          </cell>
          <cell r="N1201">
            <v>0</v>
          </cell>
          <cell r="O1201">
            <v>4</v>
          </cell>
          <cell r="P1201">
            <v>213</v>
          </cell>
          <cell r="Q1201">
            <v>13</v>
          </cell>
        </row>
        <row r="1202">
          <cell r="B1202">
            <v>2013</v>
          </cell>
          <cell r="C1202">
            <v>13</v>
          </cell>
          <cell r="D1202" t="str">
            <v>Joe Flacco</v>
          </cell>
          <cell r="F1202">
            <v>362</v>
          </cell>
          <cell r="G1202">
            <v>614</v>
          </cell>
          <cell r="H1202">
            <v>59</v>
          </cell>
          <cell r="I1202">
            <v>19</v>
          </cell>
          <cell r="J1202">
            <v>22</v>
          </cell>
          <cell r="K1202">
            <v>48</v>
          </cell>
          <cell r="L1202">
            <v>27</v>
          </cell>
          <cell r="M1202">
            <v>131</v>
          </cell>
          <cell r="N1202">
            <v>1</v>
          </cell>
          <cell r="O1202">
            <v>2</v>
          </cell>
          <cell r="P1202">
            <v>207.6</v>
          </cell>
          <cell r="Q1202">
            <v>16</v>
          </cell>
        </row>
        <row r="1203">
          <cell r="B1203">
            <v>2013</v>
          </cell>
          <cell r="C1203">
            <v>14</v>
          </cell>
          <cell r="D1203" t="str">
            <v>Geno Smith</v>
          </cell>
          <cell r="F1203">
            <v>247</v>
          </cell>
          <cell r="G1203">
            <v>443</v>
          </cell>
          <cell r="H1203">
            <v>55.8</v>
          </cell>
          <cell r="I1203">
            <v>12</v>
          </cell>
          <cell r="J1203">
            <v>21</v>
          </cell>
          <cell r="K1203">
            <v>43</v>
          </cell>
          <cell r="L1203">
            <v>72</v>
          </cell>
          <cell r="M1203">
            <v>366</v>
          </cell>
          <cell r="N1203">
            <v>6</v>
          </cell>
          <cell r="O1203">
            <v>4</v>
          </cell>
          <cell r="P1203">
            <v>194.4</v>
          </cell>
          <cell r="Q1203">
            <v>16</v>
          </cell>
        </row>
        <row r="1204">
          <cell r="B1204">
            <v>2013</v>
          </cell>
          <cell r="C1204">
            <v>15</v>
          </cell>
          <cell r="D1204" t="str">
            <v>Aaron Rodgers</v>
          </cell>
          <cell r="F1204">
            <v>193</v>
          </cell>
          <cell r="G1204">
            <v>290</v>
          </cell>
          <cell r="H1204">
            <v>66.599999999999994</v>
          </cell>
          <cell r="I1204">
            <v>17</v>
          </cell>
          <cell r="J1204">
            <v>6</v>
          </cell>
          <cell r="K1204">
            <v>21</v>
          </cell>
          <cell r="L1204">
            <v>30</v>
          </cell>
          <cell r="M1204">
            <v>120</v>
          </cell>
          <cell r="N1204">
            <v>0</v>
          </cell>
          <cell r="O1204">
            <v>0</v>
          </cell>
          <cell r="P1204">
            <v>169.5</v>
          </cell>
          <cell r="Q1204">
            <v>9</v>
          </cell>
        </row>
        <row r="1205">
          <cell r="B1205">
            <v>2013</v>
          </cell>
          <cell r="C1205">
            <v>16</v>
          </cell>
          <cell r="D1205" t="str">
            <v>Ryan Fitzpatrick</v>
          </cell>
          <cell r="F1205">
            <v>217</v>
          </cell>
          <cell r="G1205">
            <v>350</v>
          </cell>
          <cell r="H1205">
            <v>62</v>
          </cell>
          <cell r="I1205">
            <v>14</v>
          </cell>
          <cell r="J1205">
            <v>12</v>
          </cell>
          <cell r="K1205">
            <v>21</v>
          </cell>
          <cell r="L1205">
            <v>43</v>
          </cell>
          <cell r="M1205">
            <v>225</v>
          </cell>
          <cell r="N1205">
            <v>3</v>
          </cell>
          <cell r="O1205">
            <v>2</v>
          </cell>
          <cell r="P1205">
            <v>167.1</v>
          </cell>
          <cell r="Q1205">
            <v>11</v>
          </cell>
        </row>
        <row r="1206">
          <cell r="B1206">
            <v>2013</v>
          </cell>
          <cell r="C1206">
            <v>17</v>
          </cell>
          <cell r="D1206" t="str">
            <v>Chad Henne</v>
          </cell>
          <cell r="F1206">
            <v>305</v>
          </cell>
          <cell r="G1206">
            <v>503</v>
          </cell>
          <cell r="H1206">
            <v>60.6</v>
          </cell>
          <cell r="I1206">
            <v>13</v>
          </cell>
          <cell r="J1206">
            <v>14</v>
          </cell>
          <cell r="K1206">
            <v>38</v>
          </cell>
          <cell r="L1206">
            <v>27</v>
          </cell>
          <cell r="M1206">
            <v>77</v>
          </cell>
          <cell r="N1206">
            <v>0</v>
          </cell>
          <cell r="O1206">
            <v>0</v>
          </cell>
          <cell r="P1206">
            <v>161.30000000000001</v>
          </cell>
          <cell r="Q1206">
            <v>15</v>
          </cell>
        </row>
        <row r="1207">
          <cell r="B1207">
            <v>2013</v>
          </cell>
          <cell r="C1207">
            <v>18</v>
          </cell>
          <cell r="D1207" t="str">
            <v>Mike Glennon</v>
          </cell>
          <cell r="F1207">
            <v>247</v>
          </cell>
          <cell r="G1207">
            <v>416</v>
          </cell>
          <cell r="H1207">
            <v>59.4</v>
          </cell>
          <cell r="I1207">
            <v>19</v>
          </cell>
          <cell r="J1207">
            <v>9</v>
          </cell>
          <cell r="K1207">
            <v>40</v>
          </cell>
          <cell r="L1207">
            <v>27</v>
          </cell>
          <cell r="M1207">
            <v>37</v>
          </cell>
          <cell r="N1207">
            <v>0</v>
          </cell>
          <cell r="O1207">
            <v>4</v>
          </cell>
          <cell r="P1207">
            <v>158</v>
          </cell>
          <cell r="Q1207">
            <v>13</v>
          </cell>
        </row>
        <row r="1208">
          <cell r="B1208">
            <v>2013</v>
          </cell>
          <cell r="C1208">
            <v>19</v>
          </cell>
          <cell r="D1208" t="str">
            <v>Josh McCown</v>
          </cell>
          <cell r="F1208">
            <v>149</v>
          </cell>
          <cell r="G1208">
            <v>224</v>
          </cell>
          <cell r="H1208">
            <v>66.5</v>
          </cell>
          <cell r="I1208">
            <v>13</v>
          </cell>
          <cell r="J1208">
            <v>1</v>
          </cell>
          <cell r="K1208">
            <v>11</v>
          </cell>
          <cell r="L1208">
            <v>13</v>
          </cell>
          <cell r="M1208">
            <v>69</v>
          </cell>
          <cell r="N1208">
            <v>1</v>
          </cell>
          <cell r="O1208">
            <v>1</v>
          </cell>
          <cell r="P1208">
            <v>136.1</v>
          </cell>
          <cell r="Q1208">
            <v>8</v>
          </cell>
        </row>
        <row r="1209">
          <cell r="B1209">
            <v>2013</v>
          </cell>
          <cell r="C1209">
            <v>20</v>
          </cell>
          <cell r="D1209" t="str">
            <v>Matt Schaub</v>
          </cell>
          <cell r="F1209">
            <v>219</v>
          </cell>
          <cell r="G1209">
            <v>358</v>
          </cell>
          <cell r="H1209">
            <v>61.2</v>
          </cell>
          <cell r="I1209">
            <v>10</v>
          </cell>
          <cell r="J1209">
            <v>14</v>
          </cell>
          <cell r="K1209">
            <v>21</v>
          </cell>
          <cell r="L1209">
            <v>5</v>
          </cell>
          <cell r="M1209">
            <v>24</v>
          </cell>
          <cell r="N1209">
            <v>0</v>
          </cell>
          <cell r="O1209">
            <v>1</v>
          </cell>
          <cell r="P1209">
            <v>104.7</v>
          </cell>
          <cell r="Q1209">
            <v>10</v>
          </cell>
        </row>
        <row r="1210">
          <cell r="B1210">
            <v>2013</v>
          </cell>
          <cell r="C1210">
            <v>21</v>
          </cell>
          <cell r="D1210" t="str">
            <v>Case Keenum</v>
          </cell>
          <cell r="F1210">
            <v>137</v>
          </cell>
          <cell r="G1210">
            <v>253</v>
          </cell>
          <cell r="H1210">
            <v>54.2</v>
          </cell>
          <cell r="I1210">
            <v>9</v>
          </cell>
          <cell r="J1210">
            <v>6</v>
          </cell>
          <cell r="K1210">
            <v>19</v>
          </cell>
          <cell r="L1210">
            <v>14</v>
          </cell>
          <cell r="M1210">
            <v>72</v>
          </cell>
          <cell r="N1210">
            <v>1</v>
          </cell>
          <cell r="O1210">
            <v>2</v>
          </cell>
          <cell r="P1210">
            <v>103.6</v>
          </cell>
          <cell r="Q1210">
            <v>8</v>
          </cell>
        </row>
        <row r="1211">
          <cell r="B1211">
            <v>2013</v>
          </cell>
          <cell r="C1211">
            <v>22</v>
          </cell>
          <cell r="D1211" t="str">
            <v>Brian Hoyer</v>
          </cell>
          <cell r="F1211">
            <v>57</v>
          </cell>
          <cell r="G1211">
            <v>96</v>
          </cell>
          <cell r="H1211">
            <v>59.4</v>
          </cell>
          <cell r="I1211">
            <v>5</v>
          </cell>
          <cell r="J1211">
            <v>3</v>
          </cell>
          <cell r="K1211">
            <v>6</v>
          </cell>
          <cell r="L1211">
            <v>6</v>
          </cell>
          <cell r="M1211">
            <v>16</v>
          </cell>
          <cell r="N1211">
            <v>0</v>
          </cell>
          <cell r="O1211">
            <v>0</v>
          </cell>
          <cell r="P1211">
            <v>40.200000000000003</v>
          </cell>
          <cell r="Q1211">
            <v>3</v>
          </cell>
        </row>
        <row r="1212">
          <cell r="B1212">
            <v>2013</v>
          </cell>
          <cell r="C1212">
            <v>23</v>
          </cell>
          <cell r="D1212" t="str">
            <v>Kirk Cousins</v>
          </cell>
          <cell r="F1212">
            <v>81</v>
          </cell>
          <cell r="G1212">
            <v>155</v>
          </cell>
          <cell r="H1212">
            <v>52.3</v>
          </cell>
          <cell r="I1212">
            <v>4</v>
          </cell>
          <cell r="J1212">
            <v>7</v>
          </cell>
          <cell r="K1212">
            <v>5</v>
          </cell>
          <cell r="L1212">
            <v>4</v>
          </cell>
          <cell r="M1212">
            <v>14</v>
          </cell>
          <cell r="N1212">
            <v>0</v>
          </cell>
          <cell r="O1212">
            <v>2</v>
          </cell>
          <cell r="P1212">
            <v>33.6</v>
          </cell>
          <cell r="Q1212">
            <v>5</v>
          </cell>
        </row>
        <row r="1213">
          <cell r="B1213">
            <v>2013</v>
          </cell>
          <cell r="C1213">
            <v>24</v>
          </cell>
          <cell r="D1213" t="str">
            <v>Chase Daniel</v>
          </cell>
          <cell r="F1213">
            <v>25</v>
          </cell>
          <cell r="G1213">
            <v>38</v>
          </cell>
          <cell r="H1213">
            <v>65.8</v>
          </cell>
          <cell r="I1213">
            <v>1</v>
          </cell>
          <cell r="J1213">
            <v>1</v>
          </cell>
          <cell r="K1213">
            <v>2</v>
          </cell>
          <cell r="L1213">
            <v>14</v>
          </cell>
          <cell r="M1213">
            <v>52</v>
          </cell>
          <cell r="N1213">
            <v>0</v>
          </cell>
          <cell r="O1213">
            <v>0</v>
          </cell>
          <cell r="P1213">
            <v>17.100000000000001</v>
          </cell>
          <cell r="Q1213">
            <v>5</v>
          </cell>
        </row>
        <row r="1214">
          <cell r="B1214">
            <v>2013</v>
          </cell>
          <cell r="C1214">
            <v>25</v>
          </cell>
          <cell r="D1214" t="str">
            <v>Blaine Gabbert</v>
          </cell>
          <cell r="F1214">
            <v>42</v>
          </cell>
          <cell r="G1214">
            <v>86</v>
          </cell>
          <cell r="H1214">
            <v>48.8</v>
          </cell>
          <cell r="I1214">
            <v>1</v>
          </cell>
          <cell r="J1214">
            <v>7</v>
          </cell>
          <cell r="K1214">
            <v>12</v>
          </cell>
          <cell r="L1214">
            <v>9</v>
          </cell>
          <cell r="M1214">
            <v>32</v>
          </cell>
          <cell r="N1214">
            <v>0</v>
          </cell>
          <cell r="O1214">
            <v>0</v>
          </cell>
          <cell r="P1214">
            <v>12.4</v>
          </cell>
          <cell r="Q1214">
            <v>3</v>
          </cell>
        </row>
        <row r="1215">
          <cell r="B1215">
            <v>2013</v>
          </cell>
          <cell r="C1215">
            <v>26</v>
          </cell>
          <cell r="D1215" t="str">
            <v>Joe Webb III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5.8</v>
          </cell>
          <cell r="Q1215">
            <v>16</v>
          </cell>
        </row>
        <row r="1216">
          <cell r="B1216">
            <v>2013</v>
          </cell>
          <cell r="C1216">
            <v>27</v>
          </cell>
          <cell r="D1216" t="str">
            <v>Tyrod Taylor</v>
          </cell>
          <cell r="F1216">
            <v>1</v>
          </cell>
          <cell r="G1216">
            <v>5</v>
          </cell>
          <cell r="H1216">
            <v>20</v>
          </cell>
          <cell r="I1216">
            <v>0</v>
          </cell>
          <cell r="J1216">
            <v>1</v>
          </cell>
          <cell r="K1216">
            <v>0</v>
          </cell>
          <cell r="L1216">
            <v>8</v>
          </cell>
          <cell r="M1216">
            <v>64</v>
          </cell>
          <cell r="N1216">
            <v>0</v>
          </cell>
          <cell r="O1216">
            <v>0</v>
          </cell>
          <cell r="P1216">
            <v>5.6</v>
          </cell>
          <cell r="Q1216">
            <v>3</v>
          </cell>
        </row>
        <row r="1217">
          <cell r="B1217">
            <v>2013</v>
          </cell>
          <cell r="C1217">
            <v>28</v>
          </cell>
          <cell r="D1217" t="str">
            <v>Josh Johnson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7</v>
          </cell>
          <cell r="M1217">
            <v>20</v>
          </cell>
          <cell r="N1217">
            <v>0</v>
          </cell>
          <cell r="O1217">
            <v>0</v>
          </cell>
          <cell r="P1217">
            <v>2</v>
          </cell>
          <cell r="Q1217">
            <v>2</v>
          </cell>
        </row>
        <row r="1218">
          <cell r="B1218">
            <v>2013</v>
          </cell>
          <cell r="C1218">
            <v>29</v>
          </cell>
          <cell r="D1218" t="str">
            <v>Matt Barkley</v>
          </cell>
          <cell r="F1218">
            <v>30</v>
          </cell>
          <cell r="G1218">
            <v>49</v>
          </cell>
          <cell r="H1218">
            <v>61.2</v>
          </cell>
          <cell r="I1218">
            <v>0</v>
          </cell>
          <cell r="J1218">
            <v>4</v>
          </cell>
          <cell r="K1218">
            <v>3</v>
          </cell>
          <cell r="L1218">
            <v>2</v>
          </cell>
          <cell r="M1218">
            <v>-2</v>
          </cell>
          <cell r="N1218">
            <v>0</v>
          </cell>
          <cell r="O1218">
            <v>1</v>
          </cell>
          <cell r="P1218">
            <v>1.8</v>
          </cell>
          <cell r="Q1218">
            <v>3</v>
          </cell>
        </row>
        <row r="1219">
          <cell r="B1219">
            <v>2013</v>
          </cell>
          <cell r="C1219">
            <v>30</v>
          </cell>
          <cell r="D1219" t="str">
            <v>Trey Lance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</row>
        <row r="1220">
          <cell r="B1220">
            <v>2013</v>
          </cell>
          <cell r="C1220">
            <v>31</v>
          </cell>
          <cell r="D1220" t="str">
            <v>Kyle Trask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</row>
        <row r="1221">
          <cell r="B1221">
            <v>2013</v>
          </cell>
          <cell r="C1221">
            <v>32</v>
          </cell>
          <cell r="D1221" t="str">
            <v>Feleipe Franks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</row>
        <row r="1222">
          <cell r="B1222">
            <v>2013</v>
          </cell>
          <cell r="C1222">
            <v>33</v>
          </cell>
          <cell r="D1222" t="str">
            <v>Sam Ehlinger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</row>
        <row r="1223">
          <cell r="B1223">
            <v>2013</v>
          </cell>
          <cell r="C1223">
            <v>34</v>
          </cell>
          <cell r="D1223" t="str">
            <v>Ben DiNucci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</row>
        <row r="1224">
          <cell r="B1224">
            <v>2013</v>
          </cell>
          <cell r="C1224">
            <v>35</v>
          </cell>
          <cell r="D1224" t="str">
            <v>Jalen Morton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</row>
        <row r="1225">
          <cell r="B1225">
            <v>2013</v>
          </cell>
          <cell r="C1225">
            <v>36</v>
          </cell>
          <cell r="D1225" t="str">
            <v>Reid Sinnett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</row>
        <row r="1226">
          <cell r="B1226">
            <v>2013</v>
          </cell>
          <cell r="C1226">
            <v>37</v>
          </cell>
          <cell r="D1226" t="str">
            <v>Mac Jones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</row>
        <row r="1227">
          <cell r="B1227">
            <v>2013</v>
          </cell>
          <cell r="C1227">
            <v>38</v>
          </cell>
          <cell r="D1227" t="str">
            <v>Ian Book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</row>
        <row r="1228">
          <cell r="B1228">
            <v>2013</v>
          </cell>
          <cell r="C1228">
            <v>39</v>
          </cell>
          <cell r="D1228" t="str">
            <v>Justin Fields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</row>
        <row r="1229">
          <cell r="B1229">
            <v>2013</v>
          </cell>
          <cell r="C1229">
            <v>40</v>
          </cell>
          <cell r="D1229" t="str">
            <v>Drew Lock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</row>
        <row r="1230">
          <cell r="B1230">
            <v>2013</v>
          </cell>
          <cell r="C1230">
            <v>41</v>
          </cell>
          <cell r="D1230" t="str">
            <v>Daniel Jones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</row>
        <row r="1231">
          <cell r="B1231">
            <v>2013</v>
          </cell>
          <cell r="C1231">
            <v>42</v>
          </cell>
          <cell r="D1231" t="str">
            <v>Will Grier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</row>
        <row r="1232">
          <cell r="B1232">
            <v>2013</v>
          </cell>
          <cell r="C1232">
            <v>43</v>
          </cell>
          <cell r="D1232" t="str">
            <v>Brett Rypien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</row>
        <row r="1233">
          <cell r="B1233">
            <v>2013</v>
          </cell>
          <cell r="C1233">
            <v>44</v>
          </cell>
          <cell r="D1233" t="str">
            <v>Easton Stick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</row>
        <row r="1234">
          <cell r="B1234">
            <v>2013</v>
          </cell>
          <cell r="C1234">
            <v>45</v>
          </cell>
          <cell r="D1234" t="str">
            <v>Trace McSorley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</row>
        <row r="1235">
          <cell r="B1235">
            <v>2013</v>
          </cell>
          <cell r="C1235">
            <v>46</v>
          </cell>
          <cell r="D1235" t="str">
            <v>Eric Dungey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</row>
        <row r="1236">
          <cell r="B1236">
            <v>2013</v>
          </cell>
          <cell r="C1236">
            <v>47</v>
          </cell>
          <cell r="D1236" t="str">
            <v>Jake Browning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</row>
        <row r="1237">
          <cell r="B1237">
            <v>2013</v>
          </cell>
          <cell r="C1237">
            <v>48</v>
          </cell>
          <cell r="D1237" t="str">
            <v>Gardner Minshew II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</row>
        <row r="1238">
          <cell r="B1238">
            <v>2013</v>
          </cell>
          <cell r="C1238">
            <v>49</v>
          </cell>
          <cell r="D1238" t="str">
            <v>Kyler Murray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</row>
        <row r="1239">
          <cell r="B1239">
            <v>2013</v>
          </cell>
          <cell r="C1239">
            <v>50</v>
          </cell>
          <cell r="D1239" t="str">
            <v>Dwayne Haskins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</row>
        <row r="1240">
          <cell r="B1240">
            <v>2013</v>
          </cell>
          <cell r="C1240">
            <v>51</v>
          </cell>
          <cell r="D1240" t="str">
            <v>John Wolford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</row>
        <row r="1241">
          <cell r="B1241">
            <v>2013</v>
          </cell>
          <cell r="C1241">
            <v>52</v>
          </cell>
          <cell r="D1241" t="str">
            <v>Justin Herbert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</row>
        <row r="1242">
          <cell r="B1242">
            <v>2013</v>
          </cell>
          <cell r="C1242">
            <v>53</v>
          </cell>
          <cell r="D1242" t="str">
            <v>Danny Etling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</row>
        <row r="1243">
          <cell r="B1243">
            <v>2013</v>
          </cell>
          <cell r="C1243">
            <v>54</v>
          </cell>
          <cell r="D1243" t="str">
            <v>Alex McGough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</row>
        <row r="1244">
          <cell r="B1244">
            <v>2013</v>
          </cell>
          <cell r="C1244">
            <v>55</v>
          </cell>
          <cell r="D1244" t="str">
            <v>Tim Boyle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</row>
        <row r="1245">
          <cell r="B1245">
            <v>2013</v>
          </cell>
          <cell r="C1245">
            <v>56</v>
          </cell>
          <cell r="D1245" t="str">
            <v>Kurt Benkert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</row>
        <row r="1246">
          <cell r="B1246">
            <v>2013</v>
          </cell>
          <cell r="C1246">
            <v>57</v>
          </cell>
          <cell r="D1246" t="str">
            <v>Kyle Allen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</row>
        <row r="1247">
          <cell r="B1247">
            <v>2013</v>
          </cell>
          <cell r="C1247">
            <v>58</v>
          </cell>
          <cell r="D1247" t="str">
            <v>Jarrett Stidham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</row>
        <row r="1248">
          <cell r="B1248">
            <v>2013</v>
          </cell>
          <cell r="C1248">
            <v>59</v>
          </cell>
          <cell r="D1248" t="str">
            <v>Trevor Lawrence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</row>
        <row r="1249">
          <cell r="B1249">
            <v>2013</v>
          </cell>
          <cell r="C1249">
            <v>60</v>
          </cell>
          <cell r="D1249" t="str">
            <v>James Morgan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</row>
        <row r="1250">
          <cell r="B1250">
            <v>2013</v>
          </cell>
          <cell r="C1250">
            <v>61</v>
          </cell>
          <cell r="D1250" t="str">
            <v>Bryce Perkins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</row>
        <row r="1251">
          <cell r="B1251">
            <v>2013</v>
          </cell>
          <cell r="C1251">
            <v>62</v>
          </cell>
          <cell r="D1251" t="str">
            <v>Steven Montez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</row>
        <row r="1252">
          <cell r="B1252">
            <v>2013</v>
          </cell>
          <cell r="C1252">
            <v>63</v>
          </cell>
          <cell r="D1252" t="str">
            <v>Jake Luton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</row>
        <row r="1253">
          <cell r="B1253">
            <v>2013</v>
          </cell>
          <cell r="C1253">
            <v>64</v>
          </cell>
          <cell r="D1253" t="str">
            <v>Brian Lewerke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</row>
        <row r="1254">
          <cell r="B1254">
            <v>2013</v>
          </cell>
          <cell r="C1254">
            <v>65</v>
          </cell>
          <cell r="D1254" t="str">
            <v>Shane Buechele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</row>
        <row r="1255">
          <cell r="B1255">
            <v>2013</v>
          </cell>
          <cell r="C1255">
            <v>66</v>
          </cell>
          <cell r="D1255" t="str">
            <v>Chris Streveler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</row>
        <row r="1256">
          <cell r="B1256">
            <v>2013</v>
          </cell>
          <cell r="C1256">
            <v>67</v>
          </cell>
          <cell r="D1256" t="str">
            <v>Kellen Mond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</row>
        <row r="1257">
          <cell r="B1257">
            <v>2013</v>
          </cell>
          <cell r="C1257">
            <v>68</v>
          </cell>
          <cell r="D1257" t="str">
            <v>David Blough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</row>
        <row r="1258">
          <cell r="B1258">
            <v>2013</v>
          </cell>
          <cell r="C1258">
            <v>69</v>
          </cell>
          <cell r="D1258" t="str">
            <v>John Lovett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</row>
        <row r="1259">
          <cell r="B1259">
            <v>2013</v>
          </cell>
          <cell r="C1259">
            <v>70</v>
          </cell>
          <cell r="D1259" t="str">
            <v>Tyler Huntley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</row>
        <row r="1260">
          <cell r="B1260">
            <v>2013</v>
          </cell>
          <cell r="C1260">
            <v>71</v>
          </cell>
          <cell r="D1260" t="str">
            <v>Joe Burrow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</row>
        <row r="1261">
          <cell r="B1261">
            <v>2013</v>
          </cell>
          <cell r="C1261">
            <v>72</v>
          </cell>
          <cell r="D1261" t="str">
            <v>Tua Tagovailoa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</row>
        <row r="1262">
          <cell r="B1262">
            <v>2013</v>
          </cell>
          <cell r="C1262">
            <v>73</v>
          </cell>
          <cell r="D1262" t="str">
            <v>Jacob Eason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</row>
        <row r="1263">
          <cell r="B1263">
            <v>2013</v>
          </cell>
          <cell r="C1263">
            <v>74</v>
          </cell>
          <cell r="D1263" t="str">
            <v>Jake Fromm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</row>
        <row r="1264">
          <cell r="B1264">
            <v>2013</v>
          </cell>
          <cell r="C1264">
            <v>75</v>
          </cell>
          <cell r="D1264" t="str">
            <v>Jordan Love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</row>
        <row r="1265">
          <cell r="B1265">
            <v>2013</v>
          </cell>
          <cell r="C1265">
            <v>76</v>
          </cell>
          <cell r="D1265" t="str">
            <v>Jalen Hurts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</row>
        <row r="1266">
          <cell r="B1266">
            <v>2013</v>
          </cell>
          <cell r="C1266">
            <v>77</v>
          </cell>
          <cell r="D1266" t="str">
            <v>Ryan Willis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</row>
        <row r="1267">
          <cell r="B1267">
            <v>2013</v>
          </cell>
          <cell r="C1267">
            <v>78</v>
          </cell>
          <cell r="D1267" t="str">
            <v>Zach Wilson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</row>
        <row r="1268">
          <cell r="B1268">
            <v>2013</v>
          </cell>
          <cell r="C1268">
            <v>79</v>
          </cell>
          <cell r="D1268" t="str">
            <v>Davis Mills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</row>
        <row r="1269">
          <cell r="B1269">
            <v>2013</v>
          </cell>
          <cell r="C1269">
            <v>80</v>
          </cell>
          <cell r="D1269" t="str">
            <v>Lamar Jackson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</row>
        <row r="1270">
          <cell r="B1270">
            <v>2013</v>
          </cell>
          <cell r="C1270">
            <v>81</v>
          </cell>
          <cell r="D1270" t="str">
            <v>Christian Ponder</v>
          </cell>
          <cell r="F1270">
            <v>152</v>
          </cell>
          <cell r="G1270">
            <v>239</v>
          </cell>
          <cell r="H1270">
            <v>63.6</v>
          </cell>
          <cell r="I1270">
            <v>7</v>
          </cell>
          <cell r="J1270">
            <v>9</v>
          </cell>
          <cell r="K1270">
            <v>27</v>
          </cell>
          <cell r="L1270">
            <v>34</v>
          </cell>
          <cell r="M1270">
            <v>151</v>
          </cell>
          <cell r="N1270">
            <v>4</v>
          </cell>
          <cell r="O1270">
            <v>4</v>
          </cell>
          <cell r="P1270">
            <v>0</v>
          </cell>
          <cell r="Q1270">
            <v>9</v>
          </cell>
        </row>
        <row r="1271">
          <cell r="B1271">
            <v>2013</v>
          </cell>
          <cell r="C1271">
            <v>82</v>
          </cell>
          <cell r="D1271" t="str">
            <v>Jake Locker</v>
          </cell>
          <cell r="F1271">
            <v>111</v>
          </cell>
          <cell r="G1271">
            <v>183</v>
          </cell>
          <cell r="H1271">
            <v>60.7</v>
          </cell>
          <cell r="I1271">
            <v>8</v>
          </cell>
          <cell r="J1271">
            <v>4</v>
          </cell>
          <cell r="K1271">
            <v>16</v>
          </cell>
          <cell r="L1271">
            <v>24</v>
          </cell>
          <cell r="M1271">
            <v>155</v>
          </cell>
          <cell r="N1271">
            <v>2</v>
          </cell>
          <cell r="O1271">
            <v>1</v>
          </cell>
          <cell r="P1271">
            <v>0</v>
          </cell>
          <cell r="Q1271">
            <v>7</v>
          </cell>
        </row>
        <row r="1272">
          <cell r="B1272">
            <v>2013</v>
          </cell>
          <cell r="C1272">
            <v>83</v>
          </cell>
          <cell r="D1272" t="str">
            <v>Colin Kaepernick</v>
          </cell>
          <cell r="F1272">
            <v>243</v>
          </cell>
          <cell r="G1272">
            <v>416</v>
          </cell>
          <cell r="H1272">
            <v>58.4</v>
          </cell>
          <cell r="I1272">
            <v>21</v>
          </cell>
          <cell r="J1272">
            <v>8</v>
          </cell>
          <cell r="K1272">
            <v>39</v>
          </cell>
          <cell r="L1272">
            <v>92</v>
          </cell>
          <cell r="M1272">
            <v>524</v>
          </cell>
          <cell r="N1272">
            <v>4</v>
          </cell>
          <cell r="O1272">
            <v>4</v>
          </cell>
          <cell r="P1272">
            <v>0</v>
          </cell>
          <cell r="Q1272">
            <v>16</v>
          </cell>
        </row>
        <row r="1273">
          <cell r="B1273">
            <v>2013</v>
          </cell>
          <cell r="C1273">
            <v>84</v>
          </cell>
          <cell r="D1273" t="str">
            <v>T.J. Yates</v>
          </cell>
          <cell r="F1273">
            <v>15</v>
          </cell>
          <cell r="G1273">
            <v>22</v>
          </cell>
          <cell r="H1273">
            <v>68.2</v>
          </cell>
          <cell r="I1273">
            <v>0</v>
          </cell>
          <cell r="J1273">
            <v>2</v>
          </cell>
          <cell r="K1273">
            <v>2</v>
          </cell>
          <cell r="L1273">
            <v>1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3</v>
          </cell>
        </row>
        <row r="1274">
          <cell r="B1274">
            <v>2013</v>
          </cell>
          <cell r="C1274">
            <v>85</v>
          </cell>
          <cell r="D1274" t="str">
            <v>Ben Chappell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</row>
        <row r="1275">
          <cell r="B1275">
            <v>2013</v>
          </cell>
          <cell r="C1275">
            <v>86</v>
          </cell>
          <cell r="D1275" t="str">
            <v>Adam Froman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</row>
        <row r="1276">
          <cell r="B1276">
            <v>2013</v>
          </cell>
          <cell r="C1276">
            <v>87</v>
          </cell>
          <cell r="D1276" t="str">
            <v>John David Booty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</row>
        <row r="1277">
          <cell r="B1277">
            <v>2013</v>
          </cell>
          <cell r="C1277">
            <v>88</v>
          </cell>
          <cell r="D1277" t="str">
            <v>Erik Ainge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</row>
        <row r="1278">
          <cell r="B1278">
            <v>2013</v>
          </cell>
          <cell r="C1278">
            <v>89</v>
          </cell>
          <cell r="D1278" t="str">
            <v>Hunter Cantwell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</row>
        <row r="1279">
          <cell r="B1279">
            <v>2013</v>
          </cell>
          <cell r="C1279">
            <v>90</v>
          </cell>
          <cell r="D1279" t="str">
            <v>Levi Brown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4</v>
          </cell>
        </row>
        <row r="1280">
          <cell r="B1280">
            <v>2013</v>
          </cell>
          <cell r="C1280">
            <v>91</v>
          </cell>
          <cell r="D1280" t="str">
            <v>Jeff Tuel</v>
          </cell>
          <cell r="F1280">
            <v>26</v>
          </cell>
          <cell r="G1280">
            <v>59</v>
          </cell>
          <cell r="H1280">
            <v>44.1</v>
          </cell>
          <cell r="I1280">
            <v>1</v>
          </cell>
          <cell r="J1280">
            <v>3</v>
          </cell>
          <cell r="K1280">
            <v>2</v>
          </cell>
          <cell r="L1280">
            <v>3</v>
          </cell>
          <cell r="M1280">
            <v>17</v>
          </cell>
          <cell r="N1280">
            <v>0</v>
          </cell>
          <cell r="O1280">
            <v>0</v>
          </cell>
          <cell r="P1280">
            <v>0</v>
          </cell>
          <cell r="Q1280">
            <v>2</v>
          </cell>
        </row>
        <row r="1281">
          <cell r="B1281">
            <v>2013</v>
          </cell>
          <cell r="C1281">
            <v>92</v>
          </cell>
          <cell r="D1281" t="str">
            <v>Brandon Weeden</v>
          </cell>
          <cell r="F1281">
            <v>141</v>
          </cell>
          <cell r="G1281">
            <v>267</v>
          </cell>
          <cell r="H1281">
            <v>52.8</v>
          </cell>
          <cell r="I1281">
            <v>9</v>
          </cell>
          <cell r="J1281">
            <v>9</v>
          </cell>
          <cell r="K1281">
            <v>27</v>
          </cell>
          <cell r="L1281">
            <v>12</v>
          </cell>
          <cell r="M1281">
            <v>44</v>
          </cell>
          <cell r="N1281">
            <v>0</v>
          </cell>
          <cell r="O1281">
            <v>2</v>
          </cell>
          <cell r="P1281">
            <v>0</v>
          </cell>
          <cell r="Q1281">
            <v>8</v>
          </cell>
        </row>
        <row r="1282">
          <cell r="B1282">
            <v>2013</v>
          </cell>
          <cell r="C1282">
            <v>93</v>
          </cell>
          <cell r="D1282" t="str">
            <v>Thaddeus Lewis</v>
          </cell>
          <cell r="F1282">
            <v>93</v>
          </cell>
          <cell r="G1282">
            <v>157</v>
          </cell>
          <cell r="H1282">
            <v>59.2</v>
          </cell>
          <cell r="I1282">
            <v>4</v>
          </cell>
          <cell r="J1282">
            <v>3</v>
          </cell>
          <cell r="K1282">
            <v>18</v>
          </cell>
          <cell r="L1282">
            <v>24</v>
          </cell>
          <cell r="M1282">
            <v>52</v>
          </cell>
          <cell r="N1282">
            <v>1</v>
          </cell>
          <cell r="O1282">
            <v>3</v>
          </cell>
          <cell r="P1282">
            <v>0</v>
          </cell>
          <cell r="Q1282">
            <v>6</v>
          </cell>
        </row>
        <row r="1283">
          <cell r="B1283">
            <v>2013</v>
          </cell>
          <cell r="C1283">
            <v>94</v>
          </cell>
          <cell r="D1283" t="str">
            <v>Scott Tolzien</v>
          </cell>
          <cell r="F1283">
            <v>55</v>
          </cell>
          <cell r="G1283">
            <v>90</v>
          </cell>
          <cell r="H1283">
            <v>61.1</v>
          </cell>
          <cell r="I1283">
            <v>1</v>
          </cell>
          <cell r="J1283">
            <v>5</v>
          </cell>
          <cell r="K1283">
            <v>3</v>
          </cell>
          <cell r="L1283">
            <v>5</v>
          </cell>
          <cell r="M1283">
            <v>55</v>
          </cell>
          <cell r="N1283">
            <v>1</v>
          </cell>
          <cell r="O1283">
            <v>0</v>
          </cell>
          <cell r="P1283">
            <v>0</v>
          </cell>
          <cell r="Q1283">
            <v>3</v>
          </cell>
        </row>
        <row r="1284">
          <cell r="B1284">
            <v>2013</v>
          </cell>
          <cell r="C1284">
            <v>95</v>
          </cell>
          <cell r="D1284" t="str">
            <v>Andrew Luck</v>
          </cell>
          <cell r="F1284">
            <v>343</v>
          </cell>
          <cell r="G1284">
            <v>570</v>
          </cell>
          <cell r="H1284">
            <v>60.2</v>
          </cell>
          <cell r="I1284">
            <v>23</v>
          </cell>
          <cell r="J1284">
            <v>9</v>
          </cell>
          <cell r="K1284">
            <v>32</v>
          </cell>
          <cell r="L1284">
            <v>63</v>
          </cell>
          <cell r="M1284">
            <v>377</v>
          </cell>
          <cell r="N1284">
            <v>4</v>
          </cell>
          <cell r="O1284">
            <v>2</v>
          </cell>
          <cell r="P1284">
            <v>0</v>
          </cell>
          <cell r="Q1284">
            <v>16</v>
          </cell>
        </row>
        <row r="1285">
          <cell r="B1285">
            <v>2013</v>
          </cell>
          <cell r="C1285">
            <v>96</v>
          </cell>
          <cell r="D1285" t="str">
            <v>Brock Osweiler</v>
          </cell>
          <cell r="F1285">
            <v>11</v>
          </cell>
          <cell r="G1285">
            <v>16</v>
          </cell>
          <cell r="H1285">
            <v>68.8</v>
          </cell>
          <cell r="I1285">
            <v>0</v>
          </cell>
          <cell r="J1285">
            <v>0</v>
          </cell>
          <cell r="K1285">
            <v>2</v>
          </cell>
          <cell r="L1285">
            <v>3</v>
          </cell>
          <cell r="M1285">
            <v>2</v>
          </cell>
          <cell r="N1285">
            <v>0</v>
          </cell>
          <cell r="O1285">
            <v>0</v>
          </cell>
          <cell r="P1285">
            <v>0</v>
          </cell>
          <cell r="Q1285">
            <v>4</v>
          </cell>
        </row>
        <row r="1286">
          <cell r="B1286">
            <v>2013</v>
          </cell>
          <cell r="C1286">
            <v>97</v>
          </cell>
          <cell r="D1286" t="str">
            <v>Dominique Davis</v>
          </cell>
          <cell r="F1286">
            <v>5</v>
          </cell>
          <cell r="G1286">
            <v>7</v>
          </cell>
          <cell r="H1286">
            <v>71.400000000000006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1</v>
          </cell>
        </row>
        <row r="1287">
          <cell r="B1287">
            <v>2013</v>
          </cell>
          <cell r="C1287">
            <v>98</v>
          </cell>
          <cell r="D1287" t="str">
            <v>Mike White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</row>
        <row r="1288">
          <cell r="B1288">
            <v>2013</v>
          </cell>
          <cell r="C1288">
            <v>99</v>
          </cell>
          <cell r="D1288" t="str">
            <v>Eli Manning</v>
          </cell>
          <cell r="F1288">
            <v>317</v>
          </cell>
          <cell r="G1288">
            <v>551</v>
          </cell>
          <cell r="H1288">
            <v>57.5</v>
          </cell>
          <cell r="I1288">
            <v>18</v>
          </cell>
          <cell r="J1288">
            <v>27</v>
          </cell>
          <cell r="K1288">
            <v>39</v>
          </cell>
          <cell r="L1288">
            <v>18</v>
          </cell>
          <cell r="M1288">
            <v>36</v>
          </cell>
          <cell r="N1288">
            <v>0</v>
          </cell>
          <cell r="O1288">
            <v>2</v>
          </cell>
          <cell r="P1288">
            <v>0</v>
          </cell>
          <cell r="Q1288">
            <v>16</v>
          </cell>
        </row>
        <row r="1289">
          <cell r="B1289">
            <v>2013</v>
          </cell>
          <cell r="C1289">
            <v>100</v>
          </cell>
          <cell r="D1289" t="str">
            <v>Derek Anderson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5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4</v>
          </cell>
        </row>
        <row r="1290">
          <cell r="B1290">
            <v>2013</v>
          </cell>
          <cell r="C1290">
            <v>101</v>
          </cell>
          <cell r="D1290" t="str">
            <v>Curtis Painter</v>
          </cell>
          <cell r="F1290">
            <v>8</v>
          </cell>
          <cell r="G1290">
            <v>16</v>
          </cell>
          <cell r="H1290">
            <v>50</v>
          </cell>
          <cell r="I1290">
            <v>0</v>
          </cell>
          <cell r="J1290">
            <v>2</v>
          </cell>
          <cell r="K1290">
            <v>1</v>
          </cell>
          <cell r="L1290">
            <v>3</v>
          </cell>
          <cell r="M1290">
            <v>-2</v>
          </cell>
          <cell r="N1290">
            <v>0</v>
          </cell>
          <cell r="O1290">
            <v>0</v>
          </cell>
          <cell r="P1290">
            <v>0</v>
          </cell>
          <cell r="Q1290">
            <v>3</v>
          </cell>
        </row>
        <row r="1291">
          <cell r="B1291">
            <v>2013</v>
          </cell>
          <cell r="C1291">
            <v>102</v>
          </cell>
          <cell r="D1291" t="str">
            <v>Jason Campbell</v>
          </cell>
          <cell r="F1291">
            <v>180</v>
          </cell>
          <cell r="G1291">
            <v>317</v>
          </cell>
          <cell r="H1291">
            <v>56.8</v>
          </cell>
          <cell r="I1291">
            <v>11</v>
          </cell>
          <cell r="J1291">
            <v>8</v>
          </cell>
          <cell r="K1291">
            <v>16</v>
          </cell>
          <cell r="L1291">
            <v>14</v>
          </cell>
          <cell r="M1291">
            <v>107</v>
          </cell>
          <cell r="N1291">
            <v>0</v>
          </cell>
          <cell r="O1291">
            <v>2</v>
          </cell>
          <cell r="P1291">
            <v>0</v>
          </cell>
          <cell r="Q1291">
            <v>9</v>
          </cell>
        </row>
        <row r="1292">
          <cell r="B1292">
            <v>2013</v>
          </cell>
          <cell r="C1292">
            <v>103</v>
          </cell>
          <cell r="D1292" t="str">
            <v>Jay Cutler</v>
          </cell>
          <cell r="F1292">
            <v>224</v>
          </cell>
          <cell r="G1292">
            <v>355</v>
          </cell>
          <cell r="H1292">
            <v>63.1</v>
          </cell>
          <cell r="I1292">
            <v>19</v>
          </cell>
          <cell r="J1292">
            <v>12</v>
          </cell>
          <cell r="K1292">
            <v>19</v>
          </cell>
          <cell r="L1292">
            <v>23</v>
          </cell>
          <cell r="M1292">
            <v>118</v>
          </cell>
          <cell r="N1292">
            <v>0</v>
          </cell>
          <cell r="O1292">
            <v>3</v>
          </cell>
          <cell r="P1292">
            <v>0</v>
          </cell>
          <cell r="Q1292">
            <v>11</v>
          </cell>
        </row>
        <row r="1293">
          <cell r="B1293">
            <v>2013</v>
          </cell>
          <cell r="C1293">
            <v>104</v>
          </cell>
          <cell r="D1293" t="str">
            <v>Keith Null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</row>
        <row r="1294">
          <cell r="B1294">
            <v>2013</v>
          </cell>
          <cell r="C1294">
            <v>105</v>
          </cell>
          <cell r="D1294" t="str">
            <v>Brett Ratliff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</row>
        <row r="1295">
          <cell r="B1295">
            <v>2013</v>
          </cell>
          <cell r="C1295">
            <v>106</v>
          </cell>
          <cell r="D1295" t="str">
            <v>Brian Brohm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</row>
        <row r="1296">
          <cell r="B1296">
            <v>2013</v>
          </cell>
          <cell r="C1296">
            <v>107</v>
          </cell>
          <cell r="D1296" t="str">
            <v>Carson Palmer</v>
          </cell>
          <cell r="F1296">
            <v>362</v>
          </cell>
          <cell r="G1296">
            <v>572</v>
          </cell>
          <cell r="H1296">
            <v>63.3</v>
          </cell>
          <cell r="I1296">
            <v>24</v>
          </cell>
          <cell r="J1296">
            <v>22</v>
          </cell>
          <cell r="K1296">
            <v>41</v>
          </cell>
          <cell r="L1296">
            <v>27</v>
          </cell>
          <cell r="M1296">
            <v>3</v>
          </cell>
          <cell r="N1296">
            <v>0</v>
          </cell>
          <cell r="O1296">
            <v>3</v>
          </cell>
          <cell r="P1296">
            <v>0</v>
          </cell>
          <cell r="Q1296">
            <v>16</v>
          </cell>
        </row>
        <row r="1297">
          <cell r="B1297">
            <v>2013</v>
          </cell>
          <cell r="C1297">
            <v>108</v>
          </cell>
          <cell r="D1297" t="str">
            <v>Josh Freeman</v>
          </cell>
          <cell r="F1297">
            <v>63</v>
          </cell>
          <cell r="G1297">
            <v>147</v>
          </cell>
          <cell r="H1297">
            <v>42.9</v>
          </cell>
          <cell r="I1297">
            <v>2</v>
          </cell>
          <cell r="J1297">
            <v>4</v>
          </cell>
          <cell r="K1297">
            <v>8</v>
          </cell>
          <cell r="L1297">
            <v>5</v>
          </cell>
          <cell r="M1297">
            <v>20</v>
          </cell>
          <cell r="N1297">
            <v>0</v>
          </cell>
          <cell r="O1297">
            <v>1</v>
          </cell>
          <cell r="P1297">
            <v>0</v>
          </cell>
          <cell r="Q1297">
            <v>4</v>
          </cell>
        </row>
        <row r="1298">
          <cell r="B1298">
            <v>2013</v>
          </cell>
          <cell r="C1298">
            <v>109</v>
          </cell>
          <cell r="D1298" t="str">
            <v>Kellen Clemens</v>
          </cell>
          <cell r="F1298">
            <v>142</v>
          </cell>
          <cell r="G1298">
            <v>242</v>
          </cell>
          <cell r="H1298">
            <v>58.7</v>
          </cell>
          <cell r="I1298">
            <v>8</v>
          </cell>
          <cell r="J1298">
            <v>7</v>
          </cell>
          <cell r="K1298">
            <v>21</v>
          </cell>
          <cell r="L1298">
            <v>23</v>
          </cell>
          <cell r="M1298">
            <v>64</v>
          </cell>
          <cell r="N1298">
            <v>0</v>
          </cell>
          <cell r="O1298">
            <v>4</v>
          </cell>
          <cell r="P1298">
            <v>0</v>
          </cell>
          <cell r="Q1298">
            <v>10</v>
          </cell>
        </row>
        <row r="1299">
          <cell r="B1299">
            <v>2013</v>
          </cell>
          <cell r="C1299">
            <v>110</v>
          </cell>
          <cell r="D1299" t="str">
            <v>Dan Orlovsky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2</v>
          </cell>
        </row>
        <row r="1300">
          <cell r="B1300">
            <v>2013</v>
          </cell>
          <cell r="C1300">
            <v>111</v>
          </cell>
          <cell r="D1300" t="str">
            <v>Tarvaris Jackson</v>
          </cell>
          <cell r="F1300">
            <v>10</v>
          </cell>
          <cell r="G1300">
            <v>13</v>
          </cell>
          <cell r="H1300">
            <v>76.900000000000006</v>
          </cell>
          <cell r="I1300">
            <v>1</v>
          </cell>
          <cell r="J1300">
            <v>0</v>
          </cell>
          <cell r="K1300">
            <v>0</v>
          </cell>
          <cell r="L1300">
            <v>4</v>
          </cell>
          <cell r="M1300">
            <v>1</v>
          </cell>
          <cell r="N1300">
            <v>1</v>
          </cell>
          <cell r="O1300">
            <v>0</v>
          </cell>
          <cell r="P1300">
            <v>0</v>
          </cell>
          <cell r="Q1300">
            <v>3</v>
          </cell>
        </row>
        <row r="1301">
          <cell r="B1301">
            <v>2013</v>
          </cell>
          <cell r="C1301">
            <v>112</v>
          </cell>
          <cell r="D1301" t="str">
            <v>Tony Romo</v>
          </cell>
          <cell r="F1301">
            <v>342</v>
          </cell>
          <cell r="G1301">
            <v>535</v>
          </cell>
          <cell r="H1301">
            <v>63.9</v>
          </cell>
          <cell r="I1301">
            <v>31</v>
          </cell>
          <cell r="J1301">
            <v>10</v>
          </cell>
          <cell r="K1301">
            <v>35</v>
          </cell>
          <cell r="L1301">
            <v>20</v>
          </cell>
          <cell r="M1301">
            <v>38</v>
          </cell>
          <cell r="N1301">
            <v>0</v>
          </cell>
          <cell r="O1301">
            <v>1</v>
          </cell>
          <cell r="P1301">
            <v>0</v>
          </cell>
          <cell r="Q1301">
            <v>15</v>
          </cell>
        </row>
        <row r="1302">
          <cell r="B1302">
            <v>2013</v>
          </cell>
          <cell r="C1302">
            <v>113</v>
          </cell>
          <cell r="D1302" t="str">
            <v>Sam Bradford</v>
          </cell>
          <cell r="F1302">
            <v>159</v>
          </cell>
          <cell r="G1302">
            <v>262</v>
          </cell>
          <cell r="H1302">
            <v>60.7</v>
          </cell>
          <cell r="I1302">
            <v>14</v>
          </cell>
          <cell r="J1302">
            <v>4</v>
          </cell>
          <cell r="K1302">
            <v>15</v>
          </cell>
          <cell r="L1302">
            <v>15</v>
          </cell>
          <cell r="M1302">
            <v>31</v>
          </cell>
          <cell r="N1302">
            <v>0</v>
          </cell>
          <cell r="O1302">
            <v>1</v>
          </cell>
          <cell r="P1302">
            <v>0</v>
          </cell>
          <cell r="Q1302">
            <v>7</v>
          </cell>
        </row>
        <row r="1303">
          <cell r="B1303">
            <v>2013</v>
          </cell>
          <cell r="C1303">
            <v>114</v>
          </cell>
          <cell r="D1303" t="str">
            <v>Seneca Wallace</v>
          </cell>
          <cell r="F1303">
            <v>16</v>
          </cell>
          <cell r="G1303">
            <v>24</v>
          </cell>
          <cell r="H1303">
            <v>66.7</v>
          </cell>
          <cell r="I1303">
            <v>0</v>
          </cell>
          <cell r="J1303">
            <v>1</v>
          </cell>
          <cell r="K1303">
            <v>4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2</v>
          </cell>
        </row>
        <row r="1304">
          <cell r="B1304">
            <v>2013</v>
          </cell>
          <cell r="C1304">
            <v>115</v>
          </cell>
          <cell r="D1304" t="str">
            <v>Charlie Whitehurst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6</v>
          </cell>
          <cell r="M1304">
            <v>-5</v>
          </cell>
          <cell r="N1304">
            <v>0</v>
          </cell>
          <cell r="O1304">
            <v>0</v>
          </cell>
          <cell r="P1304">
            <v>0</v>
          </cell>
          <cell r="Q1304">
            <v>2</v>
          </cell>
        </row>
        <row r="1305">
          <cell r="B1305">
            <v>2013</v>
          </cell>
          <cell r="C1305">
            <v>116</v>
          </cell>
          <cell r="D1305" t="str">
            <v>Shaun Hill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2</v>
          </cell>
          <cell r="M1305">
            <v>-2</v>
          </cell>
          <cell r="N1305">
            <v>0</v>
          </cell>
          <cell r="O1305">
            <v>0</v>
          </cell>
          <cell r="P1305">
            <v>0</v>
          </cell>
          <cell r="Q1305">
            <v>1</v>
          </cell>
        </row>
        <row r="1306">
          <cell r="B1306">
            <v>2013</v>
          </cell>
          <cell r="C1306">
            <v>117</v>
          </cell>
          <cell r="D1306" t="str">
            <v>Kyle Orton</v>
          </cell>
          <cell r="F1306">
            <v>33</v>
          </cell>
          <cell r="G1306">
            <v>51</v>
          </cell>
          <cell r="H1306">
            <v>64.7</v>
          </cell>
          <cell r="I1306">
            <v>2</v>
          </cell>
          <cell r="J1306">
            <v>2</v>
          </cell>
          <cell r="K1306">
            <v>0</v>
          </cell>
          <cell r="L1306">
            <v>1</v>
          </cell>
          <cell r="M1306">
            <v>8</v>
          </cell>
          <cell r="N1306">
            <v>0</v>
          </cell>
          <cell r="O1306">
            <v>0</v>
          </cell>
          <cell r="P1306">
            <v>0</v>
          </cell>
          <cell r="Q1306">
            <v>3</v>
          </cell>
        </row>
        <row r="1307">
          <cell r="B1307">
            <v>2013</v>
          </cell>
          <cell r="C1307">
            <v>118</v>
          </cell>
          <cell r="D1307" t="str">
            <v>Matt Cassel</v>
          </cell>
          <cell r="F1307">
            <v>153</v>
          </cell>
          <cell r="G1307">
            <v>254</v>
          </cell>
          <cell r="H1307">
            <v>60.2</v>
          </cell>
          <cell r="I1307">
            <v>11</v>
          </cell>
          <cell r="J1307">
            <v>9</v>
          </cell>
          <cell r="K1307">
            <v>16</v>
          </cell>
          <cell r="L1307">
            <v>18</v>
          </cell>
          <cell r="M1307">
            <v>57</v>
          </cell>
          <cell r="N1307">
            <v>1</v>
          </cell>
          <cell r="O1307">
            <v>1</v>
          </cell>
          <cell r="P1307">
            <v>0</v>
          </cell>
          <cell r="Q1307">
            <v>9</v>
          </cell>
        </row>
        <row r="1308">
          <cell r="B1308">
            <v>2013</v>
          </cell>
          <cell r="C1308">
            <v>119</v>
          </cell>
          <cell r="D1308" t="str">
            <v>Philip Rivers</v>
          </cell>
          <cell r="F1308">
            <v>378</v>
          </cell>
          <cell r="G1308">
            <v>544</v>
          </cell>
          <cell r="H1308">
            <v>69.5</v>
          </cell>
          <cell r="I1308">
            <v>32</v>
          </cell>
          <cell r="J1308">
            <v>11</v>
          </cell>
          <cell r="K1308">
            <v>30</v>
          </cell>
          <cell r="L1308">
            <v>28</v>
          </cell>
          <cell r="M1308">
            <v>72</v>
          </cell>
          <cell r="N1308">
            <v>0</v>
          </cell>
          <cell r="O1308">
            <v>2</v>
          </cell>
          <cell r="P1308">
            <v>0</v>
          </cell>
          <cell r="Q1308">
            <v>16</v>
          </cell>
        </row>
        <row r="1309">
          <cell r="B1309">
            <v>2013</v>
          </cell>
          <cell r="C1309">
            <v>120</v>
          </cell>
          <cell r="D1309" t="str">
            <v>Matt Flynn</v>
          </cell>
          <cell r="F1309">
            <v>124</v>
          </cell>
          <cell r="G1309">
            <v>200</v>
          </cell>
          <cell r="H1309">
            <v>62</v>
          </cell>
          <cell r="I1309">
            <v>8</v>
          </cell>
          <cell r="J1309">
            <v>5</v>
          </cell>
          <cell r="K1309">
            <v>24</v>
          </cell>
          <cell r="L1309">
            <v>20</v>
          </cell>
          <cell r="M1309">
            <v>65</v>
          </cell>
          <cell r="N1309">
            <v>0</v>
          </cell>
          <cell r="O1309">
            <v>6</v>
          </cell>
          <cell r="P1309">
            <v>0</v>
          </cell>
          <cell r="Q1309">
            <v>7</v>
          </cell>
        </row>
        <row r="1310">
          <cell r="B1310">
            <v>2013</v>
          </cell>
          <cell r="C1310">
            <v>121</v>
          </cell>
          <cell r="D1310" t="str">
            <v>Matt Hasselbeck</v>
          </cell>
          <cell r="F1310">
            <v>7</v>
          </cell>
          <cell r="G1310">
            <v>12</v>
          </cell>
          <cell r="H1310">
            <v>58.3</v>
          </cell>
          <cell r="I1310">
            <v>0</v>
          </cell>
          <cell r="J1310">
            <v>1</v>
          </cell>
          <cell r="K1310">
            <v>0</v>
          </cell>
          <cell r="L1310">
            <v>2</v>
          </cell>
          <cell r="M1310">
            <v>-2</v>
          </cell>
          <cell r="N1310">
            <v>0</v>
          </cell>
          <cell r="O1310">
            <v>0</v>
          </cell>
          <cell r="P1310">
            <v>0</v>
          </cell>
          <cell r="Q1310">
            <v>3</v>
          </cell>
        </row>
        <row r="1311">
          <cell r="B1311">
            <v>2013</v>
          </cell>
          <cell r="C1311">
            <v>122</v>
          </cell>
          <cell r="D1311" t="str">
            <v>Michael Vick</v>
          </cell>
          <cell r="F1311">
            <v>77</v>
          </cell>
          <cell r="G1311">
            <v>141</v>
          </cell>
          <cell r="H1311">
            <v>54.6</v>
          </cell>
          <cell r="I1311">
            <v>5</v>
          </cell>
          <cell r="J1311">
            <v>3</v>
          </cell>
          <cell r="K1311">
            <v>15</v>
          </cell>
          <cell r="L1311">
            <v>36</v>
          </cell>
          <cell r="M1311">
            <v>306</v>
          </cell>
          <cell r="N1311">
            <v>2</v>
          </cell>
          <cell r="O1311">
            <v>2</v>
          </cell>
          <cell r="P1311">
            <v>0</v>
          </cell>
          <cell r="Q1311">
            <v>7</v>
          </cell>
        </row>
        <row r="1312">
          <cell r="B1312">
            <v>2013</v>
          </cell>
          <cell r="C1312">
            <v>123</v>
          </cell>
          <cell r="D1312" t="str">
            <v>Peyton Manning</v>
          </cell>
          <cell r="F1312">
            <v>450</v>
          </cell>
          <cell r="G1312">
            <v>659</v>
          </cell>
          <cell r="H1312">
            <v>68.3</v>
          </cell>
          <cell r="I1312">
            <v>55</v>
          </cell>
          <cell r="J1312">
            <v>10</v>
          </cell>
          <cell r="K1312">
            <v>18</v>
          </cell>
          <cell r="L1312">
            <v>32</v>
          </cell>
          <cell r="M1312">
            <v>-31</v>
          </cell>
          <cell r="N1312">
            <v>1</v>
          </cell>
          <cell r="O1312">
            <v>6</v>
          </cell>
          <cell r="P1312">
            <v>0</v>
          </cell>
          <cell r="Q1312">
            <v>16</v>
          </cell>
        </row>
        <row r="1313">
          <cell r="B1313">
            <v>2013</v>
          </cell>
          <cell r="C1313">
            <v>124</v>
          </cell>
          <cell r="D1313" t="str">
            <v>Mitchell Trubisky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</row>
        <row r="1314">
          <cell r="B1314">
            <v>2013</v>
          </cell>
          <cell r="C1314">
            <v>125</v>
          </cell>
          <cell r="D1314" t="str">
            <v>Deshaun Watson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</row>
        <row r="1315">
          <cell r="B1315">
            <v>2013</v>
          </cell>
          <cell r="C1315">
            <v>126</v>
          </cell>
          <cell r="D1315" t="str">
            <v>Patrick Mahomes II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</row>
        <row r="1316">
          <cell r="B1316">
            <v>2013</v>
          </cell>
          <cell r="C1316">
            <v>127</v>
          </cell>
          <cell r="D1316" t="str">
            <v>Carson Wentz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</row>
        <row r="1317">
          <cell r="B1317">
            <v>2013</v>
          </cell>
          <cell r="C1317">
            <v>128</v>
          </cell>
          <cell r="D1317" t="str">
            <v>Dak Prescott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</row>
        <row r="1318">
          <cell r="B1318">
            <v>2013</v>
          </cell>
          <cell r="C1318">
            <v>129</v>
          </cell>
          <cell r="D1318" t="str">
            <v>Jeff Driskel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</row>
        <row r="1319">
          <cell r="B1319">
            <v>2013</v>
          </cell>
          <cell r="C1319">
            <v>130</v>
          </cell>
          <cell r="D1319" t="str">
            <v>Jacoby Brissett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</row>
        <row r="1320">
          <cell r="B1320">
            <v>2013</v>
          </cell>
          <cell r="C1320">
            <v>131</v>
          </cell>
          <cell r="D1320" t="str">
            <v>Nate Sudfeld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</row>
        <row r="1321">
          <cell r="B1321">
            <v>2013</v>
          </cell>
          <cell r="C1321">
            <v>132</v>
          </cell>
          <cell r="D1321" t="str">
            <v>Brandon Allen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</row>
        <row r="1322">
          <cell r="B1322">
            <v>2013</v>
          </cell>
          <cell r="C1322">
            <v>133</v>
          </cell>
          <cell r="D1322" t="str">
            <v>Kevin Hogan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</row>
        <row r="1323">
          <cell r="B1323">
            <v>2013</v>
          </cell>
          <cell r="C1323">
            <v>134</v>
          </cell>
          <cell r="D1323" t="str">
            <v>E.J. Manuel</v>
          </cell>
          <cell r="F1323">
            <v>180</v>
          </cell>
          <cell r="G1323">
            <v>306</v>
          </cell>
          <cell r="H1323">
            <v>58.8</v>
          </cell>
          <cell r="I1323">
            <v>11</v>
          </cell>
          <cell r="J1323">
            <v>9</v>
          </cell>
          <cell r="K1323">
            <v>28</v>
          </cell>
          <cell r="L1323">
            <v>53</v>
          </cell>
          <cell r="M1323">
            <v>186</v>
          </cell>
          <cell r="N1323">
            <v>2</v>
          </cell>
          <cell r="O1323">
            <v>3</v>
          </cell>
          <cell r="P1323">
            <v>0</v>
          </cell>
          <cell r="Q1323">
            <v>10</v>
          </cell>
        </row>
        <row r="1324">
          <cell r="B1324">
            <v>2013</v>
          </cell>
          <cell r="C1324">
            <v>135</v>
          </cell>
          <cell r="D1324" t="str">
            <v>Logan Woodside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</row>
        <row r="1325">
          <cell r="B1325">
            <v>2013</v>
          </cell>
          <cell r="C1325">
            <v>136</v>
          </cell>
          <cell r="D1325" t="str">
            <v>Mason Rudolph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</row>
        <row r="1326">
          <cell r="B1326">
            <v>2013</v>
          </cell>
          <cell r="C1326">
            <v>137</v>
          </cell>
          <cell r="D1326" t="str">
            <v>Josh Rosen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</row>
        <row r="1327">
          <cell r="B1327">
            <v>2013</v>
          </cell>
          <cell r="C1327">
            <v>138</v>
          </cell>
          <cell r="D1327" t="str">
            <v>Sam Darnold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</row>
        <row r="1328">
          <cell r="B1328">
            <v>2013</v>
          </cell>
          <cell r="C1328">
            <v>139</v>
          </cell>
          <cell r="D1328" t="str">
            <v>Baker Mayfield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</row>
        <row r="1329">
          <cell r="B1329">
            <v>2013</v>
          </cell>
          <cell r="C1329">
            <v>140</v>
          </cell>
          <cell r="D1329" t="str">
            <v>Josh Allen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</row>
        <row r="1330">
          <cell r="B1330">
            <v>2013</v>
          </cell>
          <cell r="C1330">
            <v>141</v>
          </cell>
          <cell r="D1330" t="str">
            <v>Taysom Hill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</row>
        <row r="1331">
          <cell r="B1331">
            <v>2013</v>
          </cell>
          <cell r="C1331">
            <v>142</v>
          </cell>
          <cell r="D1331" t="str">
            <v>Joshua Dobbs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</row>
        <row r="1332">
          <cell r="B1332">
            <v>2013</v>
          </cell>
          <cell r="C1332">
            <v>143</v>
          </cell>
          <cell r="D1332" t="str">
            <v>Davis Webb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</row>
        <row r="1333">
          <cell r="B1333">
            <v>2013</v>
          </cell>
          <cell r="C1333">
            <v>144</v>
          </cell>
          <cell r="D1333" t="str">
            <v>C.J. Beathard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</row>
        <row r="1334">
          <cell r="B1334">
            <v>2013</v>
          </cell>
          <cell r="C1334">
            <v>145</v>
          </cell>
          <cell r="D1334" t="str">
            <v>Cooper Rush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</row>
        <row r="1335">
          <cell r="B1335">
            <v>2013</v>
          </cell>
          <cell r="C1335">
            <v>146</v>
          </cell>
          <cell r="D1335" t="str">
            <v>Nick Mullens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</row>
        <row r="1336">
          <cell r="B1336">
            <v>2013</v>
          </cell>
          <cell r="C1336">
            <v>147</v>
          </cell>
          <cell r="D1336" t="str">
            <v>P.J. Walker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</row>
        <row r="1337">
          <cell r="B1337">
            <v>2013</v>
          </cell>
          <cell r="C1337">
            <v>148</v>
          </cell>
          <cell r="D1337" t="str">
            <v>Jared Goff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</row>
        <row r="1338">
          <cell r="B1338">
            <v>2013</v>
          </cell>
          <cell r="C1338">
            <v>149</v>
          </cell>
          <cell r="D1338" t="str">
            <v>Garrett Gilbert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</row>
        <row r="1339">
          <cell r="B1339">
            <v>2013</v>
          </cell>
          <cell r="C1339">
            <v>150</v>
          </cell>
          <cell r="D1339" t="str">
            <v>Blake Bortles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</row>
        <row r="1340">
          <cell r="B1340">
            <v>2013</v>
          </cell>
          <cell r="C1340">
            <v>151</v>
          </cell>
          <cell r="D1340" t="str">
            <v>Matt McGloin</v>
          </cell>
          <cell r="F1340">
            <v>118</v>
          </cell>
          <cell r="G1340">
            <v>211</v>
          </cell>
          <cell r="H1340">
            <v>55.9</v>
          </cell>
          <cell r="I1340">
            <v>8</v>
          </cell>
          <cell r="J1340">
            <v>8</v>
          </cell>
          <cell r="K1340">
            <v>6</v>
          </cell>
          <cell r="L1340">
            <v>11</v>
          </cell>
          <cell r="M1340">
            <v>27</v>
          </cell>
          <cell r="N1340">
            <v>0</v>
          </cell>
          <cell r="O1340">
            <v>1</v>
          </cell>
          <cell r="P1340">
            <v>0</v>
          </cell>
          <cell r="Q1340">
            <v>7</v>
          </cell>
        </row>
        <row r="1341">
          <cell r="B1341">
            <v>2013</v>
          </cell>
          <cell r="C1341">
            <v>152</v>
          </cell>
          <cell r="D1341" t="str">
            <v>Matt Simms</v>
          </cell>
          <cell r="F1341">
            <v>16</v>
          </cell>
          <cell r="G1341">
            <v>31</v>
          </cell>
          <cell r="H1341">
            <v>51.6</v>
          </cell>
          <cell r="I1341">
            <v>1</v>
          </cell>
          <cell r="J1341">
            <v>1</v>
          </cell>
          <cell r="K1341">
            <v>4</v>
          </cell>
          <cell r="L1341">
            <v>5</v>
          </cell>
          <cell r="M1341">
            <v>37</v>
          </cell>
          <cell r="N1341">
            <v>0</v>
          </cell>
          <cell r="O1341">
            <v>1</v>
          </cell>
          <cell r="P1341">
            <v>0</v>
          </cell>
          <cell r="Q1341">
            <v>3</v>
          </cell>
        </row>
        <row r="1342">
          <cell r="B1342">
            <v>2013</v>
          </cell>
          <cell r="C1342">
            <v>153</v>
          </cell>
          <cell r="D1342" t="str">
            <v>Teddy Bridgewater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</row>
        <row r="1343">
          <cell r="B1343">
            <v>2013</v>
          </cell>
          <cell r="C1343">
            <v>154</v>
          </cell>
          <cell r="D1343" t="str">
            <v>AJ McCarron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</row>
        <row r="1344">
          <cell r="B1344">
            <v>2013</v>
          </cell>
          <cell r="C1344">
            <v>155</v>
          </cell>
          <cell r="D1344" t="str">
            <v>David Fales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</row>
        <row r="1345">
          <cell r="B1345">
            <v>2013</v>
          </cell>
          <cell r="C1345">
            <v>156</v>
          </cell>
          <cell r="D1345" t="str">
            <v>Derek Carr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</row>
        <row r="1346">
          <cell r="B1346">
            <v>2013</v>
          </cell>
          <cell r="C1346">
            <v>157</v>
          </cell>
          <cell r="D1346" t="str">
            <v>Jimmy Garoppolo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</row>
        <row r="1347">
          <cell r="B1347">
            <v>2013</v>
          </cell>
          <cell r="C1347">
            <v>158</v>
          </cell>
          <cell r="D1347" t="str">
            <v>Brett Smith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</row>
        <row r="1348">
          <cell r="B1348">
            <v>2013</v>
          </cell>
          <cell r="C1348">
            <v>159</v>
          </cell>
          <cell r="D1348" t="str">
            <v>Trevor Siemian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</row>
        <row r="1349">
          <cell r="B1349">
            <v>2013</v>
          </cell>
          <cell r="C1349">
            <v>160</v>
          </cell>
          <cell r="D1349" t="str">
            <v>Marcus Mariota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</row>
        <row r="1350">
          <cell r="B1350">
            <v>2013</v>
          </cell>
          <cell r="C1350">
            <v>161</v>
          </cell>
          <cell r="D1350" t="str">
            <v>Jameis Winston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</row>
        <row r="1351">
          <cell r="B1351">
            <v>2013</v>
          </cell>
          <cell r="C1351">
            <v>162</v>
          </cell>
          <cell r="D1351" t="str">
            <v>Sean Mannion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</row>
        <row r="1352">
          <cell r="B1352">
            <v>2013</v>
          </cell>
          <cell r="C1352">
            <v>163</v>
          </cell>
          <cell r="D1352" t="str">
            <v>Taylor Heinicke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</row>
        <row r="1353">
          <cell r="B1353">
            <v>2013</v>
          </cell>
          <cell r="C1353">
            <v>164</v>
          </cell>
          <cell r="D1353" t="str">
            <v>Colt McCoy</v>
          </cell>
          <cell r="F1353">
            <v>1</v>
          </cell>
          <cell r="G1353">
            <v>1</v>
          </cell>
          <cell r="H1353">
            <v>100</v>
          </cell>
          <cell r="I1353">
            <v>0</v>
          </cell>
          <cell r="J1353">
            <v>0</v>
          </cell>
          <cell r="K1353">
            <v>0</v>
          </cell>
          <cell r="L1353">
            <v>6</v>
          </cell>
          <cell r="M1353">
            <v>-6</v>
          </cell>
          <cell r="N1353">
            <v>0</v>
          </cell>
          <cell r="O1353">
            <v>0</v>
          </cell>
          <cell r="P1353">
            <v>-0.1</v>
          </cell>
          <cell r="Q1353">
            <v>4</v>
          </cell>
        </row>
        <row r="1354">
          <cell r="B1354">
            <v>2013</v>
          </cell>
          <cell r="C1354">
            <v>165</v>
          </cell>
          <cell r="D1354" t="str">
            <v>Luke McCown</v>
          </cell>
          <cell r="F1354">
            <v>0</v>
          </cell>
          <cell r="G1354">
            <v>1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3</v>
          </cell>
          <cell r="M1354">
            <v>-4</v>
          </cell>
          <cell r="N1354">
            <v>0</v>
          </cell>
          <cell r="O1354">
            <v>0</v>
          </cell>
          <cell r="P1354">
            <v>-0.4</v>
          </cell>
          <cell r="Q1354">
            <v>16</v>
          </cell>
        </row>
        <row r="1355">
          <cell r="B1355">
            <v>2013</v>
          </cell>
          <cell r="C1355">
            <v>166</v>
          </cell>
          <cell r="D1355" t="str">
            <v>Matt Moore</v>
          </cell>
          <cell r="F1355">
            <v>2</v>
          </cell>
          <cell r="G1355">
            <v>6</v>
          </cell>
          <cell r="H1355">
            <v>33.299999999999997</v>
          </cell>
          <cell r="I1355">
            <v>0</v>
          </cell>
          <cell r="J1355">
            <v>2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-1.9</v>
          </cell>
          <cell r="Q1355">
            <v>1</v>
          </cell>
        </row>
        <row r="1356">
          <cell r="B1356">
            <v>2012</v>
          </cell>
          <cell r="C1356">
            <v>1</v>
          </cell>
          <cell r="D1356" t="str">
            <v>Drew Brees</v>
          </cell>
          <cell r="F1356">
            <v>422</v>
          </cell>
          <cell r="G1356">
            <v>670</v>
          </cell>
          <cell r="H1356">
            <v>63</v>
          </cell>
          <cell r="I1356">
            <v>43</v>
          </cell>
          <cell r="J1356">
            <v>19</v>
          </cell>
          <cell r="K1356">
            <v>26</v>
          </cell>
          <cell r="L1356">
            <v>15</v>
          </cell>
          <cell r="M1356">
            <v>5</v>
          </cell>
          <cell r="N1356">
            <v>1</v>
          </cell>
          <cell r="O1356">
            <v>1</v>
          </cell>
          <cell r="P1356">
            <v>345.6</v>
          </cell>
          <cell r="Q1356">
            <v>16</v>
          </cell>
        </row>
        <row r="1357">
          <cell r="B1357">
            <v>2012</v>
          </cell>
          <cell r="C1357">
            <v>2</v>
          </cell>
          <cell r="D1357" t="str">
            <v>Aaron Rodgers</v>
          </cell>
          <cell r="F1357">
            <v>371</v>
          </cell>
          <cell r="G1357">
            <v>552</v>
          </cell>
          <cell r="H1357">
            <v>67.2</v>
          </cell>
          <cell r="I1357">
            <v>39</v>
          </cell>
          <cell r="J1357">
            <v>8</v>
          </cell>
          <cell r="K1357">
            <v>51</v>
          </cell>
          <cell r="L1357">
            <v>54</v>
          </cell>
          <cell r="M1357">
            <v>259</v>
          </cell>
          <cell r="N1357">
            <v>2</v>
          </cell>
          <cell r="O1357">
            <v>4</v>
          </cell>
          <cell r="P1357">
            <v>344</v>
          </cell>
          <cell r="Q1357">
            <v>16</v>
          </cell>
        </row>
        <row r="1358">
          <cell r="B1358">
            <v>2012</v>
          </cell>
          <cell r="C1358">
            <v>3</v>
          </cell>
          <cell r="D1358" t="str">
            <v>Tom Brady</v>
          </cell>
          <cell r="F1358">
            <v>401</v>
          </cell>
          <cell r="G1358">
            <v>637</v>
          </cell>
          <cell r="H1358">
            <v>63</v>
          </cell>
          <cell r="I1358">
            <v>34</v>
          </cell>
          <cell r="J1358">
            <v>8</v>
          </cell>
          <cell r="K1358">
            <v>27</v>
          </cell>
          <cell r="L1358">
            <v>23</v>
          </cell>
          <cell r="M1358">
            <v>32</v>
          </cell>
          <cell r="N1358">
            <v>4</v>
          </cell>
          <cell r="O1358">
            <v>0</v>
          </cell>
          <cell r="P1358">
            <v>340.2</v>
          </cell>
          <cell r="Q1358">
            <v>16</v>
          </cell>
        </row>
        <row r="1359">
          <cell r="B1359">
            <v>2012</v>
          </cell>
          <cell r="C1359">
            <v>4</v>
          </cell>
          <cell r="D1359" t="str">
            <v>Cam Newton</v>
          </cell>
          <cell r="F1359">
            <v>280</v>
          </cell>
          <cell r="G1359">
            <v>485</v>
          </cell>
          <cell r="H1359">
            <v>57.7</v>
          </cell>
          <cell r="I1359">
            <v>19</v>
          </cell>
          <cell r="J1359">
            <v>12</v>
          </cell>
          <cell r="K1359">
            <v>36</v>
          </cell>
          <cell r="L1359">
            <v>127</v>
          </cell>
          <cell r="M1359">
            <v>741</v>
          </cell>
          <cell r="N1359">
            <v>8</v>
          </cell>
          <cell r="O1359">
            <v>3</v>
          </cell>
          <cell r="P1359">
            <v>323.3</v>
          </cell>
          <cell r="Q1359">
            <v>16</v>
          </cell>
        </row>
        <row r="1360">
          <cell r="B1360">
            <v>2012</v>
          </cell>
          <cell r="C1360">
            <v>5</v>
          </cell>
          <cell r="D1360" t="str">
            <v>Robert Griffin III</v>
          </cell>
          <cell r="F1360">
            <v>258</v>
          </cell>
          <cell r="G1360">
            <v>393</v>
          </cell>
          <cell r="H1360">
            <v>65.599999999999994</v>
          </cell>
          <cell r="I1360">
            <v>20</v>
          </cell>
          <cell r="J1360">
            <v>5</v>
          </cell>
          <cell r="K1360">
            <v>30</v>
          </cell>
          <cell r="L1360">
            <v>120</v>
          </cell>
          <cell r="M1360">
            <v>815</v>
          </cell>
          <cell r="N1360">
            <v>7</v>
          </cell>
          <cell r="O1360">
            <v>2</v>
          </cell>
          <cell r="P1360">
            <v>317.39999999999998</v>
          </cell>
          <cell r="Q1360">
            <v>15</v>
          </cell>
        </row>
        <row r="1361">
          <cell r="B1361">
            <v>2012</v>
          </cell>
          <cell r="C1361">
            <v>6</v>
          </cell>
          <cell r="D1361" t="str">
            <v>Matt Ryan</v>
          </cell>
          <cell r="F1361">
            <v>422</v>
          </cell>
          <cell r="G1361">
            <v>615</v>
          </cell>
          <cell r="H1361">
            <v>68.599999999999994</v>
          </cell>
          <cell r="I1361">
            <v>32</v>
          </cell>
          <cell r="J1361">
            <v>14</v>
          </cell>
          <cell r="K1361">
            <v>28</v>
          </cell>
          <cell r="L1361">
            <v>34</v>
          </cell>
          <cell r="M1361">
            <v>141</v>
          </cell>
          <cell r="N1361">
            <v>1</v>
          </cell>
          <cell r="O1361">
            <v>2</v>
          </cell>
          <cell r="P1361">
            <v>305</v>
          </cell>
          <cell r="Q1361">
            <v>16</v>
          </cell>
        </row>
        <row r="1362">
          <cell r="B1362">
            <v>2012</v>
          </cell>
          <cell r="C1362">
            <v>7</v>
          </cell>
          <cell r="D1362" t="str">
            <v>Matthew Stafford</v>
          </cell>
          <cell r="F1362">
            <v>435</v>
          </cell>
          <cell r="G1362">
            <v>727</v>
          </cell>
          <cell r="H1362">
            <v>59.8</v>
          </cell>
          <cell r="I1362">
            <v>20</v>
          </cell>
          <cell r="J1362">
            <v>17</v>
          </cell>
          <cell r="K1362">
            <v>29</v>
          </cell>
          <cell r="L1362">
            <v>35</v>
          </cell>
          <cell r="M1362">
            <v>126</v>
          </cell>
          <cell r="N1362">
            <v>4</v>
          </cell>
          <cell r="O1362">
            <v>4</v>
          </cell>
          <cell r="P1362">
            <v>276</v>
          </cell>
          <cell r="Q1362">
            <v>16</v>
          </cell>
        </row>
        <row r="1363">
          <cell r="B1363">
            <v>2012</v>
          </cell>
          <cell r="C1363">
            <v>8</v>
          </cell>
          <cell r="D1363" t="str">
            <v>Russell Wilson</v>
          </cell>
          <cell r="F1363">
            <v>252</v>
          </cell>
          <cell r="G1363">
            <v>393</v>
          </cell>
          <cell r="H1363">
            <v>64.099999999999994</v>
          </cell>
          <cell r="I1363">
            <v>26</v>
          </cell>
          <cell r="J1363">
            <v>10</v>
          </cell>
          <cell r="K1363">
            <v>33</v>
          </cell>
          <cell r="L1363">
            <v>94</v>
          </cell>
          <cell r="M1363">
            <v>489</v>
          </cell>
          <cell r="N1363">
            <v>4</v>
          </cell>
          <cell r="O1363">
            <v>3</v>
          </cell>
          <cell r="P1363">
            <v>275.39999999999998</v>
          </cell>
          <cell r="Q1363">
            <v>16</v>
          </cell>
        </row>
        <row r="1364">
          <cell r="B1364">
            <v>2012</v>
          </cell>
          <cell r="C1364">
            <v>9</v>
          </cell>
          <cell r="D1364" t="str">
            <v>Andy Dalton</v>
          </cell>
          <cell r="F1364">
            <v>329</v>
          </cell>
          <cell r="G1364">
            <v>528</v>
          </cell>
          <cell r="H1364">
            <v>62.3</v>
          </cell>
          <cell r="I1364">
            <v>27</v>
          </cell>
          <cell r="J1364">
            <v>16</v>
          </cell>
          <cell r="K1364">
            <v>46</v>
          </cell>
          <cell r="L1364">
            <v>47</v>
          </cell>
          <cell r="M1364">
            <v>120</v>
          </cell>
          <cell r="N1364">
            <v>4</v>
          </cell>
          <cell r="O1364">
            <v>4</v>
          </cell>
          <cell r="P1364">
            <v>250.7</v>
          </cell>
          <cell r="Q1364">
            <v>16</v>
          </cell>
        </row>
        <row r="1365">
          <cell r="B1365">
            <v>2012</v>
          </cell>
          <cell r="C1365">
            <v>10</v>
          </cell>
          <cell r="D1365" t="str">
            <v>Joe Flacco</v>
          </cell>
          <cell r="F1365">
            <v>317</v>
          </cell>
          <cell r="G1365">
            <v>531</v>
          </cell>
          <cell r="H1365">
            <v>59.7</v>
          </cell>
          <cell r="I1365">
            <v>22</v>
          </cell>
          <cell r="J1365">
            <v>10</v>
          </cell>
          <cell r="K1365">
            <v>35</v>
          </cell>
          <cell r="L1365">
            <v>32</v>
          </cell>
          <cell r="M1365">
            <v>22</v>
          </cell>
          <cell r="N1365">
            <v>3</v>
          </cell>
          <cell r="O1365">
            <v>4</v>
          </cell>
          <cell r="P1365">
            <v>235.1</v>
          </cell>
          <cell r="Q1365">
            <v>16</v>
          </cell>
        </row>
        <row r="1366">
          <cell r="B1366">
            <v>2012</v>
          </cell>
          <cell r="C1366">
            <v>11</v>
          </cell>
          <cell r="D1366" t="str">
            <v>Ben Roethlisberger</v>
          </cell>
          <cell r="F1366">
            <v>284</v>
          </cell>
          <cell r="G1366">
            <v>449</v>
          </cell>
          <cell r="H1366">
            <v>63.3</v>
          </cell>
          <cell r="I1366">
            <v>26</v>
          </cell>
          <cell r="J1366">
            <v>8</v>
          </cell>
          <cell r="K1366">
            <v>30</v>
          </cell>
          <cell r="L1366">
            <v>26</v>
          </cell>
          <cell r="M1366">
            <v>92</v>
          </cell>
          <cell r="N1366">
            <v>0</v>
          </cell>
          <cell r="O1366">
            <v>3</v>
          </cell>
          <cell r="P1366">
            <v>223.9</v>
          </cell>
          <cell r="Q1366">
            <v>13</v>
          </cell>
        </row>
        <row r="1367">
          <cell r="B1367">
            <v>2012</v>
          </cell>
          <cell r="C1367">
            <v>12</v>
          </cell>
          <cell r="D1367" t="str">
            <v>Matt Schaub</v>
          </cell>
          <cell r="F1367">
            <v>350</v>
          </cell>
          <cell r="G1367">
            <v>544</v>
          </cell>
          <cell r="H1367">
            <v>64.3</v>
          </cell>
          <cell r="I1367">
            <v>22</v>
          </cell>
          <cell r="J1367">
            <v>12</v>
          </cell>
          <cell r="K1367">
            <v>27</v>
          </cell>
          <cell r="L1367">
            <v>21</v>
          </cell>
          <cell r="M1367">
            <v>-9</v>
          </cell>
          <cell r="N1367">
            <v>0</v>
          </cell>
          <cell r="O1367">
            <v>0</v>
          </cell>
          <cell r="P1367">
            <v>223.3</v>
          </cell>
          <cell r="Q1367">
            <v>16</v>
          </cell>
        </row>
        <row r="1368">
          <cell r="B1368">
            <v>2012</v>
          </cell>
          <cell r="C1368">
            <v>13</v>
          </cell>
          <cell r="D1368" t="str">
            <v>Ryan Fitzpatrick</v>
          </cell>
          <cell r="F1368">
            <v>306</v>
          </cell>
          <cell r="G1368">
            <v>505</v>
          </cell>
          <cell r="H1368">
            <v>60.6</v>
          </cell>
          <cell r="I1368">
            <v>24</v>
          </cell>
          <cell r="J1368">
            <v>16</v>
          </cell>
          <cell r="K1368">
            <v>30</v>
          </cell>
          <cell r="L1368">
            <v>48</v>
          </cell>
          <cell r="M1368">
            <v>197</v>
          </cell>
          <cell r="N1368">
            <v>1</v>
          </cell>
          <cell r="O1368">
            <v>6</v>
          </cell>
          <cell r="P1368">
            <v>213.7</v>
          </cell>
          <cell r="Q1368">
            <v>16</v>
          </cell>
        </row>
        <row r="1369">
          <cell r="B1369">
            <v>2012</v>
          </cell>
          <cell r="C1369">
            <v>14</v>
          </cell>
          <cell r="D1369" t="str">
            <v>Ryan Tannehill</v>
          </cell>
          <cell r="F1369">
            <v>282</v>
          </cell>
          <cell r="G1369">
            <v>484</v>
          </cell>
          <cell r="H1369">
            <v>58.3</v>
          </cell>
          <cell r="I1369">
            <v>12</v>
          </cell>
          <cell r="J1369">
            <v>13</v>
          </cell>
          <cell r="K1369">
            <v>35</v>
          </cell>
          <cell r="L1369">
            <v>49</v>
          </cell>
          <cell r="M1369">
            <v>211</v>
          </cell>
          <cell r="N1369">
            <v>2</v>
          </cell>
          <cell r="O1369">
            <v>4</v>
          </cell>
          <cell r="P1369">
            <v>182.7</v>
          </cell>
          <cell r="Q1369">
            <v>16</v>
          </cell>
        </row>
        <row r="1370">
          <cell r="B1370">
            <v>2012</v>
          </cell>
          <cell r="C1370">
            <v>15</v>
          </cell>
          <cell r="D1370" t="str">
            <v>Alex Smith</v>
          </cell>
          <cell r="F1370">
            <v>153</v>
          </cell>
          <cell r="G1370">
            <v>218</v>
          </cell>
          <cell r="H1370">
            <v>70.2</v>
          </cell>
          <cell r="I1370">
            <v>13</v>
          </cell>
          <cell r="J1370">
            <v>5</v>
          </cell>
          <cell r="K1370">
            <v>24</v>
          </cell>
          <cell r="L1370">
            <v>31</v>
          </cell>
          <cell r="M1370">
            <v>132</v>
          </cell>
          <cell r="N1370">
            <v>0</v>
          </cell>
          <cell r="O1370">
            <v>1</v>
          </cell>
          <cell r="P1370">
            <v>122.6</v>
          </cell>
          <cell r="Q1370">
            <v>10</v>
          </cell>
        </row>
        <row r="1371">
          <cell r="B1371">
            <v>2012</v>
          </cell>
          <cell r="C1371">
            <v>16</v>
          </cell>
          <cell r="D1371" t="str">
            <v>Chad Henne</v>
          </cell>
          <cell r="F1371">
            <v>166</v>
          </cell>
          <cell r="G1371">
            <v>308</v>
          </cell>
          <cell r="H1371">
            <v>53.9</v>
          </cell>
          <cell r="I1371">
            <v>11</v>
          </cell>
          <cell r="J1371">
            <v>11</v>
          </cell>
          <cell r="K1371">
            <v>28</v>
          </cell>
          <cell r="L1371">
            <v>19</v>
          </cell>
          <cell r="M1371">
            <v>64</v>
          </cell>
          <cell r="N1371">
            <v>1</v>
          </cell>
          <cell r="O1371">
            <v>2</v>
          </cell>
          <cell r="P1371">
            <v>113.5</v>
          </cell>
          <cell r="Q1371">
            <v>10</v>
          </cell>
        </row>
        <row r="1372">
          <cell r="B1372">
            <v>2012</v>
          </cell>
          <cell r="C1372">
            <v>17</v>
          </cell>
          <cell r="D1372" t="str">
            <v>Blaine Gabbert</v>
          </cell>
          <cell r="F1372">
            <v>162</v>
          </cell>
          <cell r="G1372">
            <v>278</v>
          </cell>
          <cell r="H1372">
            <v>58.3</v>
          </cell>
          <cell r="I1372">
            <v>9</v>
          </cell>
          <cell r="J1372">
            <v>6</v>
          </cell>
          <cell r="K1372">
            <v>22</v>
          </cell>
          <cell r="L1372">
            <v>18</v>
          </cell>
          <cell r="M1372">
            <v>56</v>
          </cell>
          <cell r="N1372">
            <v>0</v>
          </cell>
          <cell r="O1372">
            <v>3</v>
          </cell>
          <cell r="P1372">
            <v>94.1</v>
          </cell>
          <cell r="Q1372">
            <v>10</v>
          </cell>
        </row>
        <row r="1373">
          <cell r="B1373">
            <v>2012</v>
          </cell>
          <cell r="C1373">
            <v>18</v>
          </cell>
          <cell r="D1373" t="str">
            <v>Nick Foles</v>
          </cell>
          <cell r="F1373">
            <v>161</v>
          </cell>
          <cell r="G1373">
            <v>265</v>
          </cell>
          <cell r="H1373">
            <v>60.8</v>
          </cell>
          <cell r="I1373">
            <v>6</v>
          </cell>
          <cell r="J1373">
            <v>5</v>
          </cell>
          <cell r="K1373">
            <v>20</v>
          </cell>
          <cell r="L1373">
            <v>11</v>
          </cell>
          <cell r="M1373">
            <v>42</v>
          </cell>
          <cell r="N1373">
            <v>1</v>
          </cell>
          <cell r="O1373">
            <v>3</v>
          </cell>
          <cell r="P1373">
            <v>86.2</v>
          </cell>
          <cell r="Q1373">
            <v>7</v>
          </cell>
        </row>
        <row r="1374">
          <cell r="B1374">
            <v>2012</v>
          </cell>
          <cell r="C1374">
            <v>19</v>
          </cell>
          <cell r="D1374" t="str">
            <v>Kirk Cousins</v>
          </cell>
          <cell r="F1374">
            <v>33</v>
          </cell>
          <cell r="G1374">
            <v>48</v>
          </cell>
          <cell r="H1374">
            <v>68.8</v>
          </cell>
          <cell r="I1374">
            <v>4</v>
          </cell>
          <cell r="J1374">
            <v>3</v>
          </cell>
          <cell r="K1374">
            <v>3</v>
          </cell>
          <cell r="L1374">
            <v>3</v>
          </cell>
          <cell r="M1374">
            <v>22</v>
          </cell>
          <cell r="N1374">
            <v>0</v>
          </cell>
          <cell r="O1374">
            <v>0</v>
          </cell>
          <cell r="P1374">
            <v>32.799999999999997</v>
          </cell>
          <cell r="Q1374">
            <v>3</v>
          </cell>
        </row>
        <row r="1375">
          <cell r="B1375">
            <v>2012</v>
          </cell>
          <cell r="C1375">
            <v>20</v>
          </cell>
          <cell r="D1375" t="str">
            <v>Tyrod Taylor</v>
          </cell>
          <cell r="F1375">
            <v>17</v>
          </cell>
          <cell r="G1375">
            <v>29</v>
          </cell>
          <cell r="H1375">
            <v>58.6</v>
          </cell>
          <cell r="I1375">
            <v>0</v>
          </cell>
          <cell r="J1375">
            <v>1</v>
          </cell>
          <cell r="K1375">
            <v>3</v>
          </cell>
          <cell r="L1375">
            <v>14</v>
          </cell>
          <cell r="M1375">
            <v>73</v>
          </cell>
          <cell r="N1375">
            <v>1</v>
          </cell>
          <cell r="O1375">
            <v>0</v>
          </cell>
          <cell r="P1375">
            <v>18.5</v>
          </cell>
          <cell r="Q1375">
            <v>7</v>
          </cell>
        </row>
        <row r="1376">
          <cell r="B1376">
            <v>2012</v>
          </cell>
          <cell r="C1376">
            <v>21</v>
          </cell>
          <cell r="D1376" t="str">
            <v>Brian Hoyer</v>
          </cell>
          <cell r="F1376">
            <v>30</v>
          </cell>
          <cell r="G1376">
            <v>53</v>
          </cell>
          <cell r="H1376">
            <v>56.6</v>
          </cell>
          <cell r="I1376">
            <v>1</v>
          </cell>
          <cell r="J1376">
            <v>2</v>
          </cell>
          <cell r="K1376">
            <v>4</v>
          </cell>
          <cell r="L1376">
            <v>1</v>
          </cell>
          <cell r="M1376">
            <v>6</v>
          </cell>
          <cell r="N1376">
            <v>0</v>
          </cell>
          <cell r="O1376">
            <v>0</v>
          </cell>
          <cell r="P1376">
            <v>13.8</v>
          </cell>
          <cell r="Q1376">
            <v>2</v>
          </cell>
        </row>
        <row r="1377">
          <cell r="B1377">
            <v>2012</v>
          </cell>
          <cell r="C1377">
            <v>22</v>
          </cell>
          <cell r="D1377" t="str">
            <v>Matt Moore</v>
          </cell>
          <cell r="F1377">
            <v>11</v>
          </cell>
          <cell r="G1377">
            <v>19</v>
          </cell>
          <cell r="H1377">
            <v>57.9</v>
          </cell>
          <cell r="I1377">
            <v>1</v>
          </cell>
          <cell r="J1377">
            <v>0</v>
          </cell>
          <cell r="K1377">
            <v>2</v>
          </cell>
          <cell r="L1377">
            <v>5</v>
          </cell>
          <cell r="M1377">
            <v>-3</v>
          </cell>
          <cell r="N1377">
            <v>0</v>
          </cell>
          <cell r="O1377">
            <v>0</v>
          </cell>
          <cell r="P1377">
            <v>8.9</v>
          </cell>
          <cell r="Q1377">
            <v>2</v>
          </cell>
        </row>
        <row r="1378">
          <cell r="B1378">
            <v>2012</v>
          </cell>
          <cell r="C1378">
            <v>23</v>
          </cell>
          <cell r="D1378" t="str">
            <v>Colt McCoy</v>
          </cell>
          <cell r="F1378">
            <v>9</v>
          </cell>
          <cell r="G1378">
            <v>17</v>
          </cell>
          <cell r="H1378">
            <v>52.9</v>
          </cell>
          <cell r="I1378">
            <v>1</v>
          </cell>
          <cell r="J1378">
            <v>0</v>
          </cell>
          <cell r="K1378">
            <v>4</v>
          </cell>
          <cell r="L1378">
            <v>4</v>
          </cell>
          <cell r="M1378">
            <v>15</v>
          </cell>
          <cell r="N1378">
            <v>0</v>
          </cell>
          <cell r="O1378">
            <v>0</v>
          </cell>
          <cell r="P1378">
            <v>8.6999999999999993</v>
          </cell>
          <cell r="Q1378">
            <v>3</v>
          </cell>
        </row>
        <row r="1379">
          <cell r="B1379">
            <v>2012</v>
          </cell>
          <cell r="C1379">
            <v>24</v>
          </cell>
          <cell r="D1379" t="str">
            <v>Chase Daniel</v>
          </cell>
          <cell r="F1379">
            <v>1</v>
          </cell>
          <cell r="G1379">
            <v>1</v>
          </cell>
          <cell r="H1379">
            <v>100</v>
          </cell>
          <cell r="I1379">
            <v>0</v>
          </cell>
          <cell r="J1379">
            <v>0</v>
          </cell>
          <cell r="K1379">
            <v>0</v>
          </cell>
          <cell r="L1379">
            <v>3</v>
          </cell>
          <cell r="M1379">
            <v>17</v>
          </cell>
          <cell r="N1379">
            <v>0</v>
          </cell>
          <cell r="O1379">
            <v>0</v>
          </cell>
          <cell r="P1379">
            <v>2.1</v>
          </cell>
          <cell r="Q1379">
            <v>16</v>
          </cell>
        </row>
        <row r="1380">
          <cell r="B1380">
            <v>2012</v>
          </cell>
          <cell r="C1380">
            <v>25</v>
          </cell>
          <cell r="D1380" t="str">
            <v>Feleipe Franks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</row>
        <row r="1381">
          <cell r="B1381">
            <v>2012</v>
          </cell>
          <cell r="C1381">
            <v>26</v>
          </cell>
          <cell r="D1381" t="str">
            <v>Trey Lance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</row>
        <row r="1382">
          <cell r="B1382">
            <v>2012</v>
          </cell>
          <cell r="C1382">
            <v>27</v>
          </cell>
          <cell r="D1382" t="str">
            <v>Ben DiNucci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</row>
        <row r="1383">
          <cell r="B1383">
            <v>2012</v>
          </cell>
          <cell r="C1383">
            <v>28</v>
          </cell>
          <cell r="D1383" t="str">
            <v>Justin Fields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</row>
        <row r="1384">
          <cell r="B1384">
            <v>2012</v>
          </cell>
          <cell r="C1384">
            <v>29</v>
          </cell>
          <cell r="D1384" t="str">
            <v>Kyle Trask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</row>
        <row r="1385">
          <cell r="B1385">
            <v>2012</v>
          </cell>
          <cell r="C1385">
            <v>30</v>
          </cell>
          <cell r="D1385" t="str">
            <v>Sam Ehlinger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</row>
        <row r="1386">
          <cell r="B1386">
            <v>2012</v>
          </cell>
          <cell r="C1386">
            <v>31</v>
          </cell>
          <cell r="D1386" t="str">
            <v>Jalen Morton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</row>
        <row r="1387">
          <cell r="B1387">
            <v>2012</v>
          </cell>
          <cell r="C1387">
            <v>32</v>
          </cell>
          <cell r="D1387" t="str">
            <v>Reid Sinnett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</row>
        <row r="1388">
          <cell r="B1388">
            <v>2012</v>
          </cell>
          <cell r="C1388">
            <v>33</v>
          </cell>
          <cell r="D1388" t="str">
            <v>Mac Jones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</row>
        <row r="1389">
          <cell r="B1389">
            <v>2012</v>
          </cell>
          <cell r="C1389">
            <v>34</v>
          </cell>
          <cell r="D1389" t="str">
            <v>Ian Book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</row>
        <row r="1390">
          <cell r="B1390">
            <v>2012</v>
          </cell>
          <cell r="C1390">
            <v>35</v>
          </cell>
          <cell r="D1390" t="str">
            <v>Trevor Lawrence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</row>
        <row r="1391">
          <cell r="B1391">
            <v>2012</v>
          </cell>
          <cell r="C1391">
            <v>36</v>
          </cell>
          <cell r="D1391" t="str">
            <v>James Morgan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</row>
        <row r="1392">
          <cell r="B1392">
            <v>2012</v>
          </cell>
          <cell r="C1392">
            <v>37</v>
          </cell>
          <cell r="D1392" t="str">
            <v>Chris Streveler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</row>
        <row r="1393">
          <cell r="B1393">
            <v>2012</v>
          </cell>
          <cell r="C1393">
            <v>38</v>
          </cell>
          <cell r="D1393" t="str">
            <v>Brett Rypien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</row>
        <row r="1394">
          <cell r="B1394">
            <v>2012</v>
          </cell>
          <cell r="C1394">
            <v>39</v>
          </cell>
          <cell r="D1394" t="str">
            <v>Dwayne Haskins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</row>
        <row r="1395">
          <cell r="B1395">
            <v>2012</v>
          </cell>
          <cell r="C1395">
            <v>40</v>
          </cell>
          <cell r="D1395" t="str">
            <v>Drew Lock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</row>
        <row r="1396">
          <cell r="B1396">
            <v>2012</v>
          </cell>
          <cell r="C1396">
            <v>41</v>
          </cell>
          <cell r="D1396" t="str">
            <v>Daniel Jones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</row>
        <row r="1397">
          <cell r="B1397">
            <v>2012</v>
          </cell>
          <cell r="C1397">
            <v>42</v>
          </cell>
          <cell r="D1397" t="str">
            <v>Will Grier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</row>
        <row r="1398">
          <cell r="B1398">
            <v>2012</v>
          </cell>
          <cell r="C1398">
            <v>43</v>
          </cell>
          <cell r="D1398" t="str">
            <v>Easton Stick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</row>
        <row r="1399">
          <cell r="B1399">
            <v>2012</v>
          </cell>
          <cell r="C1399">
            <v>44</v>
          </cell>
          <cell r="D1399" t="str">
            <v>Trace McSorley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</row>
        <row r="1400">
          <cell r="B1400">
            <v>2012</v>
          </cell>
          <cell r="C1400">
            <v>45</v>
          </cell>
          <cell r="D1400" t="str">
            <v>Eric Dungey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</row>
        <row r="1401">
          <cell r="B1401">
            <v>2012</v>
          </cell>
          <cell r="C1401">
            <v>46</v>
          </cell>
          <cell r="D1401" t="str">
            <v>Jake Browning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</row>
        <row r="1402">
          <cell r="B1402">
            <v>2012</v>
          </cell>
          <cell r="C1402">
            <v>47</v>
          </cell>
          <cell r="D1402" t="str">
            <v>John Wolford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</row>
        <row r="1403">
          <cell r="B1403">
            <v>2012</v>
          </cell>
          <cell r="C1403">
            <v>48</v>
          </cell>
          <cell r="D1403" t="str">
            <v>Kyler Murray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</row>
        <row r="1404">
          <cell r="B1404">
            <v>2012</v>
          </cell>
          <cell r="C1404">
            <v>49</v>
          </cell>
          <cell r="D1404" t="str">
            <v>Tim Boyle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</row>
        <row r="1405">
          <cell r="B1405">
            <v>2012</v>
          </cell>
          <cell r="C1405">
            <v>50</v>
          </cell>
          <cell r="D1405" t="str">
            <v>Danny Etling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</row>
        <row r="1406">
          <cell r="B1406">
            <v>2012</v>
          </cell>
          <cell r="C1406">
            <v>51</v>
          </cell>
          <cell r="D1406" t="str">
            <v>Alex McGough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</row>
        <row r="1407">
          <cell r="B1407">
            <v>2012</v>
          </cell>
          <cell r="C1407">
            <v>52</v>
          </cell>
          <cell r="D1407" t="str">
            <v>Kurt Benkert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</row>
        <row r="1408">
          <cell r="B1408">
            <v>2012</v>
          </cell>
          <cell r="C1408">
            <v>53</v>
          </cell>
          <cell r="D1408" t="str">
            <v>Kyle Allen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</row>
        <row r="1409">
          <cell r="B1409">
            <v>2012</v>
          </cell>
          <cell r="C1409">
            <v>54</v>
          </cell>
          <cell r="D1409" t="str">
            <v>Gardner Minshew II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</row>
        <row r="1410">
          <cell r="B1410">
            <v>2012</v>
          </cell>
          <cell r="C1410">
            <v>55</v>
          </cell>
          <cell r="D1410" t="str">
            <v>Jarrett Stidham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</row>
        <row r="1411">
          <cell r="B1411">
            <v>2012</v>
          </cell>
          <cell r="C1411">
            <v>56</v>
          </cell>
          <cell r="D1411" t="str">
            <v>Steven Montez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</row>
        <row r="1412">
          <cell r="B1412">
            <v>2012</v>
          </cell>
          <cell r="C1412">
            <v>57</v>
          </cell>
          <cell r="D1412" t="str">
            <v>Shane Buechele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</row>
        <row r="1413">
          <cell r="B1413">
            <v>2012</v>
          </cell>
          <cell r="C1413">
            <v>58</v>
          </cell>
          <cell r="D1413" t="str">
            <v>Kellen Mond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</row>
        <row r="1414">
          <cell r="B1414">
            <v>2012</v>
          </cell>
          <cell r="C1414">
            <v>59</v>
          </cell>
          <cell r="D1414" t="str">
            <v>Bryce Perkins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</row>
        <row r="1415">
          <cell r="B1415">
            <v>2012</v>
          </cell>
          <cell r="C1415">
            <v>60</v>
          </cell>
          <cell r="D1415" t="str">
            <v>Jalen Hurts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</row>
        <row r="1416">
          <cell r="B1416">
            <v>2012</v>
          </cell>
          <cell r="C1416">
            <v>61</v>
          </cell>
          <cell r="D1416" t="str">
            <v>Jake Luton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</row>
        <row r="1417">
          <cell r="B1417">
            <v>2012</v>
          </cell>
          <cell r="C1417">
            <v>62</v>
          </cell>
          <cell r="D1417" t="str">
            <v>Brian Lewerke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</row>
        <row r="1418">
          <cell r="B1418">
            <v>2012</v>
          </cell>
          <cell r="C1418">
            <v>63</v>
          </cell>
          <cell r="D1418" t="str">
            <v>Tyler Huntley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</row>
        <row r="1419">
          <cell r="B1419">
            <v>2012</v>
          </cell>
          <cell r="C1419">
            <v>64</v>
          </cell>
          <cell r="D1419" t="str">
            <v>Jordan Love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</row>
        <row r="1420">
          <cell r="B1420">
            <v>2012</v>
          </cell>
          <cell r="C1420">
            <v>65</v>
          </cell>
          <cell r="D1420" t="str">
            <v>Justin Herbert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</row>
        <row r="1421">
          <cell r="B1421">
            <v>2012</v>
          </cell>
          <cell r="C1421">
            <v>66</v>
          </cell>
          <cell r="D1421" t="str">
            <v>David Blough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</row>
        <row r="1422">
          <cell r="B1422">
            <v>2012</v>
          </cell>
          <cell r="C1422">
            <v>67</v>
          </cell>
          <cell r="D1422" t="str">
            <v>John Lovett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</row>
        <row r="1423">
          <cell r="B1423">
            <v>2012</v>
          </cell>
          <cell r="C1423">
            <v>68</v>
          </cell>
          <cell r="D1423" t="str">
            <v>Jake Fromm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</row>
        <row r="1424">
          <cell r="B1424">
            <v>2012</v>
          </cell>
          <cell r="C1424">
            <v>69</v>
          </cell>
          <cell r="D1424" t="str">
            <v>Joe Burrow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</row>
        <row r="1425">
          <cell r="B1425">
            <v>2012</v>
          </cell>
          <cell r="C1425">
            <v>70</v>
          </cell>
          <cell r="D1425" t="str">
            <v>Tua Tagovailoa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</row>
        <row r="1426">
          <cell r="B1426">
            <v>2012</v>
          </cell>
          <cell r="C1426">
            <v>71</v>
          </cell>
          <cell r="D1426" t="str">
            <v>Jacob Eason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</row>
        <row r="1427">
          <cell r="B1427">
            <v>2012</v>
          </cell>
          <cell r="C1427">
            <v>72</v>
          </cell>
          <cell r="D1427" t="str">
            <v>Ryan Willis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</row>
        <row r="1428">
          <cell r="B1428">
            <v>2012</v>
          </cell>
          <cell r="C1428">
            <v>73</v>
          </cell>
          <cell r="D1428" t="str">
            <v>Mike White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</row>
        <row r="1429">
          <cell r="B1429">
            <v>2012</v>
          </cell>
          <cell r="C1429">
            <v>74</v>
          </cell>
          <cell r="D1429" t="str">
            <v>Zach Wilson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</row>
        <row r="1430">
          <cell r="B1430">
            <v>2012</v>
          </cell>
          <cell r="C1430">
            <v>75</v>
          </cell>
          <cell r="D1430" t="str">
            <v>Davis Mills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</row>
        <row r="1431">
          <cell r="B1431">
            <v>2012</v>
          </cell>
          <cell r="C1431">
            <v>76</v>
          </cell>
          <cell r="D1431" t="str">
            <v>Lamar Jackson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</row>
        <row r="1432">
          <cell r="B1432">
            <v>2012</v>
          </cell>
          <cell r="C1432">
            <v>77</v>
          </cell>
          <cell r="D1432" t="str">
            <v>Christian Ponder</v>
          </cell>
          <cell r="F1432">
            <v>300</v>
          </cell>
          <cell r="G1432">
            <v>483</v>
          </cell>
          <cell r="H1432">
            <v>62.1</v>
          </cell>
          <cell r="I1432">
            <v>18</v>
          </cell>
          <cell r="J1432">
            <v>12</v>
          </cell>
          <cell r="K1432">
            <v>32</v>
          </cell>
          <cell r="L1432">
            <v>60</v>
          </cell>
          <cell r="M1432">
            <v>253</v>
          </cell>
          <cell r="N1432">
            <v>2</v>
          </cell>
          <cell r="O1432">
            <v>5</v>
          </cell>
          <cell r="P1432">
            <v>0</v>
          </cell>
          <cell r="Q1432">
            <v>16</v>
          </cell>
        </row>
        <row r="1433">
          <cell r="B1433">
            <v>2012</v>
          </cell>
          <cell r="C1433">
            <v>78</v>
          </cell>
          <cell r="D1433" t="str">
            <v>Rusty Smith</v>
          </cell>
          <cell r="F1433">
            <v>3</v>
          </cell>
          <cell r="G1433">
            <v>5</v>
          </cell>
          <cell r="H1433">
            <v>60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1</v>
          </cell>
        </row>
        <row r="1434">
          <cell r="B1434">
            <v>2012</v>
          </cell>
          <cell r="C1434">
            <v>79</v>
          </cell>
          <cell r="D1434" t="str">
            <v>Ryan Mallett</v>
          </cell>
          <cell r="F1434">
            <v>1</v>
          </cell>
          <cell r="G1434">
            <v>4</v>
          </cell>
          <cell r="H1434">
            <v>25</v>
          </cell>
          <cell r="I1434">
            <v>0</v>
          </cell>
          <cell r="J1434">
            <v>1</v>
          </cell>
          <cell r="K1434">
            <v>0</v>
          </cell>
          <cell r="L1434">
            <v>8</v>
          </cell>
          <cell r="M1434">
            <v>-9</v>
          </cell>
          <cell r="N1434">
            <v>0</v>
          </cell>
          <cell r="O1434">
            <v>0</v>
          </cell>
          <cell r="P1434">
            <v>0</v>
          </cell>
          <cell r="Q1434">
            <v>4</v>
          </cell>
        </row>
        <row r="1435">
          <cell r="B1435">
            <v>2012</v>
          </cell>
          <cell r="C1435">
            <v>80</v>
          </cell>
          <cell r="D1435" t="str">
            <v>Jake Locker</v>
          </cell>
          <cell r="F1435">
            <v>177</v>
          </cell>
          <cell r="G1435">
            <v>314</v>
          </cell>
          <cell r="H1435">
            <v>56.4</v>
          </cell>
          <cell r="I1435">
            <v>10</v>
          </cell>
          <cell r="J1435">
            <v>11</v>
          </cell>
          <cell r="K1435">
            <v>25</v>
          </cell>
          <cell r="L1435">
            <v>41</v>
          </cell>
          <cell r="M1435">
            <v>291</v>
          </cell>
          <cell r="N1435">
            <v>1</v>
          </cell>
          <cell r="O1435">
            <v>4</v>
          </cell>
          <cell r="P1435">
            <v>0</v>
          </cell>
          <cell r="Q1435">
            <v>11</v>
          </cell>
        </row>
        <row r="1436">
          <cell r="B1436">
            <v>2012</v>
          </cell>
          <cell r="C1436">
            <v>81</v>
          </cell>
          <cell r="D1436" t="str">
            <v>Colin Kaepernick</v>
          </cell>
          <cell r="F1436">
            <v>136</v>
          </cell>
          <cell r="G1436">
            <v>218</v>
          </cell>
          <cell r="H1436">
            <v>62.4</v>
          </cell>
          <cell r="I1436">
            <v>10</v>
          </cell>
          <cell r="J1436">
            <v>3</v>
          </cell>
          <cell r="K1436">
            <v>16</v>
          </cell>
          <cell r="L1436">
            <v>63</v>
          </cell>
          <cell r="M1436">
            <v>415</v>
          </cell>
          <cell r="N1436">
            <v>5</v>
          </cell>
          <cell r="O1436">
            <v>2</v>
          </cell>
          <cell r="P1436">
            <v>0</v>
          </cell>
          <cell r="Q1436">
            <v>13</v>
          </cell>
        </row>
        <row r="1437">
          <cell r="B1437">
            <v>2012</v>
          </cell>
          <cell r="C1437">
            <v>82</v>
          </cell>
          <cell r="D1437" t="str">
            <v>Graham Harrell</v>
          </cell>
          <cell r="F1437">
            <v>2</v>
          </cell>
          <cell r="G1437">
            <v>4</v>
          </cell>
          <cell r="H1437">
            <v>50</v>
          </cell>
          <cell r="I1437">
            <v>0</v>
          </cell>
          <cell r="J1437">
            <v>0</v>
          </cell>
          <cell r="K1437">
            <v>0</v>
          </cell>
          <cell r="L1437">
            <v>4</v>
          </cell>
          <cell r="M1437">
            <v>-3</v>
          </cell>
          <cell r="N1437">
            <v>0</v>
          </cell>
          <cell r="O1437">
            <v>1</v>
          </cell>
          <cell r="P1437">
            <v>0</v>
          </cell>
          <cell r="Q1437">
            <v>4</v>
          </cell>
        </row>
        <row r="1438">
          <cell r="B1438">
            <v>2012</v>
          </cell>
          <cell r="C1438">
            <v>83</v>
          </cell>
          <cell r="D1438" t="str">
            <v>T.J. Yates</v>
          </cell>
          <cell r="F1438">
            <v>4</v>
          </cell>
          <cell r="G1438">
            <v>10</v>
          </cell>
          <cell r="H1438">
            <v>40</v>
          </cell>
          <cell r="I1438">
            <v>0</v>
          </cell>
          <cell r="J1438">
            <v>1</v>
          </cell>
          <cell r="K1438">
            <v>1</v>
          </cell>
          <cell r="L1438">
            <v>2</v>
          </cell>
          <cell r="M1438">
            <v>-1</v>
          </cell>
          <cell r="N1438">
            <v>1</v>
          </cell>
          <cell r="O1438">
            <v>1</v>
          </cell>
          <cell r="P1438">
            <v>0</v>
          </cell>
          <cell r="Q1438">
            <v>4</v>
          </cell>
        </row>
        <row r="1439">
          <cell r="B1439">
            <v>2012</v>
          </cell>
          <cell r="C1439">
            <v>84</v>
          </cell>
          <cell r="D1439" t="str">
            <v>Greg McElroy</v>
          </cell>
          <cell r="F1439">
            <v>19</v>
          </cell>
          <cell r="G1439">
            <v>31</v>
          </cell>
          <cell r="H1439">
            <v>61.3</v>
          </cell>
          <cell r="I1439">
            <v>1</v>
          </cell>
          <cell r="J1439">
            <v>1</v>
          </cell>
          <cell r="K1439">
            <v>11</v>
          </cell>
          <cell r="L1439">
            <v>8</v>
          </cell>
          <cell r="M1439">
            <v>30</v>
          </cell>
          <cell r="N1439">
            <v>0</v>
          </cell>
          <cell r="O1439">
            <v>1</v>
          </cell>
          <cell r="P1439">
            <v>0</v>
          </cell>
          <cell r="Q1439">
            <v>2</v>
          </cell>
        </row>
        <row r="1440">
          <cell r="B1440">
            <v>2012</v>
          </cell>
          <cell r="C1440">
            <v>85</v>
          </cell>
          <cell r="D1440" t="str">
            <v>Ben Chappell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</row>
        <row r="1441">
          <cell r="B1441">
            <v>2012</v>
          </cell>
          <cell r="C1441">
            <v>86</v>
          </cell>
          <cell r="D1441" t="str">
            <v>Adam Froman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</row>
        <row r="1442">
          <cell r="B1442">
            <v>2012</v>
          </cell>
          <cell r="C1442">
            <v>87</v>
          </cell>
          <cell r="D1442" t="str">
            <v>John David Booty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</row>
        <row r="1443">
          <cell r="B1443">
            <v>2012</v>
          </cell>
          <cell r="C1443">
            <v>88</v>
          </cell>
          <cell r="D1443" t="str">
            <v>Erik Ainge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</row>
        <row r="1444">
          <cell r="B1444">
            <v>2012</v>
          </cell>
          <cell r="C1444">
            <v>89</v>
          </cell>
          <cell r="D1444" t="str">
            <v>Hunter Cantwell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</row>
        <row r="1445">
          <cell r="B1445">
            <v>2012</v>
          </cell>
          <cell r="C1445">
            <v>90</v>
          </cell>
          <cell r="D1445" t="str">
            <v>Brandon Weeden</v>
          </cell>
          <cell r="F1445">
            <v>297</v>
          </cell>
          <cell r="G1445">
            <v>517</v>
          </cell>
          <cell r="H1445">
            <v>57.4</v>
          </cell>
          <cell r="I1445">
            <v>14</v>
          </cell>
          <cell r="J1445">
            <v>17</v>
          </cell>
          <cell r="K1445">
            <v>28</v>
          </cell>
          <cell r="L1445">
            <v>27</v>
          </cell>
          <cell r="M1445">
            <v>111</v>
          </cell>
          <cell r="N1445">
            <v>0</v>
          </cell>
          <cell r="O1445">
            <v>1</v>
          </cell>
          <cell r="P1445">
            <v>0</v>
          </cell>
          <cell r="Q1445">
            <v>15</v>
          </cell>
        </row>
        <row r="1446">
          <cell r="B1446">
            <v>2012</v>
          </cell>
          <cell r="C1446">
            <v>91</v>
          </cell>
          <cell r="D1446" t="str">
            <v>Thaddeus Lewis</v>
          </cell>
          <cell r="F1446">
            <v>22</v>
          </cell>
          <cell r="G1446">
            <v>32</v>
          </cell>
          <cell r="H1446">
            <v>68.8</v>
          </cell>
          <cell r="I1446">
            <v>1</v>
          </cell>
          <cell r="J1446">
            <v>1</v>
          </cell>
          <cell r="K1446">
            <v>3</v>
          </cell>
          <cell r="L1446">
            <v>1</v>
          </cell>
          <cell r="M1446">
            <v>3</v>
          </cell>
          <cell r="N1446">
            <v>0</v>
          </cell>
          <cell r="O1446">
            <v>0</v>
          </cell>
          <cell r="P1446">
            <v>0</v>
          </cell>
          <cell r="Q1446">
            <v>1</v>
          </cell>
        </row>
        <row r="1447">
          <cell r="B1447">
            <v>2012</v>
          </cell>
          <cell r="C1447">
            <v>92</v>
          </cell>
          <cell r="D1447" t="str">
            <v>Andrew Luck</v>
          </cell>
          <cell r="F1447">
            <v>339</v>
          </cell>
          <cell r="G1447">
            <v>627</v>
          </cell>
          <cell r="H1447">
            <v>54.1</v>
          </cell>
          <cell r="I1447">
            <v>23</v>
          </cell>
          <cell r="J1447">
            <v>18</v>
          </cell>
          <cell r="K1447">
            <v>41</v>
          </cell>
          <cell r="L1447">
            <v>62</v>
          </cell>
          <cell r="M1447">
            <v>255</v>
          </cell>
          <cell r="N1447">
            <v>5</v>
          </cell>
          <cell r="O1447">
            <v>5</v>
          </cell>
          <cell r="P1447">
            <v>0</v>
          </cell>
          <cell r="Q1447">
            <v>16</v>
          </cell>
        </row>
        <row r="1448">
          <cell r="B1448">
            <v>2012</v>
          </cell>
          <cell r="C1448">
            <v>93</v>
          </cell>
          <cell r="D1448" t="str">
            <v>Brock Osweiler</v>
          </cell>
          <cell r="F1448">
            <v>2</v>
          </cell>
          <cell r="G1448">
            <v>4</v>
          </cell>
          <cell r="H1448">
            <v>50</v>
          </cell>
          <cell r="I1448">
            <v>0</v>
          </cell>
          <cell r="J1448">
            <v>0</v>
          </cell>
          <cell r="K1448">
            <v>0</v>
          </cell>
          <cell r="L1448">
            <v>8</v>
          </cell>
          <cell r="M1448">
            <v>-13</v>
          </cell>
          <cell r="N1448">
            <v>0</v>
          </cell>
          <cell r="O1448">
            <v>0</v>
          </cell>
          <cell r="P1448">
            <v>0</v>
          </cell>
          <cell r="Q1448">
            <v>5</v>
          </cell>
        </row>
        <row r="1449">
          <cell r="B1449">
            <v>2012</v>
          </cell>
          <cell r="C1449">
            <v>94</v>
          </cell>
          <cell r="D1449" t="str">
            <v>Ryan Lindley</v>
          </cell>
          <cell r="F1449">
            <v>89</v>
          </cell>
          <cell r="G1449">
            <v>171</v>
          </cell>
          <cell r="H1449">
            <v>52</v>
          </cell>
          <cell r="I1449">
            <v>0</v>
          </cell>
          <cell r="J1449">
            <v>7</v>
          </cell>
          <cell r="K1449">
            <v>12</v>
          </cell>
          <cell r="L1449">
            <v>4</v>
          </cell>
          <cell r="M1449">
            <v>7</v>
          </cell>
          <cell r="N1449">
            <v>0</v>
          </cell>
          <cell r="O1449">
            <v>2</v>
          </cell>
          <cell r="P1449">
            <v>0</v>
          </cell>
          <cell r="Q1449">
            <v>6</v>
          </cell>
        </row>
        <row r="1450">
          <cell r="B1450">
            <v>2012</v>
          </cell>
          <cell r="C1450">
            <v>95</v>
          </cell>
          <cell r="D1450" t="str">
            <v>Case Keenum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>
            <v>2012</v>
          </cell>
          <cell r="C1451">
            <v>96</v>
          </cell>
          <cell r="D1451" t="str">
            <v>Eli Manning</v>
          </cell>
          <cell r="F1451">
            <v>321</v>
          </cell>
          <cell r="G1451">
            <v>536</v>
          </cell>
          <cell r="H1451">
            <v>59.9</v>
          </cell>
          <cell r="I1451">
            <v>26</v>
          </cell>
          <cell r="J1451">
            <v>15</v>
          </cell>
          <cell r="K1451">
            <v>19</v>
          </cell>
          <cell r="L1451">
            <v>20</v>
          </cell>
          <cell r="M1451">
            <v>30</v>
          </cell>
          <cell r="N1451">
            <v>0</v>
          </cell>
          <cell r="O1451">
            <v>1</v>
          </cell>
          <cell r="P1451">
            <v>0</v>
          </cell>
          <cell r="Q1451">
            <v>16</v>
          </cell>
        </row>
        <row r="1452">
          <cell r="B1452">
            <v>2012</v>
          </cell>
          <cell r="C1452">
            <v>97</v>
          </cell>
          <cell r="D1452" t="str">
            <v>David Carr</v>
          </cell>
          <cell r="F1452">
            <v>2</v>
          </cell>
          <cell r="G1452">
            <v>3</v>
          </cell>
          <cell r="H1452">
            <v>66.7</v>
          </cell>
          <cell r="I1452">
            <v>0</v>
          </cell>
          <cell r="J1452">
            <v>0</v>
          </cell>
          <cell r="K1452">
            <v>1</v>
          </cell>
          <cell r="L1452">
            <v>3</v>
          </cell>
          <cell r="M1452">
            <v>-3</v>
          </cell>
          <cell r="N1452">
            <v>0</v>
          </cell>
          <cell r="O1452">
            <v>0</v>
          </cell>
          <cell r="P1452">
            <v>0</v>
          </cell>
          <cell r="Q1452">
            <v>2</v>
          </cell>
        </row>
        <row r="1453">
          <cell r="B1453">
            <v>2012</v>
          </cell>
          <cell r="C1453">
            <v>98</v>
          </cell>
          <cell r="D1453" t="str">
            <v>Derek Anderson</v>
          </cell>
          <cell r="F1453">
            <v>4</v>
          </cell>
          <cell r="G1453">
            <v>4</v>
          </cell>
          <cell r="H1453">
            <v>100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2</v>
          </cell>
        </row>
        <row r="1454">
          <cell r="B1454">
            <v>2012</v>
          </cell>
          <cell r="C1454">
            <v>99</v>
          </cell>
          <cell r="D1454" t="str">
            <v>Jason Campbell</v>
          </cell>
          <cell r="F1454">
            <v>32</v>
          </cell>
          <cell r="G1454">
            <v>51</v>
          </cell>
          <cell r="H1454">
            <v>62.7</v>
          </cell>
          <cell r="I1454">
            <v>2</v>
          </cell>
          <cell r="J1454">
            <v>2</v>
          </cell>
          <cell r="K1454">
            <v>6</v>
          </cell>
          <cell r="L1454">
            <v>7</v>
          </cell>
          <cell r="M1454">
            <v>28</v>
          </cell>
          <cell r="N1454">
            <v>0</v>
          </cell>
          <cell r="O1454">
            <v>0</v>
          </cell>
          <cell r="P1454">
            <v>0</v>
          </cell>
          <cell r="Q1454">
            <v>6</v>
          </cell>
        </row>
        <row r="1455">
          <cell r="B1455">
            <v>2012</v>
          </cell>
          <cell r="C1455">
            <v>100</v>
          </cell>
          <cell r="D1455" t="str">
            <v>Jay Cutler</v>
          </cell>
          <cell r="F1455">
            <v>255</v>
          </cell>
          <cell r="G1455">
            <v>434</v>
          </cell>
          <cell r="H1455">
            <v>58.8</v>
          </cell>
          <cell r="I1455">
            <v>19</v>
          </cell>
          <cell r="J1455">
            <v>14</v>
          </cell>
          <cell r="K1455">
            <v>38</v>
          </cell>
          <cell r="L1455">
            <v>41</v>
          </cell>
          <cell r="M1455">
            <v>233</v>
          </cell>
          <cell r="N1455">
            <v>0</v>
          </cell>
          <cell r="O1455">
            <v>4</v>
          </cell>
          <cell r="P1455">
            <v>0</v>
          </cell>
          <cell r="Q1455">
            <v>15</v>
          </cell>
        </row>
        <row r="1456">
          <cell r="B1456">
            <v>2012</v>
          </cell>
          <cell r="C1456">
            <v>101</v>
          </cell>
          <cell r="D1456" t="str">
            <v>Brady Quinn</v>
          </cell>
          <cell r="F1456">
            <v>112</v>
          </cell>
          <cell r="G1456">
            <v>197</v>
          </cell>
          <cell r="H1456">
            <v>56.9</v>
          </cell>
          <cell r="I1456">
            <v>2</v>
          </cell>
          <cell r="J1456">
            <v>8</v>
          </cell>
          <cell r="K1456">
            <v>21</v>
          </cell>
          <cell r="L1456">
            <v>19</v>
          </cell>
          <cell r="M1456">
            <v>66</v>
          </cell>
          <cell r="N1456">
            <v>0</v>
          </cell>
          <cell r="O1456">
            <v>0</v>
          </cell>
          <cell r="P1456">
            <v>0</v>
          </cell>
          <cell r="Q1456">
            <v>10</v>
          </cell>
        </row>
        <row r="1457">
          <cell r="B1457">
            <v>2012</v>
          </cell>
          <cell r="C1457">
            <v>102</v>
          </cell>
          <cell r="D1457" t="str">
            <v>Brett Ratliff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</row>
        <row r="1458">
          <cell r="B1458">
            <v>2012</v>
          </cell>
          <cell r="C1458">
            <v>103</v>
          </cell>
          <cell r="D1458" t="str">
            <v>Brian Brohm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</row>
        <row r="1459">
          <cell r="B1459">
            <v>2012</v>
          </cell>
          <cell r="C1459">
            <v>104</v>
          </cell>
          <cell r="D1459" t="str">
            <v>Bruce Gradkowski</v>
          </cell>
          <cell r="F1459">
            <v>5</v>
          </cell>
          <cell r="G1459">
            <v>11</v>
          </cell>
          <cell r="H1459">
            <v>45.5</v>
          </cell>
          <cell r="I1459">
            <v>0</v>
          </cell>
          <cell r="J1459">
            <v>0</v>
          </cell>
          <cell r="K1459">
            <v>0</v>
          </cell>
          <cell r="L1459">
            <v>4</v>
          </cell>
          <cell r="M1459">
            <v>-2</v>
          </cell>
          <cell r="N1459">
            <v>0</v>
          </cell>
          <cell r="O1459">
            <v>0</v>
          </cell>
          <cell r="P1459">
            <v>0</v>
          </cell>
          <cell r="Q1459">
            <v>2</v>
          </cell>
        </row>
        <row r="1460">
          <cell r="B1460">
            <v>2012</v>
          </cell>
          <cell r="C1460">
            <v>105</v>
          </cell>
          <cell r="D1460" t="str">
            <v>Carson Palmer</v>
          </cell>
          <cell r="F1460">
            <v>345</v>
          </cell>
          <cell r="G1460">
            <v>565</v>
          </cell>
          <cell r="H1460">
            <v>61.1</v>
          </cell>
          <cell r="I1460">
            <v>22</v>
          </cell>
          <cell r="J1460">
            <v>14</v>
          </cell>
          <cell r="K1460">
            <v>26</v>
          </cell>
          <cell r="L1460">
            <v>18</v>
          </cell>
          <cell r="M1460">
            <v>36</v>
          </cell>
          <cell r="N1460">
            <v>1</v>
          </cell>
          <cell r="O1460">
            <v>5</v>
          </cell>
          <cell r="P1460">
            <v>0</v>
          </cell>
          <cell r="Q1460">
            <v>15</v>
          </cell>
        </row>
        <row r="1461">
          <cell r="B1461">
            <v>2012</v>
          </cell>
          <cell r="C1461">
            <v>106</v>
          </cell>
          <cell r="D1461" t="str">
            <v>Josh Freeman</v>
          </cell>
          <cell r="F1461">
            <v>306</v>
          </cell>
          <cell r="G1461">
            <v>558</v>
          </cell>
          <cell r="H1461">
            <v>54.8</v>
          </cell>
          <cell r="I1461">
            <v>27</v>
          </cell>
          <cell r="J1461">
            <v>17</v>
          </cell>
          <cell r="K1461">
            <v>26</v>
          </cell>
          <cell r="L1461">
            <v>39</v>
          </cell>
          <cell r="M1461">
            <v>139</v>
          </cell>
          <cell r="N1461">
            <v>0</v>
          </cell>
          <cell r="O1461">
            <v>2</v>
          </cell>
          <cell r="P1461">
            <v>0</v>
          </cell>
          <cell r="Q1461">
            <v>16</v>
          </cell>
        </row>
        <row r="1462">
          <cell r="B1462">
            <v>2012</v>
          </cell>
          <cell r="C1462">
            <v>107</v>
          </cell>
          <cell r="D1462" t="str">
            <v>Keith Null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</row>
        <row r="1463">
          <cell r="B1463">
            <v>2012</v>
          </cell>
          <cell r="C1463">
            <v>108</v>
          </cell>
          <cell r="D1463" t="str">
            <v>Dan Orlovsky</v>
          </cell>
          <cell r="F1463">
            <v>4</v>
          </cell>
          <cell r="G1463">
            <v>7</v>
          </cell>
          <cell r="H1463">
            <v>57.1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1</v>
          </cell>
        </row>
        <row r="1464">
          <cell r="B1464">
            <v>2012</v>
          </cell>
          <cell r="C1464">
            <v>109</v>
          </cell>
          <cell r="D1464" t="str">
            <v>Tyler Thigpen</v>
          </cell>
          <cell r="F1464">
            <v>3</v>
          </cell>
          <cell r="G1464">
            <v>5</v>
          </cell>
          <cell r="H1464">
            <v>60</v>
          </cell>
          <cell r="I1464">
            <v>0</v>
          </cell>
          <cell r="J1464">
            <v>0</v>
          </cell>
          <cell r="K1464">
            <v>0</v>
          </cell>
          <cell r="L1464">
            <v>1</v>
          </cell>
          <cell r="M1464">
            <v>-1</v>
          </cell>
          <cell r="N1464">
            <v>0</v>
          </cell>
          <cell r="O1464">
            <v>0</v>
          </cell>
          <cell r="P1464">
            <v>0</v>
          </cell>
          <cell r="Q1464">
            <v>4</v>
          </cell>
        </row>
        <row r="1465">
          <cell r="B1465">
            <v>2012</v>
          </cell>
          <cell r="C1465">
            <v>110</v>
          </cell>
          <cell r="D1465" t="str">
            <v>Shaun Hill</v>
          </cell>
          <cell r="F1465">
            <v>10</v>
          </cell>
          <cell r="G1465">
            <v>13</v>
          </cell>
          <cell r="H1465">
            <v>76.900000000000006</v>
          </cell>
          <cell r="I1465">
            <v>2</v>
          </cell>
          <cell r="J1465">
            <v>0</v>
          </cell>
          <cell r="K1465">
            <v>0</v>
          </cell>
          <cell r="L1465">
            <v>1</v>
          </cell>
          <cell r="M1465">
            <v>-1</v>
          </cell>
          <cell r="N1465">
            <v>0</v>
          </cell>
          <cell r="O1465">
            <v>0</v>
          </cell>
          <cell r="P1465">
            <v>0</v>
          </cell>
          <cell r="Q1465">
            <v>1</v>
          </cell>
        </row>
        <row r="1466">
          <cell r="B1466">
            <v>2012</v>
          </cell>
          <cell r="C1466">
            <v>111</v>
          </cell>
          <cell r="D1466" t="str">
            <v>Tony Romo</v>
          </cell>
          <cell r="F1466">
            <v>425</v>
          </cell>
          <cell r="G1466">
            <v>648</v>
          </cell>
          <cell r="H1466">
            <v>65.599999999999994</v>
          </cell>
          <cell r="I1466">
            <v>28</v>
          </cell>
          <cell r="J1466">
            <v>19</v>
          </cell>
          <cell r="K1466">
            <v>36</v>
          </cell>
          <cell r="L1466">
            <v>30</v>
          </cell>
          <cell r="M1466">
            <v>49</v>
          </cell>
          <cell r="N1466">
            <v>1</v>
          </cell>
          <cell r="O1466">
            <v>3</v>
          </cell>
          <cell r="P1466">
            <v>0</v>
          </cell>
          <cell r="Q1466">
            <v>16</v>
          </cell>
        </row>
        <row r="1467">
          <cell r="B1467">
            <v>2012</v>
          </cell>
          <cell r="C1467">
            <v>112</v>
          </cell>
          <cell r="D1467" t="str">
            <v>Trent Edwards</v>
          </cell>
          <cell r="F1467">
            <v>2</v>
          </cell>
          <cell r="G1467">
            <v>2</v>
          </cell>
          <cell r="H1467">
            <v>100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1</v>
          </cell>
        </row>
        <row r="1468">
          <cell r="B1468">
            <v>2012</v>
          </cell>
          <cell r="C1468">
            <v>113</v>
          </cell>
          <cell r="D1468" t="str">
            <v>Sam Bradford</v>
          </cell>
          <cell r="F1468">
            <v>328</v>
          </cell>
          <cell r="G1468">
            <v>551</v>
          </cell>
          <cell r="H1468">
            <v>59.5</v>
          </cell>
          <cell r="I1468">
            <v>21</v>
          </cell>
          <cell r="J1468">
            <v>13</v>
          </cell>
          <cell r="K1468">
            <v>35</v>
          </cell>
          <cell r="L1468">
            <v>36</v>
          </cell>
          <cell r="M1468">
            <v>124</v>
          </cell>
          <cell r="N1468">
            <v>1</v>
          </cell>
          <cell r="O1468">
            <v>1</v>
          </cell>
          <cell r="P1468">
            <v>0</v>
          </cell>
          <cell r="Q1468">
            <v>16</v>
          </cell>
        </row>
        <row r="1469">
          <cell r="B1469">
            <v>2012</v>
          </cell>
          <cell r="C1469">
            <v>114</v>
          </cell>
          <cell r="D1469" t="str">
            <v>John Skelton</v>
          </cell>
          <cell r="F1469">
            <v>109</v>
          </cell>
          <cell r="G1469">
            <v>201</v>
          </cell>
          <cell r="H1469">
            <v>54.2</v>
          </cell>
          <cell r="I1469">
            <v>2</v>
          </cell>
          <cell r="J1469">
            <v>9</v>
          </cell>
          <cell r="K1469">
            <v>15</v>
          </cell>
          <cell r="L1469">
            <v>4</v>
          </cell>
          <cell r="M1469">
            <v>5</v>
          </cell>
          <cell r="N1469">
            <v>0</v>
          </cell>
          <cell r="O1469">
            <v>2</v>
          </cell>
          <cell r="P1469">
            <v>0</v>
          </cell>
          <cell r="Q1469">
            <v>7</v>
          </cell>
        </row>
        <row r="1470">
          <cell r="B1470">
            <v>2012</v>
          </cell>
          <cell r="C1470">
            <v>115</v>
          </cell>
          <cell r="D1470" t="str">
            <v>Philip Rivers</v>
          </cell>
          <cell r="F1470">
            <v>338</v>
          </cell>
          <cell r="G1470">
            <v>527</v>
          </cell>
          <cell r="H1470">
            <v>64.099999999999994</v>
          </cell>
          <cell r="I1470">
            <v>26</v>
          </cell>
          <cell r="J1470">
            <v>15</v>
          </cell>
          <cell r="K1470">
            <v>49</v>
          </cell>
          <cell r="L1470">
            <v>27</v>
          </cell>
          <cell r="M1470">
            <v>40</v>
          </cell>
          <cell r="N1470">
            <v>0</v>
          </cell>
          <cell r="O1470">
            <v>7</v>
          </cell>
          <cell r="P1470">
            <v>0</v>
          </cell>
          <cell r="Q1470">
            <v>16</v>
          </cell>
        </row>
        <row r="1471">
          <cell r="B1471">
            <v>2012</v>
          </cell>
          <cell r="C1471">
            <v>116</v>
          </cell>
          <cell r="D1471" t="str">
            <v>Kellen Clemens</v>
          </cell>
          <cell r="F1471">
            <v>1</v>
          </cell>
          <cell r="G1471">
            <v>3</v>
          </cell>
          <cell r="H1471">
            <v>33.299999999999997</v>
          </cell>
          <cell r="I1471">
            <v>0</v>
          </cell>
          <cell r="J1471">
            <v>1</v>
          </cell>
          <cell r="K1471">
            <v>0</v>
          </cell>
          <cell r="L1471">
            <v>2</v>
          </cell>
          <cell r="M1471">
            <v>5</v>
          </cell>
          <cell r="N1471">
            <v>0</v>
          </cell>
          <cell r="O1471">
            <v>0</v>
          </cell>
          <cell r="P1471">
            <v>0</v>
          </cell>
          <cell r="Q1471">
            <v>2</v>
          </cell>
        </row>
        <row r="1472">
          <cell r="B1472">
            <v>2012</v>
          </cell>
          <cell r="C1472">
            <v>117</v>
          </cell>
          <cell r="D1472" t="str">
            <v>Kevin Kolb</v>
          </cell>
          <cell r="F1472">
            <v>109</v>
          </cell>
          <cell r="G1472">
            <v>183</v>
          </cell>
          <cell r="H1472">
            <v>59.6</v>
          </cell>
          <cell r="I1472">
            <v>8</v>
          </cell>
          <cell r="J1472">
            <v>3</v>
          </cell>
          <cell r="K1472">
            <v>27</v>
          </cell>
          <cell r="L1472">
            <v>16</v>
          </cell>
          <cell r="M1472">
            <v>100</v>
          </cell>
          <cell r="N1472">
            <v>1</v>
          </cell>
          <cell r="O1472">
            <v>2</v>
          </cell>
          <cell r="P1472">
            <v>0</v>
          </cell>
          <cell r="Q1472">
            <v>6</v>
          </cell>
        </row>
        <row r="1473">
          <cell r="B1473">
            <v>2012</v>
          </cell>
          <cell r="C1473">
            <v>118</v>
          </cell>
          <cell r="D1473" t="str">
            <v>Kyle Orton</v>
          </cell>
          <cell r="F1473">
            <v>9</v>
          </cell>
          <cell r="G1473">
            <v>10</v>
          </cell>
          <cell r="H1473">
            <v>90</v>
          </cell>
          <cell r="I1473">
            <v>1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1</v>
          </cell>
        </row>
        <row r="1474">
          <cell r="B1474">
            <v>2012</v>
          </cell>
          <cell r="C1474">
            <v>119</v>
          </cell>
          <cell r="D1474" t="str">
            <v>Mark Sanchez</v>
          </cell>
          <cell r="F1474">
            <v>246</v>
          </cell>
          <cell r="G1474">
            <v>453</v>
          </cell>
          <cell r="H1474">
            <v>54.3</v>
          </cell>
          <cell r="I1474">
            <v>13</v>
          </cell>
          <cell r="J1474">
            <v>18</v>
          </cell>
          <cell r="K1474">
            <v>34</v>
          </cell>
          <cell r="L1474">
            <v>22</v>
          </cell>
          <cell r="M1474">
            <v>28</v>
          </cell>
          <cell r="N1474">
            <v>0</v>
          </cell>
          <cell r="O1474">
            <v>8</v>
          </cell>
          <cell r="P1474">
            <v>0</v>
          </cell>
          <cell r="Q1474">
            <v>15</v>
          </cell>
        </row>
        <row r="1475">
          <cell r="B1475">
            <v>2012</v>
          </cell>
          <cell r="C1475">
            <v>120</v>
          </cell>
          <cell r="D1475" t="str">
            <v>Peyton Manning</v>
          </cell>
          <cell r="F1475">
            <v>400</v>
          </cell>
          <cell r="G1475">
            <v>583</v>
          </cell>
          <cell r="H1475">
            <v>68.599999999999994</v>
          </cell>
          <cell r="I1475">
            <v>37</v>
          </cell>
          <cell r="J1475">
            <v>11</v>
          </cell>
          <cell r="K1475">
            <v>21</v>
          </cell>
          <cell r="L1475">
            <v>23</v>
          </cell>
          <cell r="M1475">
            <v>6</v>
          </cell>
          <cell r="N1475">
            <v>0</v>
          </cell>
          <cell r="O1475">
            <v>2</v>
          </cell>
          <cell r="P1475">
            <v>0</v>
          </cell>
          <cell r="Q1475">
            <v>16</v>
          </cell>
        </row>
        <row r="1476">
          <cell r="B1476">
            <v>2012</v>
          </cell>
          <cell r="C1476">
            <v>121</v>
          </cell>
          <cell r="D1476" t="str">
            <v>Matt Cassel</v>
          </cell>
          <cell r="F1476">
            <v>161</v>
          </cell>
          <cell r="G1476">
            <v>277</v>
          </cell>
          <cell r="H1476">
            <v>58.1</v>
          </cell>
          <cell r="I1476">
            <v>6</v>
          </cell>
          <cell r="J1476">
            <v>12</v>
          </cell>
          <cell r="K1476">
            <v>19</v>
          </cell>
          <cell r="L1476">
            <v>27</v>
          </cell>
          <cell r="M1476">
            <v>145</v>
          </cell>
          <cell r="N1476">
            <v>1</v>
          </cell>
          <cell r="O1476">
            <v>7</v>
          </cell>
          <cell r="P1476">
            <v>0</v>
          </cell>
          <cell r="Q1476">
            <v>9</v>
          </cell>
        </row>
        <row r="1477">
          <cell r="B1477">
            <v>2012</v>
          </cell>
          <cell r="C1477">
            <v>122</v>
          </cell>
          <cell r="D1477" t="str">
            <v>Matt Flynn</v>
          </cell>
          <cell r="F1477">
            <v>5</v>
          </cell>
          <cell r="G1477">
            <v>9</v>
          </cell>
          <cell r="H1477">
            <v>55.6</v>
          </cell>
          <cell r="I1477">
            <v>0</v>
          </cell>
          <cell r="J1477">
            <v>0</v>
          </cell>
          <cell r="K1477">
            <v>0</v>
          </cell>
          <cell r="L1477">
            <v>4</v>
          </cell>
          <cell r="M1477">
            <v>-5</v>
          </cell>
          <cell r="N1477">
            <v>0</v>
          </cell>
          <cell r="O1477">
            <v>0</v>
          </cell>
          <cell r="P1477">
            <v>0</v>
          </cell>
          <cell r="Q1477">
            <v>3</v>
          </cell>
        </row>
        <row r="1478">
          <cell r="B1478">
            <v>2012</v>
          </cell>
          <cell r="C1478">
            <v>123</v>
          </cell>
          <cell r="D1478" t="str">
            <v>Matt Hasselbeck</v>
          </cell>
          <cell r="F1478">
            <v>138</v>
          </cell>
          <cell r="G1478">
            <v>221</v>
          </cell>
          <cell r="H1478">
            <v>62.4</v>
          </cell>
          <cell r="I1478">
            <v>7</v>
          </cell>
          <cell r="J1478">
            <v>5</v>
          </cell>
          <cell r="K1478">
            <v>14</v>
          </cell>
          <cell r="L1478">
            <v>13</v>
          </cell>
          <cell r="M1478">
            <v>38</v>
          </cell>
          <cell r="N1478">
            <v>0</v>
          </cell>
          <cell r="O1478">
            <v>1</v>
          </cell>
          <cell r="P1478">
            <v>0</v>
          </cell>
          <cell r="Q1478">
            <v>8</v>
          </cell>
        </row>
        <row r="1479">
          <cell r="B1479">
            <v>2012</v>
          </cell>
          <cell r="C1479">
            <v>124</v>
          </cell>
          <cell r="D1479" t="str">
            <v>Michael Vick</v>
          </cell>
          <cell r="F1479">
            <v>204</v>
          </cell>
          <cell r="G1479">
            <v>351</v>
          </cell>
          <cell r="H1479">
            <v>58.1</v>
          </cell>
          <cell r="I1479">
            <v>12</v>
          </cell>
          <cell r="J1479">
            <v>10</v>
          </cell>
          <cell r="K1479">
            <v>28</v>
          </cell>
          <cell r="L1479">
            <v>62</v>
          </cell>
          <cell r="M1479">
            <v>332</v>
          </cell>
          <cell r="N1479">
            <v>1</v>
          </cell>
          <cell r="O1479">
            <v>5</v>
          </cell>
          <cell r="P1479">
            <v>0</v>
          </cell>
          <cell r="Q1479">
            <v>10</v>
          </cell>
        </row>
        <row r="1480">
          <cell r="B1480">
            <v>2012</v>
          </cell>
          <cell r="C1480">
            <v>125</v>
          </cell>
          <cell r="D1480" t="str">
            <v>Mitchell Trubisky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</row>
        <row r="1481">
          <cell r="B1481">
            <v>2012</v>
          </cell>
          <cell r="C1481">
            <v>126</v>
          </cell>
          <cell r="D1481" t="str">
            <v>Nate Sudfeld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0</v>
          </cell>
        </row>
        <row r="1482">
          <cell r="B1482">
            <v>2012</v>
          </cell>
          <cell r="C1482">
            <v>127</v>
          </cell>
          <cell r="D1482" t="str">
            <v>Kevin Hogan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0</v>
          </cell>
        </row>
        <row r="1483">
          <cell r="B1483">
            <v>2012</v>
          </cell>
          <cell r="C1483">
            <v>128</v>
          </cell>
          <cell r="D1483" t="str">
            <v>Deshaun Watson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</row>
        <row r="1484">
          <cell r="B1484">
            <v>2012</v>
          </cell>
          <cell r="C1484">
            <v>129</v>
          </cell>
          <cell r="D1484" t="str">
            <v>Jared Goff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</row>
        <row r="1485">
          <cell r="B1485">
            <v>2012</v>
          </cell>
          <cell r="C1485">
            <v>130</v>
          </cell>
          <cell r="D1485" t="str">
            <v>Carson Wentz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</row>
        <row r="1486">
          <cell r="B1486">
            <v>2012</v>
          </cell>
          <cell r="C1486">
            <v>131</v>
          </cell>
          <cell r="D1486" t="str">
            <v>Dak Prescott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</row>
        <row r="1487">
          <cell r="B1487">
            <v>2012</v>
          </cell>
          <cell r="C1487">
            <v>132</v>
          </cell>
          <cell r="D1487" t="str">
            <v>Jeff Driskel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</row>
        <row r="1488">
          <cell r="B1488">
            <v>2012</v>
          </cell>
          <cell r="C1488">
            <v>133</v>
          </cell>
          <cell r="D1488" t="str">
            <v>Jacoby Brissett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</row>
        <row r="1489">
          <cell r="B1489">
            <v>2012</v>
          </cell>
          <cell r="C1489">
            <v>134</v>
          </cell>
          <cell r="D1489" t="str">
            <v>Brandon Allen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0</v>
          </cell>
        </row>
        <row r="1490">
          <cell r="B1490">
            <v>2012</v>
          </cell>
          <cell r="C1490">
            <v>135</v>
          </cell>
          <cell r="D1490" t="str">
            <v>Patrick Mahomes II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</row>
        <row r="1491">
          <cell r="B1491">
            <v>2012</v>
          </cell>
          <cell r="C1491">
            <v>136</v>
          </cell>
          <cell r="D1491" t="str">
            <v>Josh Rosen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</row>
        <row r="1492">
          <cell r="B1492">
            <v>2012</v>
          </cell>
          <cell r="C1492">
            <v>137</v>
          </cell>
          <cell r="D1492" t="str">
            <v>Taysom Hill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</row>
        <row r="1493">
          <cell r="B1493">
            <v>2012</v>
          </cell>
          <cell r="C1493">
            <v>138</v>
          </cell>
          <cell r="D1493" t="str">
            <v>Mason Rudolph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</row>
        <row r="1494">
          <cell r="B1494">
            <v>2012</v>
          </cell>
          <cell r="C1494">
            <v>139</v>
          </cell>
          <cell r="D1494" t="str">
            <v>Sam Darnold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</row>
        <row r="1495">
          <cell r="B1495">
            <v>2012</v>
          </cell>
          <cell r="C1495">
            <v>140</v>
          </cell>
          <cell r="D1495" t="str">
            <v>Baker Mayfield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</row>
        <row r="1496">
          <cell r="B1496">
            <v>2012</v>
          </cell>
          <cell r="C1496">
            <v>141</v>
          </cell>
          <cell r="D1496" t="str">
            <v>Logan Woodside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</row>
        <row r="1497">
          <cell r="B1497">
            <v>2012</v>
          </cell>
          <cell r="C1497">
            <v>142</v>
          </cell>
          <cell r="D1497" t="str">
            <v>Josh Allen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</row>
        <row r="1498">
          <cell r="B1498">
            <v>2012</v>
          </cell>
          <cell r="C1498">
            <v>143</v>
          </cell>
          <cell r="D1498" t="str">
            <v>Cooper Rush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</row>
        <row r="1499">
          <cell r="B1499">
            <v>2012</v>
          </cell>
          <cell r="C1499">
            <v>144</v>
          </cell>
          <cell r="D1499" t="str">
            <v>Joshua Dobbs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</row>
        <row r="1500">
          <cell r="B1500">
            <v>2012</v>
          </cell>
          <cell r="C1500">
            <v>145</v>
          </cell>
          <cell r="D1500" t="str">
            <v>Davis Webb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</row>
        <row r="1501">
          <cell r="B1501">
            <v>2012</v>
          </cell>
          <cell r="C1501">
            <v>146</v>
          </cell>
          <cell r="D1501" t="str">
            <v>C.J. Beathard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</row>
        <row r="1502">
          <cell r="B1502">
            <v>2012</v>
          </cell>
          <cell r="C1502">
            <v>147</v>
          </cell>
          <cell r="D1502" t="str">
            <v>Nick Mullens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</row>
        <row r="1503">
          <cell r="B1503">
            <v>2012</v>
          </cell>
          <cell r="C1503">
            <v>148</v>
          </cell>
          <cell r="D1503" t="str">
            <v>P.J. Walker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</row>
        <row r="1504">
          <cell r="B1504">
            <v>2012</v>
          </cell>
          <cell r="C1504">
            <v>149</v>
          </cell>
          <cell r="D1504" t="str">
            <v>David Fales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0</v>
          </cell>
        </row>
        <row r="1505">
          <cell r="B1505">
            <v>2012</v>
          </cell>
          <cell r="C1505">
            <v>150</v>
          </cell>
          <cell r="D1505" t="str">
            <v>Garrett Gilbert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</row>
        <row r="1506">
          <cell r="B1506">
            <v>2012</v>
          </cell>
          <cell r="C1506">
            <v>151</v>
          </cell>
          <cell r="D1506" t="str">
            <v>Jimmy Garoppolo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</row>
        <row r="1507">
          <cell r="B1507">
            <v>2012</v>
          </cell>
          <cell r="C1507">
            <v>152</v>
          </cell>
          <cell r="D1507" t="str">
            <v>Brett Smith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</row>
        <row r="1508">
          <cell r="B1508">
            <v>2012</v>
          </cell>
          <cell r="C1508">
            <v>153</v>
          </cell>
          <cell r="D1508" t="str">
            <v>Mike Glennon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0</v>
          </cell>
        </row>
        <row r="1509">
          <cell r="B1509">
            <v>2012</v>
          </cell>
          <cell r="C1509">
            <v>154</v>
          </cell>
          <cell r="D1509" t="str">
            <v>Geno Smith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</row>
        <row r="1510">
          <cell r="B1510">
            <v>2012</v>
          </cell>
          <cell r="C1510">
            <v>155</v>
          </cell>
          <cell r="D1510" t="str">
            <v>Teddy Bridgewater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>
            <v>2012</v>
          </cell>
          <cell r="C1511">
            <v>156</v>
          </cell>
          <cell r="D1511" t="str">
            <v>Blake Bortles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</row>
        <row r="1512">
          <cell r="B1512">
            <v>2012</v>
          </cell>
          <cell r="C1512">
            <v>157</v>
          </cell>
          <cell r="D1512" t="str">
            <v>AJ McCarron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</row>
        <row r="1513">
          <cell r="B1513">
            <v>2012</v>
          </cell>
          <cell r="C1513">
            <v>158</v>
          </cell>
          <cell r="D1513" t="str">
            <v>Derek Carr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</row>
        <row r="1514">
          <cell r="B1514">
            <v>2012</v>
          </cell>
          <cell r="C1514">
            <v>159</v>
          </cell>
          <cell r="D1514" t="str">
            <v>Taylor Heinicke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</row>
        <row r="1515">
          <cell r="B1515">
            <v>2012</v>
          </cell>
          <cell r="C1515">
            <v>160</v>
          </cell>
          <cell r="D1515" t="str">
            <v>Trevor Siemian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</row>
        <row r="1516">
          <cell r="B1516">
            <v>2012</v>
          </cell>
          <cell r="C1516">
            <v>161</v>
          </cell>
          <cell r="D1516" t="str">
            <v>Sean Mannion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</row>
        <row r="1517">
          <cell r="B1517">
            <v>2012</v>
          </cell>
          <cell r="C1517">
            <v>162</v>
          </cell>
          <cell r="D1517" t="str">
            <v>Marcus Mariota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</row>
        <row r="1518">
          <cell r="B1518">
            <v>2012</v>
          </cell>
          <cell r="C1518">
            <v>163</v>
          </cell>
          <cell r="D1518" t="str">
            <v>Jameis Winston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</row>
        <row r="1519">
          <cell r="B1519">
            <v>2012</v>
          </cell>
          <cell r="C1519">
            <v>164</v>
          </cell>
          <cell r="D1519" t="str">
            <v>Joe Webb III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1</v>
          </cell>
          <cell r="M1519">
            <v>-1</v>
          </cell>
          <cell r="N1519">
            <v>0</v>
          </cell>
          <cell r="O1519">
            <v>0</v>
          </cell>
          <cell r="P1519">
            <v>-0.1</v>
          </cell>
          <cell r="Q1519">
            <v>1</v>
          </cell>
        </row>
        <row r="1520">
          <cell r="B1520">
            <v>2012</v>
          </cell>
          <cell r="C1520">
            <v>165</v>
          </cell>
          <cell r="D1520" t="str">
            <v>Luke McCown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2</v>
          </cell>
          <cell r="M1520">
            <v>-3</v>
          </cell>
          <cell r="N1520">
            <v>0</v>
          </cell>
          <cell r="O1520">
            <v>0</v>
          </cell>
          <cell r="P1520">
            <v>-0.3</v>
          </cell>
          <cell r="Q1520">
            <v>2</v>
          </cell>
        </row>
        <row r="1521">
          <cell r="B1521">
            <v>2012</v>
          </cell>
          <cell r="C1521">
            <v>166</v>
          </cell>
          <cell r="D1521" t="str">
            <v>Josh Johnson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1</v>
          </cell>
          <cell r="L1521">
            <v>0</v>
          </cell>
          <cell r="M1521">
            <v>0</v>
          </cell>
          <cell r="N1521">
            <v>0</v>
          </cell>
          <cell r="O1521">
            <v>1</v>
          </cell>
          <cell r="P1521">
            <v>-2</v>
          </cell>
          <cell r="Q1521">
            <v>1</v>
          </cell>
        </row>
        <row r="1522">
          <cell r="B1522">
            <v>2011</v>
          </cell>
          <cell r="C1522">
            <v>1</v>
          </cell>
          <cell r="D1522" t="str">
            <v>Aaron Rodgers</v>
          </cell>
          <cell r="F1522">
            <v>343</v>
          </cell>
          <cell r="G1522">
            <v>502</v>
          </cell>
          <cell r="H1522">
            <v>68.3</v>
          </cell>
          <cell r="I1522">
            <v>45</v>
          </cell>
          <cell r="J1522">
            <v>6</v>
          </cell>
          <cell r="K1522">
            <v>36</v>
          </cell>
          <cell r="L1522">
            <v>60</v>
          </cell>
          <cell r="M1522">
            <v>257</v>
          </cell>
          <cell r="N1522">
            <v>3</v>
          </cell>
          <cell r="O1522">
            <v>0</v>
          </cell>
          <cell r="P1522">
            <v>397.4</v>
          </cell>
          <cell r="Q1522">
            <v>15</v>
          </cell>
        </row>
        <row r="1523">
          <cell r="B1523">
            <v>2011</v>
          </cell>
          <cell r="C1523">
            <v>2</v>
          </cell>
          <cell r="D1523" t="str">
            <v>Drew Brees</v>
          </cell>
          <cell r="F1523">
            <v>468</v>
          </cell>
          <cell r="G1523">
            <v>657</v>
          </cell>
          <cell r="H1523">
            <v>71.2</v>
          </cell>
          <cell r="I1523">
            <v>46</v>
          </cell>
          <cell r="J1523">
            <v>14</v>
          </cell>
          <cell r="K1523">
            <v>24</v>
          </cell>
          <cell r="L1523">
            <v>21</v>
          </cell>
          <cell r="M1523">
            <v>86</v>
          </cell>
          <cell r="N1523">
            <v>1</v>
          </cell>
          <cell r="O1523">
            <v>1</v>
          </cell>
          <cell r="P1523">
            <v>387.8</v>
          </cell>
          <cell r="Q1523">
            <v>16</v>
          </cell>
        </row>
        <row r="1524">
          <cell r="B1524">
            <v>2011</v>
          </cell>
          <cell r="C1524">
            <v>3</v>
          </cell>
          <cell r="D1524" t="str">
            <v>Tom Brady</v>
          </cell>
          <cell r="F1524">
            <v>401</v>
          </cell>
          <cell r="G1524">
            <v>611</v>
          </cell>
          <cell r="H1524">
            <v>65.599999999999994</v>
          </cell>
          <cell r="I1524">
            <v>39</v>
          </cell>
          <cell r="J1524">
            <v>12</v>
          </cell>
          <cell r="K1524">
            <v>32</v>
          </cell>
          <cell r="L1524">
            <v>43</v>
          </cell>
          <cell r="M1524">
            <v>109</v>
          </cell>
          <cell r="N1524">
            <v>3</v>
          </cell>
          <cell r="O1524">
            <v>2</v>
          </cell>
          <cell r="P1524">
            <v>366.4</v>
          </cell>
          <cell r="Q1524">
            <v>16</v>
          </cell>
        </row>
        <row r="1525">
          <cell r="B1525">
            <v>2011</v>
          </cell>
          <cell r="C1525">
            <v>4</v>
          </cell>
          <cell r="D1525" t="str">
            <v>Cam Newton</v>
          </cell>
          <cell r="F1525">
            <v>310</v>
          </cell>
          <cell r="G1525">
            <v>517</v>
          </cell>
          <cell r="H1525">
            <v>60</v>
          </cell>
          <cell r="I1525">
            <v>21</v>
          </cell>
          <cell r="J1525">
            <v>17</v>
          </cell>
          <cell r="K1525">
            <v>35</v>
          </cell>
          <cell r="L1525">
            <v>126</v>
          </cell>
          <cell r="M1525">
            <v>706</v>
          </cell>
          <cell r="N1525">
            <v>14</v>
          </cell>
          <cell r="O1525">
            <v>2</v>
          </cell>
          <cell r="P1525">
            <v>365.9</v>
          </cell>
          <cell r="Q1525">
            <v>16</v>
          </cell>
        </row>
        <row r="1526">
          <cell r="B1526">
            <v>2011</v>
          </cell>
          <cell r="C1526">
            <v>5</v>
          </cell>
          <cell r="D1526" t="str">
            <v>Matthew Stafford</v>
          </cell>
          <cell r="F1526">
            <v>421</v>
          </cell>
          <cell r="G1526">
            <v>663</v>
          </cell>
          <cell r="H1526">
            <v>63.5</v>
          </cell>
          <cell r="I1526">
            <v>41</v>
          </cell>
          <cell r="J1526">
            <v>16</v>
          </cell>
          <cell r="K1526">
            <v>36</v>
          </cell>
          <cell r="L1526">
            <v>22</v>
          </cell>
          <cell r="M1526">
            <v>78</v>
          </cell>
          <cell r="N1526">
            <v>0</v>
          </cell>
          <cell r="O1526">
            <v>1</v>
          </cell>
          <cell r="P1526">
            <v>339.3</v>
          </cell>
          <cell r="Q1526">
            <v>16</v>
          </cell>
        </row>
        <row r="1527">
          <cell r="B1527">
            <v>2011</v>
          </cell>
          <cell r="C1527">
            <v>6</v>
          </cell>
          <cell r="D1527" t="str">
            <v>Matt Ryan</v>
          </cell>
          <cell r="F1527">
            <v>347</v>
          </cell>
          <cell r="G1527">
            <v>566</v>
          </cell>
          <cell r="H1527">
            <v>61.3</v>
          </cell>
          <cell r="I1527">
            <v>29</v>
          </cell>
          <cell r="J1527">
            <v>12</v>
          </cell>
          <cell r="K1527">
            <v>26</v>
          </cell>
          <cell r="L1527">
            <v>37</v>
          </cell>
          <cell r="M1527">
            <v>84</v>
          </cell>
          <cell r="N1527">
            <v>2</v>
          </cell>
          <cell r="O1527">
            <v>3</v>
          </cell>
          <cell r="P1527">
            <v>273.39999999999998</v>
          </cell>
          <cell r="Q1527">
            <v>16</v>
          </cell>
        </row>
        <row r="1528">
          <cell r="B1528">
            <v>2011</v>
          </cell>
          <cell r="C1528">
            <v>7</v>
          </cell>
          <cell r="D1528" t="str">
            <v>Ryan Fitzpatrick</v>
          </cell>
          <cell r="F1528">
            <v>353</v>
          </cell>
          <cell r="G1528">
            <v>569</v>
          </cell>
          <cell r="H1528">
            <v>62</v>
          </cell>
          <cell r="I1528">
            <v>24</v>
          </cell>
          <cell r="J1528">
            <v>23</v>
          </cell>
          <cell r="K1528">
            <v>22</v>
          </cell>
          <cell r="L1528">
            <v>56</v>
          </cell>
          <cell r="M1528">
            <v>215</v>
          </cell>
          <cell r="N1528">
            <v>0</v>
          </cell>
          <cell r="O1528">
            <v>2</v>
          </cell>
          <cell r="P1528">
            <v>220.8</v>
          </cell>
          <cell r="Q1528">
            <v>16</v>
          </cell>
        </row>
        <row r="1529">
          <cell r="B1529">
            <v>2011</v>
          </cell>
          <cell r="C1529">
            <v>8</v>
          </cell>
          <cell r="D1529" t="str">
            <v>Ben Roethlisberger</v>
          </cell>
          <cell r="F1529">
            <v>324</v>
          </cell>
          <cell r="G1529">
            <v>513</v>
          </cell>
          <cell r="H1529">
            <v>63.2</v>
          </cell>
          <cell r="I1529">
            <v>21</v>
          </cell>
          <cell r="J1529">
            <v>14</v>
          </cell>
          <cell r="K1529">
            <v>40</v>
          </cell>
          <cell r="L1529">
            <v>31</v>
          </cell>
          <cell r="M1529">
            <v>70</v>
          </cell>
          <cell r="N1529">
            <v>0</v>
          </cell>
          <cell r="O1529">
            <v>5</v>
          </cell>
          <cell r="P1529">
            <v>215.9</v>
          </cell>
          <cell r="Q1529">
            <v>15</v>
          </cell>
        </row>
        <row r="1530">
          <cell r="B1530">
            <v>2011</v>
          </cell>
          <cell r="C1530">
            <v>9</v>
          </cell>
          <cell r="D1530" t="str">
            <v>Alex Smith</v>
          </cell>
          <cell r="F1530">
            <v>273</v>
          </cell>
          <cell r="G1530">
            <v>445</v>
          </cell>
          <cell r="H1530">
            <v>61.3</v>
          </cell>
          <cell r="I1530">
            <v>17</v>
          </cell>
          <cell r="J1530">
            <v>5</v>
          </cell>
          <cell r="K1530">
            <v>44</v>
          </cell>
          <cell r="L1530">
            <v>52</v>
          </cell>
          <cell r="M1530">
            <v>179</v>
          </cell>
          <cell r="N1530">
            <v>2</v>
          </cell>
          <cell r="O1530">
            <v>2</v>
          </cell>
          <cell r="P1530">
            <v>209.8</v>
          </cell>
          <cell r="Q1530">
            <v>16</v>
          </cell>
        </row>
        <row r="1531">
          <cell r="B1531">
            <v>2011</v>
          </cell>
          <cell r="C1531">
            <v>10</v>
          </cell>
          <cell r="D1531" t="str">
            <v>Andy Dalton</v>
          </cell>
          <cell r="F1531">
            <v>300</v>
          </cell>
          <cell r="G1531">
            <v>516</v>
          </cell>
          <cell r="H1531">
            <v>58.1</v>
          </cell>
          <cell r="I1531">
            <v>20</v>
          </cell>
          <cell r="J1531">
            <v>13</v>
          </cell>
          <cell r="K1531">
            <v>24</v>
          </cell>
          <cell r="L1531">
            <v>37</v>
          </cell>
          <cell r="M1531">
            <v>152</v>
          </cell>
          <cell r="N1531">
            <v>1</v>
          </cell>
          <cell r="O1531">
            <v>2</v>
          </cell>
          <cell r="P1531">
            <v>207.3</v>
          </cell>
          <cell r="Q1531">
            <v>16</v>
          </cell>
        </row>
        <row r="1532">
          <cell r="B1532">
            <v>2011</v>
          </cell>
          <cell r="C1532">
            <v>11</v>
          </cell>
          <cell r="D1532" t="str">
            <v>Joe Flacco</v>
          </cell>
          <cell r="F1532">
            <v>312</v>
          </cell>
          <cell r="G1532">
            <v>542</v>
          </cell>
          <cell r="H1532">
            <v>57.6</v>
          </cell>
          <cell r="I1532">
            <v>20</v>
          </cell>
          <cell r="J1532">
            <v>12</v>
          </cell>
          <cell r="K1532">
            <v>31</v>
          </cell>
          <cell r="L1532">
            <v>39</v>
          </cell>
          <cell r="M1532">
            <v>88</v>
          </cell>
          <cell r="N1532">
            <v>1</v>
          </cell>
          <cell r="O1532">
            <v>6</v>
          </cell>
          <cell r="P1532">
            <v>202.9</v>
          </cell>
          <cell r="Q1532">
            <v>16</v>
          </cell>
        </row>
        <row r="1533">
          <cell r="B1533">
            <v>2011</v>
          </cell>
          <cell r="C1533">
            <v>12</v>
          </cell>
          <cell r="D1533" t="str">
            <v>Colt McCoy</v>
          </cell>
          <cell r="F1533">
            <v>265</v>
          </cell>
          <cell r="G1533">
            <v>463</v>
          </cell>
          <cell r="H1533">
            <v>57.2</v>
          </cell>
          <cell r="I1533">
            <v>14</v>
          </cell>
          <cell r="J1533">
            <v>11</v>
          </cell>
          <cell r="K1533">
            <v>32</v>
          </cell>
          <cell r="L1533">
            <v>61</v>
          </cell>
          <cell r="M1533">
            <v>212</v>
          </cell>
          <cell r="N1533">
            <v>0</v>
          </cell>
          <cell r="O1533">
            <v>2</v>
          </cell>
          <cell r="P1533">
            <v>160.4</v>
          </cell>
          <cell r="Q1533">
            <v>13</v>
          </cell>
        </row>
        <row r="1534">
          <cell r="B1534">
            <v>2011</v>
          </cell>
          <cell r="C1534">
            <v>13</v>
          </cell>
          <cell r="D1534" t="str">
            <v>Matt Schaub</v>
          </cell>
          <cell r="F1534">
            <v>178</v>
          </cell>
          <cell r="G1534">
            <v>292</v>
          </cell>
          <cell r="H1534">
            <v>61</v>
          </cell>
          <cell r="I1534">
            <v>15</v>
          </cell>
          <cell r="J1534">
            <v>6</v>
          </cell>
          <cell r="K1534">
            <v>16</v>
          </cell>
          <cell r="L1534">
            <v>15</v>
          </cell>
          <cell r="M1534">
            <v>9</v>
          </cell>
          <cell r="N1534">
            <v>2</v>
          </cell>
          <cell r="O1534">
            <v>1</v>
          </cell>
          <cell r="P1534">
            <v>158</v>
          </cell>
          <cell r="Q1534">
            <v>10</v>
          </cell>
        </row>
        <row r="1535">
          <cell r="B1535">
            <v>2011</v>
          </cell>
          <cell r="C1535">
            <v>14</v>
          </cell>
          <cell r="D1535" t="str">
            <v>Matt Moore</v>
          </cell>
          <cell r="F1535">
            <v>210</v>
          </cell>
          <cell r="G1535">
            <v>347</v>
          </cell>
          <cell r="H1535">
            <v>60.5</v>
          </cell>
          <cell r="I1535">
            <v>16</v>
          </cell>
          <cell r="J1535">
            <v>9</v>
          </cell>
          <cell r="K1535">
            <v>36</v>
          </cell>
          <cell r="L1535">
            <v>32</v>
          </cell>
          <cell r="M1535">
            <v>65</v>
          </cell>
          <cell r="N1535">
            <v>2</v>
          </cell>
          <cell r="O1535">
            <v>6</v>
          </cell>
          <cell r="P1535">
            <v>152.5</v>
          </cell>
          <cell r="Q1535">
            <v>13</v>
          </cell>
        </row>
        <row r="1536">
          <cell r="B1536">
            <v>2011</v>
          </cell>
          <cell r="C1536">
            <v>15</v>
          </cell>
          <cell r="D1536" t="str">
            <v>Blaine Gabbert</v>
          </cell>
          <cell r="F1536">
            <v>210</v>
          </cell>
          <cell r="G1536">
            <v>413</v>
          </cell>
          <cell r="H1536">
            <v>50.8</v>
          </cell>
          <cell r="I1536">
            <v>12</v>
          </cell>
          <cell r="J1536">
            <v>11</v>
          </cell>
          <cell r="K1536">
            <v>40</v>
          </cell>
          <cell r="L1536">
            <v>48</v>
          </cell>
          <cell r="M1536">
            <v>98</v>
          </cell>
          <cell r="N1536">
            <v>0</v>
          </cell>
          <cell r="O1536">
            <v>5</v>
          </cell>
          <cell r="P1536">
            <v>114.3</v>
          </cell>
          <cell r="Q1536">
            <v>15</v>
          </cell>
        </row>
        <row r="1537">
          <cell r="B1537">
            <v>2011</v>
          </cell>
          <cell r="C1537">
            <v>16</v>
          </cell>
          <cell r="D1537" t="str">
            <v>Chad Henne</v>
          </cell>
          <cell r="F1537">
            <v>64</v>
          </cell>
          <cell r="G1537">
            <v>112</v>
          </cell>
          <cell r="H1537">
            <v>57.1</v>
          </cell>
          <cell r="I1537">
            <v>4</v>
          </cell>
          <cell r="J1537">
            <v>4</v>
          </cell>
          <cell r="K1537">
            <v>11</v>
          </cell>
          <cell r="L1537">
            <v>15</v>
          </cell>
          <cell r="M1537">
            <v>112</v>
          </cell>
          <cell r="N1537">
            <v>1</v>
          </cell>
          <cell r="O1537">
            <v>0</v>
          </cell>
          <cell r="P1537">
            <v>59.9</v>
          </cell>
          <cell r="Q1537">
            <v>4</v>
          </cell>
        </row>
        <row r="1538">
          <cell r="B1538">
            <v>2011</v>
          </cell>
          <cell r="C1538">
            <v>17</v>
          </cell>
          <cell r="D1538" t="str">
            <v>Joe Webb III</v>
          </cell>
          <cell r="F1538">
            <v>34</v>
          </cell>
          <cell r="G1538">
            <v>63</v>
          </cell>
          <cell r="H1538">
            <v>54</v>
          </cell>
          <cell r="I1538">
            <v>3</v>
          </cell>
          <cell r="J1538">
            <v>2</v>
          </cell>
          <cell r="K1538">
            <v>3</v>
          </cell>
          <cell r="L1538">
            <v>22</v>
          </cell>
          <cell r="M1538">
            <v>154</v>
          </cell>
          <cell r="N1538">
            <v>2</v>
          </cell>
          <cell r="O1538">
            <v>1</v>
          </cell>
          <cell r="P1538">
            <v>49.9</v>
          </cell>
          <cell r="Q1538">
            <v>11</v>
          </cell>
        </row>
        <row r="1539">
          <cell r="B1539">
            <v>2011</v>
          </cell>
          <cell r="C1539">
            <v>18</v>
          </cell>
          <cell r="D1539" t="str">
            <v>Josh McCown</v>
          </cell>
          <cell r="F1539">
            <v>35</v>
          </cell>
          <cell r="G1539">
            <v>55</v>
          </cell>
          <cell r="H1539">
            <v>63.6</v>
          </cell>
          <cell r="I1539">
            <v>2</v>
          </cell>
          <cell r="J1539">
            <v>4</v>
          </cell>
          <cell r="K1539">
            <v>7</v>
          </cell>
          <cell r="L1539">
            <v>12</v>
          </cell>
          <cell r="M1539">
            <v>68</v>
          </cell>
          <cell r="N1539">
            <v>0</v>
          </cell>
          <cell r="O1539">
            <v>0</v>
          </cell>
          <cell r="P1539">
            <v>23.4</v>
          </cell>
          <cell r="Q1539">
            <v>3</v>
          </cell>
        </row>
        <row r="1540">
          <cell r="B1540">
            <v>2011</v>
          </cell>
          <cell r="C1540">
            <v>19</v>
          </cell>
          <cell r="D1540" t="str">
            <v>Josh Johnson</v>
          </cell>
          <cell r="F1540">
            <v>19</v>
          </cell>
          <cell r="G1540">
            <v>36</v>
          </cell>
          <cell r="H1540">
            <v>52.8</v>
          </cell>
          <cell r="I1540">
            <v>1</v>
          </cell>
          <cell r="J1540">
            <v>2</v>
          </cell>
          <cell r="K1540">
            <v>3</v>
          </cell>
          <cell r="L1540">
            <v>11</v>
          </cell>
          <cell r="M1540">
            <v>67</v>
          </cell>
          <cell r="N1540">
            <v>0</v>
          </cell>
          <cell r="O1540">
            <v>1</v>
          </cell>
          <cell r="P1540">
            <v>14.6</v>
          </cell>
          <cell r="Q1540">
            <v>9</v>
          </cell>
        </row>
        <row r="1541">
          <cell r="B1541">
            <v>2011</v>
          </cell>
          <cell r="C1541">
            <v>20</v>
          </cell>
          <cell r="D1541" t="str">
            <v>Luke McCown</v>
          </cell>
          <cell r="F1541">
            <v>30</v>
          </cell>
          <cell r="G1541">
            <v>56</v>
          </cell>
          <cell r="H1541">
            <v>53.6</v>
          </cell>
          <cell r="I1541">
            <v>0</v>
          </cell>
          <cell r="J1541">
            <v>4</v>
          </cell>
          <cell r="K1541">
            <v>4</v>
          </cell>
          <cell r="L1541">
            <v>7</v>
          </cell>
          <cell r="M1541">
            <v>23</v>
          </cell>
          <cell r="N1541">
            <v>0</v>
          </cell>
          <cell r="O1541">
            <v>1</v>
          </cell>
          <cell r="P1541">
            <v>4.2</v>
          </cell>
          <cell r="Q1541">
            <v>4</v>
          </cell>
        </row>
        <row r="1542">
          <cell r="B1542">
            <v>2011</v>
          </cell>
          <cell r="C1542">
            <v>21</v>
          </cell>
          <cell r="D1542" t="str">
            <v>Chase Daniel</v>
          </cell>
          <cell r="F1542">
            <v>4</v>
          </cell>
          <cell r="G1542">
            <v>5</v>
          </cell>
          <cell r="H1542">
            <v>80</v>
          </cell>
          <cell r="I1542">
            <v>0</v>
          </cell>
          <cell r="J1542">
            <v>0</v>
          </cell>
          <cell r="K1542">
            <v>0</v>
          </cell>
          <cell r="L1542">
            <v>3</v>
          </cell>
          <cell r="M1542">
            <v>-3</v>
          </cell>
          <cell r="N1542">
            <v>0</v>
          </cell>
          <cell r="O1542">
            <v>0</v>
          </cell>
          <cell r="P1542">
            <v>0.9</v>
          </cell>
          <cell r="Q1542">
            <v>16</v>
          </cell>
        </row>
        <row r="1543">
          <cell r="B1543">
            <v>2011</v>
          </cell>
          <cell r="C1543">
            <v>22</v>
          </cell>
          <cell r="D1543" t="str">
            <v>Tyrod Taylor</v>
          </cell>
          <cell r="F1543">
            <v>1</v>
          </cell>
          <cell r="G1543">
            <v>1</v>
          </cell>
          <cell r="H1543">
            <v>100</v>
          </cell>
          <cell r="I1543">
            <v>0</v>
          </cell>
          <cell r="J1543">
            <v>0</v>
          </cell>
          <cell r="K1543">
            <v>2</v>
          </cell>
          <cell r="L1543">
            <v>1</v>
          </cell>
          <cell r="M1543">
            <v>2</v>
          </cell>
          <cell r="N1543">
            <v>0</v>
          </cell>
          <cell r="O1543">
            <v>0</v>
          </cell>
          <cell r="P1543">
            <v>0.9</v>
          </cell>
          <cell r="Q1543">
            <v>3</v>
          </cell>
        </row>
        <row r="1544">
          <cell r="B1544">
            <v>2011</v>
          </cell>
          <cell r="C1544">
            <v>23</v>
          </cell>
          <cell r="D1544" t="str">
            <v>Brian Hoyer</v>
          </cell>
          <cell r="F1544">
            <v>1</v>
          </cell>
          <cell r="G1544">
            <v>1</v>
          </cell>
          <cell r="H1544">
            <v>100</v>
          </cell>
          <cell r="I1544">
            <v>0</v>
          </cell>
          <cell r="J1544">
            <v>0</v>
          </cell>
          <cell r="K1544">
            <v>0</v>
          </cell>
          <cell r="L1544">
            <v>4</v>
          </cell>
          <cell r="M1544">
            <v>-3</v>
          </cell>
          <cell r="N1544">
            <v>0</v>
          </cell>
          <cell r="O1544">
            <v>0</v>
          </cell>
          <cell r="P1544">
            <v>0.6</v>
          </cell>
          <cell r="Q1544">
            <v>3</v>
          </cell>
        </row>
        <row r="1545">
          <cell r="B1545">
            <v>2011</v>
          </cell>
          <cell r="C1545">
            <v>24</v>
          </cell>
          <cell r="D1545" t="str">
            <v>Chris Streveler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</row>
        <row r="1546">
          <cell r="B1546">
            <v>2011</v>
          </cell>
          <cell r="C1546">
            <v>25</v>
          </cell>
          <cell r="D1546" t="str">
            <v>Kyle Trask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</row>
        <row r="1547">
          <cell r="B1547">
            <v>2011</v>
          </cell>
          <cell r="C1547">
            <v>26</v>
          </cell>
          <cell r="D1547" t="str">
            <v>Trevor Lawrence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</row>
        <row r="1548">
          <cell r="B1548">
            <v>2011</v>
          </cell>
          <cell r="C1548">
            <v>27</v>
          </cell>
          <cell r="D1548" t="str">
            <v>Justin Fields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</row>
        <row r="1549">
          <cell r="B1549">
            <v>2011</v>
          </cell>
          <cell r="C1549">
            <v>28</v>
          </cell>
          <cell r="D1549" t="str">
            <v>Sam Ehlinger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</row>
        <row r="1550">
          <cell r="B1550">
            <v>2011</v>
          </cell>
          <cell r="C1550">
            <v>29</v>
          </cell>
          <cell r="D1550" t="str">
            <v>Ben DiNucci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</row>
        <row r="1551">
          <cell r="B1551">
            <v>2011</v>
          </cell>
          <cell r="C1551">
            <v>30</v>
          </cell>
          <cell r="D1551" t="str">
            <v>Jalen Morton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</row>
        <row r="1552">
          <cell r="B1552">
            <v>2011</v>
          </cell>
          <cell r="C1552">
            <v>31</v>
          </cell>
          <cell r="D1552" t="str">
            <v>Reid Sinnett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</row>
        <row r="1553">
          <cell r="B1553">
            <v>2011</v>
          </cell>
          <cell r="C1553">
            <v>32</v>
          </cell>
          <cell r="D1553" t="str">
            <v>Feleipe Franks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</row>
        <row r="1554">
          <cell r="B1554">
            <v>2011</v>
          </cell>
          <cell r="C1554">
            <v>33</v>
          </cell>
          <cell r="D1554" t="str">
            <v>Trey Lance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</row>
        <row r="1555">
          <cell r="B1555">
            <v>2011</v>
          </cell>
          <cell r="C1555">
            <v>34</v>
          </cell>
          <cell r="D1555" t="str">
            <v>Mac Jones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</row>
        <row r="1556">
          <cell r="B1556">
            <v>2011</v>
          </cell>
          <cell r="C1556">
            <v>35</v>
          </cell>
          <cell r="D1556" t="str">
            <v>Ian Book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</row>
        <row r="1557">
          <cell r="B1557">
            <v>2011</v>
          </cell>
          <cell r="C1557">
            <v>36</v>
          </cell>
          <cell r="D1557" t="str">
            <v>John Wolford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</row>
        <row r="1558">
          <cell r="B1558">
            <v>2011</v>
          </cell>
          <cell r="C1558">
            <v>37</v>
          </cell>
          <cell r="D1558" t="str">
            <v>Dwayne Haskins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</row>
        <row r="1559">
          <cell r="B1559">
            <v>2011</v>
          </cell>
          <cell r="C1559">
            <v>38</v>
          </cell>
          <cell r="D1559" t="str">
            <v>Drew Lock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</row>
        <row r="1560">
          <cell r="B1560">
            <v>2011</v>
          </cell>
          <cell r="C1560">
            <v>39</v>
          </cell>
          <cell r="D1560" t="str">
            <v>Daniel Jones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</row>
        <row r="1561">
          <cell r="B1561">
            <v>2011</v>
          </cell>
          <cell r="C1561">
            <v>40</v>
          </cell>
          <cell r="D1561" t="str">
            <v>Will Grier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</row>
        <row r="1562">
          <cell r="B1562">
            <v>2011</v>
          </cell>
          <cell r="C1562">
            <v>41</v>
          </cell>
          <cell r="D1562" t="str">
            <v>Brett Rypien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</row>
        <row r="1563">
          <cell r="B1563">
            <v>2011</v>
          </cell>
          <cell r="C1563">
            <v>42</v>
          </cell>
          <cell r="D1563" t="str">
            <v>Easton Stick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</row>
        <row r="1564">
          <cell r="B1564">
            <v>2011</v>
          </cell>
          <cell r="C1564">
            <v>43</v>
          </cell>
          <cell r="D1564" t="str">
            <v>Trace McSorley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</row>
        <row r="1565">
          <cell r="B1565">
            <v>2011</v>
          </cell>
          <cell r="C1565">
            <v>44</v>
          </cell>
          <cell r="D1565" t="str">
            <v>Jake Browning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</row>
        <row r="1566">
          <cell r="B1566">
            <v>2011</v>
          </cell>
          <cell r="C1566">
            <v>45</v>
          </cell>
          <cell r="D1566" t="str">
            <v>Danny Etling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</row>
        <row r="1567">
          <cell r="B1567">
            <v>2011</v>
          </cell>
          <cell r="C1567">
            <v>46</v>
          </cell>
          <cell r="D1567" t="str">
            <v>Alex McGough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</row>
        <row r="1568">
          <cell r="B1568">
            <v>2011</v>
          </cell>
          <cell r="C1568">
            <v>47</v>
          </cell>
          <cell r="D1568" t="str">
            <v>Tim Boyle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</row>
        <row r="1569">
          <cell r="B1569">
            <v>2011</v>
          </cell>
          <cell r="C1569">
            <v>48</v>
          </cell>
          <cell r="D1569" t="str">
            <v>Kurt Benkert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</row>
        <row r="1570">
          <cell r="B1570">
            <v>2011</v>
          </cell>
          <cell r="C1570">
            <v>49</v>
          </cell>
          <cell r="D1570" t="str">
            <v>Kyle Allen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</row>
        <row r="1571">
          <cell r="B1571">
            <v>2011</v>
          </cell>
          <cell r="C1571">
            <v>50</v>
          </cell>
          <cell r="D1571" t="str">
            <v>Eric Dungey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</row>
        <row r="1572">
          <cell r="B1572">
            <v>2011</v>
          </cell>
          <cell r="C1572">
            <v>51</v>
          </cell>
          <cell r="D1572" t="str">
            <v>Gardner Minshew II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</row>
        <row r="1573">
          <cell r="B1573">
            <v>2011</v>
          </cell>
          <cell r="C1573">
            <v>52</v>
          </cell>
          <cell r="D1573" t="str">
            <v>Bryce Perkins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</row>
        <row r="1574">
          <cell r="B1574">
            <v>2011</v>
          </cell>
          <cell r="C1574">
            <v>53</v>
          </cell>
          <cell r="D1574" t="str">
            <v>Jalen Hurts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</row>
        <row r="1575">
          <cell r="B1575">
            <v>2011</v>
          </cell>
          <cell r="C1575">
            <v>54</v>
          </cell>
          <cell r="D1575" t="str">
            <v>Tyler Huntley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</row>
        <row r="1576">
          <cell r="B1576">
            <v>2011</v>
          </cell>
          <cell r="C1576">
            <v>55</v>
          </cell>
          <cell r="D1576" t="str">
            <v>Shane Buechele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</row>
        <row r="1577">
          <cell r="B1577">
            <v>2011</v>
          </cell>
          <cell r="C1577">
            <v>56</v>
          </cell>
          <cell r="D1577" t="str">
            <v>Kellen Mond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</row>
        <row r="1578">
          <cell r="B1578">
            <v>2011</v>
          </cell>
          <cell r="C1578">
            <v>57</v>
          </cell>
          <cell r="D1578" t="str">
            <v>Jake Fromm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</row>
        <row r="1579">
          <cell r="B1579">
            <v>2011</v>
          </cell>
          <cell r="C1579">
            <v>58</v>
          </cell>
          <cell r="D1579" t="str">
            <v>Steven Montez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</row>
        <row r="1580">
          <cell r="B1580">
            <v>2011</v>
          </cell>
          <cell r="C1580">
            <v>59</v>
          </cell>
          <cell r="D1580" t="str">
            <v>Jake Luton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</row>
        <row r="1581">
          <cell r="B1581">
            <v>2011</v>
          </cell>
          <cell r="C1581">
            <v>60</v>
          </cell>
          <cell r="D1581" t="str">
            <v>James Morgan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</row>
        <row r="1582">
          <cell r="B1582">
            <v>2011</v>
          </cell>
          <cell r="C1582">
            <v>61</v>
          </cell>
          <cell r="D1582" t="str">
            <v>Brian Lewerke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</row>
        <row r="1583">
          <cell r="B1583">
            <v>2011</v>
          </cell>
          <cell r="C1583">
            <v>62</v>
          </cell>
          <cell r="D1583" t="str">
            <v>Jordan Love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</row>
        <row r="1584">
          <cell r="B1584">
            <v>2011</v>
          </cell>
          <cell r="C1584">
            <v>63</v>
          </cell>
          <cell r="D1584" t="str">
            <v>Jacob Eason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</row>
        <row r="1585">
          <cell r="B1585">
            <v>2011</v>
          </cell>
          <cell r="C1585">
            <v>64</v>
          </cell>
          <cell r="D1585" t="str">
            <v>Kyler Murray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</row>
        <row r="1586">
          <cell r="B1586">
            <v>2011</v>
          </cell>
          <cell r="C1586">
            <v>65</v>
          </cell>
          <cell r="D1586" t="str">
            <v>Jarrett Stidham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</row>
        <row r="1587">
          <cell r="B1587">
            <v>2011</v>
          </cell>
          <cell r="C1587">
            <v>66</v>
          </cell>
          <cell r="D1587" t="str">
            <v>Justin Herbert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</row>
        <row r="1588">
          <cell r="B1588">
            <v>2011</v>
          </cell>
          <cell r="C1588">
            <v>67</v>
          </cell>
          <cell r="D1588" t="str">
            <v>David Blough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</row>
        <row r="1589">
          <cell r="B1589">
            <v>2011</v>
          </cell>
          <cell r="C1589">
            <v>68</v>
          </cell>
          <cell r="D1589" t="str">
            <v>John Lovett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</row>
        <row r="1590">
          <cell r="B1590">
            <v>2011</v>
          </cell>
          <cell r="C1590">
            <v>69</v>
          </cell>
          <cell r="D1590" t="str">
            <v>Tua Tagovailoa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</row>
        <row r="1591">
          <cell r="B1591">
            <v>2011</v>
          </cell>
          <cell r="C1591">
            <v>70</v>
          </cell>
          <cell r="D1591" t="str">
            <v>Joe Burrow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</row>
        <row r="1592">
          <cell r="B1592">
            <v>2011</v>
          </cell>
          <cell r="C1592">
            <v>71</v>
          </cell>
          <cell r="D1592" t="str">
            <v>Ryan Willis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</row>
        <row r="1593">
          <cell r="B1593">
            <v>2011</v>
          </cell>
          <cell r="C1593">
            <v>72</v>
          </cell>
          <cell r="D1593" t="str">
            <v>Zach Wilson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</row>
        <row r="1594">
          <cell r="B1594">
            <v>2011</v>
          </cell>
          <cell r="C1594">
            <v>73</v>
          </cell>
          <cell r="D1594" t="str">
            <v>Davis Mills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</row>
        <row r="1595">
          <cell r="B1595">
            <v>2011</v>
          </cell>
          <cell r="C1595">
            <v>74</v>
          </cell>
          <cell r="D1595" t="str">
            <v>Mike White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</row>
        <row r="1596">
          <cell r="B1596">
            <v>2011</v>
          </cell>
          <cell r="C1596">
            <v>75</v>
          </cell>
          <cell r="D1596" t="str">
            <v>Lamar Jackson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</row>
        <row r="1597">
          <cell r="B1597">
            <v>2011</v>
          </cell>
          <cell r="C1597">
            <v>76</v>
          </cell>
          <cell r="D1597" t="str">
            <v>Jake Locker</v>
          </cell>
          <cell r="F1597">
            <v>34</v>
          </cell>
          <cell r="G1597">
            <v>66</v>
          </cell>
          <cell r="H1597">
            <v>51.5</v>
          </cell>
          <cell r="I1597">
            <v>4</v>
          </cell>
          <cell r="J1597">
            <v>0</v>
          </cell>
          <cell r="K1597">
            <v>5</v>
          </cell>
          <cell r="L1597">
            <v>8</v>
          </cell>
          <cell r="M1597">
            <v>56</v>
          </cell>
          <cell r="N1597">
            <v>1</v>
          </cell>
          <cell r="O1597">
            <v>0</v>
          </cell>
          <cell r="P1597">
            <v>0</v>
          </cell>
          <cell r="Q1597">
            <v>5</v>
          </cell>
        </row>
        <row r="1598">
          <cell r="B1598">
            <v>2011</v>
          </cell>
          <cell r="C1598">
            <v>77</v>
          </cell>
          <cell r="D1598" t="str">
            <v>Christian Ponder</v>
          </cell>
          <cell r="F1598">
            <v>158</v>
          </cell>
          <cell r="G1598">
            <v>291</v>
          </cell>
          <cell r="H1598">
            <v>54.3</v>
          </cell>
          <cell r="I1598">
            <v>13</v>
          </cell>
          <cell r="J1598">
            <v>13</v>
          </cell>
          <cell r="K1598">
            <v>30</v>
          </cell>
          <cell r="L1598">
            <v>28</v>
          </cell>
          <cell r="M1598">
            <v>219</v>
          </cell>
          <cell r="N1598">
            <v>0</v>
          </cell>
          <cell r="O1598">
            <v>2</v>
          </cell>
          <cell r="P1598">
            <v>0</v>
          </cell>
          <cell r="Q1598">
            <v>11</v>
          </cell>
        </row>
        <row r="1599">
          <cell r="B1599">
            <v>2011</v>
          </cell>
          <cell r="C1599">
            <v>78</v>
          </cell>
          <cell r="D1599" t="str">
            <v>Colin Kaepernick</v>
          </cell>
          <cell r="F1599">
            <v>3</v>
          </cell>
          <cell r="G1599">
            <v>5</v>
          </cell>
          <cell r="H1599">
            <v>60</v>
          </cell>
          <cell r="I1599">
            <v>0</v>
          </cell>
          <cell r="J1599">
            <v>0</v>
          </cell>
          <cell r="K1599">
            <v>0</v>
          </cell>
          <cell r="L1599">
            <v>2</v>
          </cell>
          <cell r="M1599">
            <v>-2</v>
          </cell>
          <cell r="N1599">
            <v>0</v>
          </cell>
          <cell r="O1599">
            <v>0</v>
          </cell>
          <cell r="P1599">
            <v>0</v>
          </cell>
          <cell r="Q1599">
            <v>3</v>
          </cell>
        </row>
        <row r="1600">
          <cell r="B1600">
            <v>2011</v>
          </cell>
          <cell r="C1600">
            <v>79</v>
          </cell>
          <cell r="D1600" t="str">
            <v>T.J. Yates</v>
          </cell>
          <cell r="F1600">
            <v>82</v>
          </cell>
          <cell r="G1600">
            <v>134</v>
          </cell>
          <cell r="H1600">
            <v>61.2</v>
          </cell>
          <cell r="I1600">
            <v>3</v>
          </cell>
          <cell r="J1600">
            <v>3</v>
          </cell>
          <cell r="K1600">
            <v>15</v>
          </cell>
          <cell r="L1600">
            <v>14</v>
          </cell>
          <cell r="M1600">
            <v>57</v>
          </cell>
          <cell r="N1600">
            <v>0</v>
          </cell>
          <cell r="O1600">
            <v>3</v>
          </cell>
          <cell r="P1600">
            <v>0</v>
          </cell>
          <cell r="Q1600">
            <v>6</v>
          </cell>
        </row>
        <row r="1601">
          <cell r="B1601">
            <v>2011</v>
          </cell>
          <cell r="C1601">
            <v>80</v>
          </cell>
          <cell r="D1601" t="str">
            <v>Ben Chappell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</row>
        <row r="1602">
          <cell r="B1602">
            <v>2011</v>
          </cell>
          <cell r="C1602">
            <v>81</v>
          </cell>
          <cell r="D1602" t="str">
            <v>Adam Froman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</row>
        <row r="1603">
          <cell r="B1603">
            <v>2011</v>
          </cell>
          <cell r="C1603">
            <v>82</v>
          </cell>
          <cell r="D1603" t="str">
            <v>John David Booty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</row>
        <row r="1604">
          <cell r="B1604">
            <v>2011</v>
          </cell>
          <cell r="C1604">
            <v>83</v>
          </cell>
          <cell r="D1604" t="str">
            <v>Erik Ainge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</row>
        <row r="1605">
          <cell r="B1605">
            <v>2011</v>
          </cell>
          <cell r="C1605">
            <v>84</v>
          </cell>
          <cell r="D1605" t="str">
            <v>Stephen McGee</v>
          </cell>
          <cell r="F1605">
            <v>24</v>
          </cell>
          <cell r="G1605">
            <v>38</v>
          </cell>
          <cell r="H1605">
            <v>63.2</v>
          </cell>
          <cell r="I1605">
            <v>1</v>
          </cell>
          <cell r="J1605">
            <v>0</v>
          </cell>
          <cell r="K1605">
            <v>3</v>
          </cell>
          <cell r="L1605">
            <v>4</v>
          </cell>
          <cell r="M1605">
            <v>28</v>
          </cell>
          <cell r="N1605">
            <v>0</v>
          </cell>
          <cell r="O1605">
            <v>0</v>
          </cell>
          <cell r="P1605">
            <v>0</v>
          </cell>
          <cell r="Q1605">
            <v>1</v>
          </cell>
        </row>
        <row r="1606">
          <cell r="B1606">
            <v>2011</v>
          </cell>
          <cell r="C1606">
            <v>85</v>
          </cell>
          <cell r="D1606" t="str">
            <v>Hunter Cantwell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</row>
        <row r="1607">
          <cell r="B1607">
            <v>2011</v>
          </cell>
          <cell r="C1607">
            <v>86</v>
          </cell>
          <cell r="D1607" t="str">
            <v>Mike Kafka</v>
          </cell>
          <cell r="F1607">
            <v>11</v>
          </cell>
          <cell r="G1607">
            <v>16</v>
          </cell>
          <cell r="H1607">
            <v>68.8</v>
          </cell>
          <cell r="I1607">
            <v>0</v>
          </cell>
          <cell r="J1607">
            <v>2</v>
          </cell>
          <cell r="K1607">
            <v>1</v>
          </cell>
          <cell r="L1607">
            <v>3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4</v>
          </cell>
        </row>
        <row r="1608">
          <cell r="B1608">
            <v>2011</v>
          </cell>
          <cell r="C1608">
            <v>87</v>
          </cell>
          <cell r="D1608" t="str">
            <v>Levi Brown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16</v>
          </cell>
        </row>
        <row r="1609">
          <cell r="B1609">
            <v>2011</v>
          </cell>
          <cell r="C1609">
            <v>88</v>
          </cell>
          <cell r="D1609" t="str">
            <v>Case Keenum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</row>
        <row r="1610">
          <cell r="B1610">
            <v>2011</v>
          </cell>
          <cell r="C1610">
            <v>89</v>
          </cell>
          <cell r="D1610" t="str">
            <v>Ryan Tannehill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</row>
        <row r="1611">
          <cell r="B1611">
            <v>2011</v>
          </cell>
          <cell r="C1611">
            <v>90</v>
          </cell>
          <cell r="D1611" t="str">
            <v>Nick Foles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>
            <v>2011</v>
          </cell>
          <cell r="C1612">
            <v>91</v>
          </cell>
          <cell r="D1612" t="str">
            <v>Kirk Cousins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</row>
        <row r="1613">
          <cell r="B1613">
            <v>2011</v>
          </cell>
          <cell r="C1613">
            <v>92</v>
          </cell>
          <cell r="D1613" t="str">
            <v>Russell Wilson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</row>
        <row r="1614">
          <cell r="B1614">
            <v>2011</v>
          </cell>
          <cell r="C1614">
            <v>93</v>
          </cell>
          <cell r="D1614" t="str">
            <v>Eli Manning</v>
          </cell>
          <cell r="F1614">
            <v>359</v>
          </cell>
          <cell r="G1614">
            <v>589</v>
          </cell>
          <cell r="H1614">
            <v>61</v>
          </cell>
          <cell r="I1614">
            <v>29</v>
          </cell>
          <cell r="J1614">
            <v>16</v>
          </cell>
          <cell r="K1614">
            <v>28</v>
          </cell>
          <cell r="L1614">
            <v>35</v>
          </cell>
          <cell r="M1614">
            <v>15</v>
          </cell>
          <cell r="N1614">
            <v>1</v>
          </cell>
          <cell r="O1614">
            <v>4</v>
          </cell>
          <cell r="P1614">
            <v>0</v>
          </cell>
          <cell r="Q1614">
            <v>16</v>
          </cell>
        </row>
        <row r="1615">
          <cell r="B1615">
            <v>2011</v>
          </cell>
          <cell r="C1615">
            <v>94</v>
          </cell>
          <cell r="D1615" t="str">
            <v>Derek Anderson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2</v>
          </cell>
          <cell r="M1615">
            <v>-2</v>
          </cell>
          <cell r="N1615">
            <v>0</v>
          </cell>
          <cell r="O1615">
            <v>0</v>
          </cell>
          <cell r="P1615">
            <v>0</v>
          </cell>
          <cell r="Q1615">
            <v>2</v>
          </cell>
        </row>
        <row r="1616">
          <cell r="B1616">
            <v>2011</v>
          </cell>
          <cell r="C1616">
            <v>95</v>
          </cell>
          <cell r="D1616" t="str">
            <v>Curtis Painter</v>
          </cell>
          <cell r="F1616">
            <v>132</v>
          </cell>
          <cell r="G1616">
            <v>243</v>
          </cell>
          <cell r="H1616">
            <v>54.3</v>
          </cell>
          <cell r="I1616">
            <v>6</v>
          </cell>
          <cell r="J1616">
            <v>9</v>
          </cell>
          <cell r="K1616">
            <v>16</v>
          </cell>
          <cell r="L1616">
            <v>17</v>
          </cell>
          <cell r="M1616">
            <v>107</v>
          </cell>
          <cell r="N1616">
            <v>0</v>
          </cell>
          <cell r="O1616">
            <v>3</v>
          </cell>
          <cell r="P1616">
            <v>0</v>
          </cell>
          <cell r="Q1616">
            <v>9</v>
          </cell>
        </row>
        <row r="1617">
          <cell r="B1617">
            <v>2011</v>
          </cell>
          <cell r="C1617">
            <v>96</v>
          </cell>
          <cell r="D1617" t="str">
            <v>Jason Campbell</v>
          </cell>
          <cell r="F1617">
            <v>100</v>
          </cell>
          <cell r="G1617">
            <v>165</v>
          </cell>
          <cell r="H1617">
            <v>60.6</v>
          </cell>
          <cell r="I1617">
            <v>6</v>
          </cell>
          <cell r="J1617">
            <v>4</v>
          </cell>
          <cell r="K1617">
            <v>5</v>
          </cell>
          <cell r="L1617">
            <v>18</v>
          </cell>
          <cell r="M1617">
            <v>60</v>
          </cell>
          <cell r="N1617">
            <v>2</v>
          </cell>
          <cell r="O1617">
            <v>1</v>
          </cell>
          <cell r="P1617">
            <v>0</v>
          </cell>
          <cell r="Q1617">
            <v>6</v>
          </cell>
        </row>
        <row r="1618">
          <cell r="B1618">
            <v>2011</v>
          </cell>
          <cell r="C1618">
            <v>97</v>
          </cell>
          <cell r="D1618" t="str">
            <v>Jay Cutler</v>
          </cell>
          <cell r="F1618">
            <v>182</v>
          </cell>
          <cell r="G1618">
            <v>314</v>
          </cell>
          <cell r="H1618">
            <v>58</v>
          </cell>
          <cell r="I1618">
            <v>13</v>
          </cell>
          <cell r="J1618">
            <v>7</v>
          </cell>
          <cell r="K1618">
            <v>23</v>
          </cell>
          <cell r="L1618">
            <v>18</v>
          </cell>
          <cell r="M1618">
            <v>55</v>
          </cell>
          <cell r="N1618">
            <v>1</v>
          </cell>
          <cell r="O1618">
            <v>3</v>
          </cell>
          <cell r="P1618">
            <v>0</v>
          </cell>
          <cell r="Q1618">
            <v>10</v>
          </cell>
        </row>
        <row r="1619">
          <cell r="B1619">
            <v>2011</v>
          </cell>
          <cell r="C1619">
            <v>98</v>
          </cell>
          <cell r="D1619" t="str">
            <v>Josh Freeman</v>
          </cell>
          <cell r="F1619">
            <v>346</v>
          </cell>
          <cell r="G1619">
            <v>551</v>
          </cell>
          <cell r="H1619">
            <v>62.8</v>
          </cell>
          <cell r="I1619">
            <v>16</v>
          </cell>
          <cell r="J1619">
            <v>22</v>
          </cell>
          <cell r="K1619">
            <v>29</v>
          </cell>
          <cell r="L1619">
            <v>55</v>
          </cell>
          <cell r="M1619">
            <v>238</v>
          </cell>
          <cell r="N1619">
            <v>4</v>
          </cell>
          <cell r="O1619">
            <v>5</v>
          </cell>
          <cell r="P1619">
            <v>0</v>
          </cell>
          <cell r="Q1619">
            <v>15</v>
          </cell>
        </row>
        <row r="1620">
          <cell r="B1620">
            <v>2011</v>
          </cell>
          <cell r="C1620">
            <v>99</v>
          </cell>
          <cell r="D1620" t="str">
            <v>Kellen Clemens</v>
          </cell>
          <cell r="F1620">
            <v>48</v>
          </cell>
          <cell r="G1620">
            <v>91</v>
          </cell>
          <cell r="H1620">
            <v>52.7</v>
          </cell>
          <cell r="I1620">
            <v>2</v>
          </cell>
          <cell r="J1620">
            <v>1</v>
          </cell>
          <cell r="K1620">
            <v>9</v>
          </cell>
          <cell r="L1620">
            <v>6</v>
          </cell>
          <cell r="M1620">
            <v>37</v>
          </cell>
          <cell r="N1620">
            <v>1</v>
          </cell>
          <cell r="O1620">
            <v>0</v>
          </cell>
          <cell r="P1620">
            <v>0</v>
          </cell>
          <cell r="Q1620">
            <v>3</v>
          </cell>
        </row>
        <row r="1621">
          <cell r="B1621">
            <v>2011</v>
          </cell>
          <cell r="C1621">
            <v>100</v>
          </cell>
          <cell r="D1621" t="str">
            <v>Brett Ratliff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</row>
        <row r="1622">
          <cell r="B1622">
            <v>2011</v>
          </cell>
          <cell r="C1622">
            <v>101</v>
          </cell>
          <cell r="D1622" t="str">
            <v>Brian Brohm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</row>
        <row r="1623">
          <cell r="B1623">
            <v>2011</v>
          </cell>
          <cell r="C1623">
            <v>102</v>
          </cell>
          <cell r="D1623" t="str">
            <v>Bruce Gradkowski</v>
          </cell>
          <cell r="F1623">
            <v>8</v>
          </cell>
          <cell r="G1623">
            <v>18</v>
          </cell>
          <cell r="H1623">
            <v>44.4</v>
          </cell>
          <cell r="I1623">
            <v>1</v>
          </cell>
          <cell r="J1623">
            <v>1</v>
          </cell>
          <cell r="K1623">
            <v>1</v>
          </cell>
          <cell r="L1623">
            <v>3</v>
          </cell>
          <cell r="M1623">
            <v>1</v>
          </cell>
          <cell r="N1623">
            <v>0</v>
          </cell>
          <cell r="O1623">
            <v>0</v>
          </cell>
          <cell r="P1623">
            <v>0</v>
          </cell>
          <cell r="Q1623">
            <v>2</v>
          </cell>
        </row>
        <row r="1624">
          <cell r="B1624">
            <v>2011</v>
          </cell>
          <cell r="C1624">
            <v>103</v>
          </cell>
          <cell r="D1624" t="str">
            <v>Caleb Hanie</v>
          </cell>
          <cell r="F1624">
            <v>51</v>
          </cell>
          <cell r="G1624">
            <v>102</v>
          </cell>
          <cell r="H1624">
            <v>50</v>
          </cell>
          <cell r="I1624">
            <v>3</v>
          </cell>
          <cell r="J1624">
            <v>9</v>
          </cell>
          <cell r="K1624">
            <v>19</v>
          </cell>
          <cell r="L1624">
            <v>13</v>
          </cell>
          <cell r="M1624">
            <v>98</v>
          </cell>
          <cell r="N1624">
            <v>0</v>
          </cell>
          <cell r="O1624">
            <v>0</v>
          </cell>
          <cell r="P1624">
            <v>0</v>
          </cell>
          <cell r="Q1624">
            <v>6</v>
          </cell>
        </row>
        <row r="1625">
          <cell r="B1625">
            <v>2011</v>
          </cell>
          <cell r="C1625">
            <v>104</v>
          </cell>
          <cell r="D1625" t="str">
            <v>Carson Palmer</v>
          </cell>
          <cell r="F1625">
            <v>199</v>
          </cell>
          <cell r="G1625">
            <v>328</v>
          </cell>
          <cell r="H1625">
            <v>60.7</v>
          </cell>
          <cell r="I1625">
            <v>13</v>
          </cell>
          <cell r="J1625">
            <v>16</v>
          </cell>
          <cell r="K1625">
            <v>17</v>
          </cell>
          <cell r="L1625">
            <v>16</v>
          </cell>
          <cell r="M1625">
            <v>20</v>
          </cell>
          <cell r="N1625">
            <v>1</v>
          </cell>
          <cell r="O1625">
            <v>1</v>
          </cell>
          <cell r="P1625">
            <v>0</v>
          </cell>
          <cell r="Q1625">
            <v>10</v>
          </cell>
        </row>
        <row r="1626">
          <cell r="B1626">
            <v>2011</v>
          </cell>
          <cell r="C1626">
            <v>105</v>
          </cell>
          <cell r="D1626" t="str">
            <v>Keith Null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>
            <v>2011</v>
          </cell>
          <cell r="C1627">
            <v>106</v>
          </cell>
          <cell r="D1627" t="str">
            <v>Sam Bradford</v>
          </cell>
          <cell r="F1627">
            <v>191</v>
          </cell>
          <cell r="G1627">
            <v>357</v>
          </cell>
          <cell r="H1627">
            <v>53.5</v>
          </cell>
          <cell r="I1627">
            <v>6</v>
          </cell>
          <cell r="J1627">
            <v>6</v>
          </cell>
          <cell r="K1627">
            <v>36</v>
          </cell>
          <cell r="L1627">
            <v>18</v>
          </cell>
          <cell r="M1627">
            <v>26</v>
          </cell>
          <cell r="N1627">
            <v>0</v>
          </cell>
          <cell r="O1627">
            <v>7</v>
          </cell>
          <cell r="P1627">
            <v>0</v>
          </cell>
          <cell r="Q1627">
            <v>10</v>
          </cell>
        </row>
        <row r="1628">
          <cell r="B1628">
            <v>2011</v>
          </cell>
          <cell r="C1628">
            <v>107</v>
          </cell>
          <cell r="D1628" t="str">
            <v>Tony Romo</v>
          </cell>
          <cell r="F1628">
            <v>346</v>
          </cell>
          <cell r="G1628">
            <v>522</v>
          </cell>
          <cell r="H1628">
            <v>66.3</v>
          </cell>
          <cell r="I1628">
            <v>31</v>
          </cell>
          <cell r="J1628">
            <v>10</v>
          </cell>
          <cell r="K1628">
            <v>36</v>
          </cell>
          <cell r="L1628">
            <v>22</v>
          </cell>
          <cell r="M1628">
            <v>46</v>
          </cell>
          <cell r="N1628">
            <v>1</v>
          </cell>
          <cell r="O1628">
            <v>3</v>
          </cell>
          <cell r="P1628">
            <v>0</v>
          </cell>
          <cell r="Q1628">
            <v>16</v>
          </cell>
        </row>
        <row r="1629">
          <cell r="B1629">
            <v>2011</v>
          </cell>
          <cell r="C1629">
            <v>108</v>
          </cell>
          <cell r="D1629" t="str">
            <v>Tyler Thigpen</v>
          </cell>
          <cell r="F1629">
            <v>3</v>
          </cell>
          <cell r="G1629">
            <v>8</v>
          </cell>
          <cell r="H1629">
            <v>37.5</v>
          </cell>
          <cell r="I1629">
            <v>0</v>
          </cell>
          <cell r="J1629">
            <v>1</v>
          </cell>
          <cell r="K1629">
            <v>0</v>
          </cell>
          <cell r="L1629">
            <v>1</v>
          </cell>
          <cell r="M1629">
            <v>8</v>
          </cell>
          <cell r="N1629">
            <v>0</v>
          </cell>
          <cell r="O1629">
            <v>0</v>
          </cell>
          <cell r="P1629">
            <v>0</v>
          </cell>
          <cell r="Q1629">
            <v>3</v>
          </cell>
        </row>
        <row r="1630">
          <cell r="B1630">
            <v>2011</v>
          </cell>
          <cell r="C1630">
            <v>109</v>
          </cell>
          <cell r="D1630" t="str">
            <v>Shaun Hill</v>
          </cell>
          <cell r="F1630">
            <v>2</v>
          </cell>
          <cell r="G1630">
            <v>3</v>
          </cell>
          <cell r="H1630">
            <v>66.7</v>
          </cell>
          <cell r="I1630">
            <v>0</v>
          </cell>
          <cell r="J1630">
            <v>0</v>
          </cell>
          <cell r="K1630">
            <v>0</v>
          </cell>
          <cell r="L1630">
            <v>1</v>
          </cell>
          <cell r="M1630">
            <v>-1</v>
          </cell>
          <cell r="N1630">
            <v>0</v>
          </cell>
          <cell r="O1630">
            <v>0</v>
          </cell>
          <cell r="P1630">
            <v>0</v>
          </cell>
          <cell r="Q1630">
            <v>2</v>
          </cell>
        </row>
        <row r="1631">
          <cell r="B1631">
            <v>2011</v>
          </cell>
          <cell r="C1631">
            <v>110</v>
          </cell>
          <cell r="D1631" t="str">
            <v>John Skelton</v>
          </cell>
          <cell r="F1631">
            <v>151</v>
          </cell>
          <cell r="G1631">
            <v>275</v>
          </cell>
          <cell r="H1631">
            <v>54.9</v>
          </cell>
          <cell r="I1631">
            <v>11</v>
          </cell>
          <cell r="J1631">
            <v>14</v>
          </cell>
          <cell r="K1631">
            <v>23</v>
          </cell>
          <cell r="L1631">
            <v>28</v>
          </cell>
          <cell r="M1631">
            <v>128</v>
          </cell>
          <cell r="N1631">
            <v>0</v>
          </cell>
          <cell r="O1631">
            <v>1</v>
          </cell>
          <cell r="P1631">
            <v>0</v>
          </cell>
          <cell r="Q1631">
            <v>8</v>
          </cell>
        </row>
        <row r="1632">
          <cell r="B1632">
            <v>2011</v>
          </cell>
          <cell r="C1632">
            <v>111</v>
          </cell>
          <cell r="D1632" t="str">
            <v>Charlie Whitehurst</v>
          </cell>
          <cell r="F1632">
            <v>27</v>
          </cell>
          <cell r="G1632">
            <v>56</v>
          </cell>
          <cell r="H1632">
            <v>48.2</v>
          </cell>
          <cell r="I1632">
            <v>1</v>
          </cell>
          <cell r="J1632">
            <v>1</v>
          </cell>
          <cell r="K1632">
            <v>8</v>
          </cell>
          <cell r="L1632">
            <v>4</v>
          </cell>
          <cell r="M1632">
            <v>13</v>
          </cell>
          <cell r="N1632">
            <v>0</v>
          </cell>
          <cell r="O1632">
            <v>1</v>
          </cell>
          <cell r="P1632">
            <v>0</v>
          </cell>
          <cell r="Q1632">
            <v>3</v>
          </cell>
        </row>
        <row r="1633">
          <cell r="B1633">
            <v>2011</v>
          </cell>
          <cell r="C1633">
            <v>112</v>
          </cell>
          <cell r="D1633" t="str">
            <v>Dan Orlovsky</v>
          </cell>
          <cell r="F1633">
            <v>122</v>
          </cell>
          <cell r="G1633">
            <v>193</v>
          </cell>
          <cell r="H1633">
            <v>63.2</v>
          </cell>
          <cell r="I1633">
            <v>6</v>
          </cell>
          <cell r="J1633">
            <v>4</v>
          </cell>
          <cell r="K1633">
            <v>14</v>
          </cell>
          <cell r="L1633">
            <v>6</v>
          </cell>
          <cell r="M1633">
            <v>5</v>
          </cell>
          <cell r="N1633">
            <v>0</v>
          </cell>
          <cell r="O1633">
            <v>3</v>
          </cell>
          <cell r="P1633">
            <v>0</v>
          </cell>
          <cell r="Q1633">
            <v>8</v>
          </cell>
        </row>
        <row r="1634">
          <cell r="B1634">
            <v>2011</v>
          </cell>
          <cell r="C1634">
            <v>113</v>
          </cell>
          <cell r="D1634" t="str">
            <v>Tarvaris Jackson</v>
          </cell>
          <cell r="F1634">
            <v>271</v>
          </cell>
          <cell r="G1634">
            <v>450</v>
          </cell>
          <cell r="H1634">
            <v>60.2</v>
          </cell>
          <cell r="I1634">
            <v>14</v>
          </cell>
          <cell r="J1634">
            <v>13</v>
          </cell>
          <cell r="K1634">
            <v>42</v>
          </cell>
          <cell r="L1634">
            <v>40</v>
          </cell>
          <cell r="M1634">
            <v>108</v>
          </cell>
          <cell r="N1634">
            <v>1</v>
          </cell>
          <cell r="O1634">
            <v>5</v>
          </cell>
          <cell r="P1634">
            <v>0</v>
          </cell>
          <cell r="Q1634">
            <v>15</v>
          </cell>
        </row>
        <row r="1635">
          <cell r="B1635">
            <v>2011</v>
          </cell>
          <cell r="C1635">
            <v>114</v>
          </cell>
          <cell r="D1635" t="str">
            <v>Seneca Wallace</v>
          </cell>
          <cell r="F1635">
            <v>55</v>
          </cell>
          <cell r="G1635">
            <v>107</v>
          </cell>
          <cell r="H1635">
            <v>51.4</v>
          </cell>
          <cell r="I1635">
            <v>2</v>
          </cell>
          <cell r="J1635">
            <v>2</v>
          </cell>
          <cell r="K1635">
            <v>6</v>
          </cell>
          <cell r="L1635">
            <v>7</v>
          </cell>
          <cell r="M1635">
            <v>70</v>
          </cell>
          <cell r="N1635">
            <v>0</v>
          </cell>
          <cell r="O1635">
            <v>1</v>
          </cell>
          <cell r="P1635">
            <v>0</v>
          </cell>
          <cell r="Q1635">
            <v>6</v>
          </cell>
        </row>
        <row r="1636">
          <cell r="B1636">
            <v>2011</v>
          </cell>
          <cell r="C1636">
            <v>115</v>
          </cell>
          <cell r="D1636" t="str">
            <v>Kevin Kolb</v>
          </cell>
          <cell r="F1636">
            <v>146</v>
          </cell>
          <cell r="G1636">
            <v>253</v>
          </cell>
          <cell r="H1636">
            <v>57.7</v>
          </cell>
          <cell r="I1636">
            <v>9</v>
          </cell>
          <cell r="J1636">
            <v>8</v>
          </cell>
          <cell r="K1636">
            <v>30</v>
          </cell>
          <cell r="L1636">
            <v>17</v>
          </cell>
          <cell r="M1636">
            <v>65</v>
          </cell>
          <cell r="N1636">
            <v>0</v>
          </cell>
          <cell r="O1636">
            <v>3</v>
          </cell>
          <cell r="P1636">
            <v>0</v>
          </cell>
          <cell r="Q1636">
            <v>9</v>
          </cell>
        </row>
        <row r="1637">
          <cell r="B1637">
            <v>2011</v>
          </cell>
          <cell r="C1637">
            <v>116</v>
          </cell>
          <cell r="D1637" t="str">
            <v>Matt Cassel</v>
          </cell>
          <cell r="F1637">
            <v>160</v>
          </cell>
          <cell r="G1637">
            <v>269</v>
          </cell>
          <cell r="H1637">
            <v>59.5</v>
          </cell>
          <cell r="I1637">
            <v>10</v>
          </cell>
          <cell r="J1637">
            <v>9</v>
          </cell>
          <cell r="K1637">
            <v>22</v>
          </cell>
          <cell r="L1637">
            <v>25</v>
          </cell>
          <cell r="M1637">
            <v>99</v>
          </cell>
          <cell r="N1637">
            <v>0</v>
          </cell>
          <cell r="O1637">
            <v>2</v>
          </cell>
          <cell r="P1637">
            <v>0</v>
          </cell>
          <cell r="Q1637">
            <v>9</v>
          </cell>
        </row>
        <row r="1638">
          <cell r="B1638">
            <v>2011</v>
          </cell>
          <cell r="C1638">
            <v>117</v>
          </cell>
          <cell r="D1638" t="str">
            <v>Kyle Orton</v>
          </cell>
          <cell r="F1638">
            <v>150</v>
          </cell>
          <cell r="G1638">
            <v>252</v>
          </cell>
          <cell r="H1638">
            <v>59.5</v>
          </cell>
          <cell r="I1638">
            <v>9</v>
          </cell>
          <cell r="J1638">
            <v>9</v>
          </cell>
          <cell r="K1638">
            <v>10</v>
          </cell>
          <cell r="L1638">
            <v>11</v>
          </cell>
          <cell r="M1638">
            <v>13</v>
          </cell>
          <cell r="N1638">
            <v>0</v>
          </cell>
          <cell r="O1638">
            <v>2</v>
          </cell>
          <cell r="P1638">
            <v>0</v>
          </cell>
          <cell r="Q1638">
            <v>9</v>
          </cell>
        </row>
        <row r="1639">
          <cell r="B1639">
            <v>2011</v>
          </cell>
          <cell r="C1639">
            <v>118</v>
          </cell>
          <cell r="D1639" t="str">
            <v>Mark Sanchez</v>
          </cell>
          <cell r="F1639">
            <v>308</v>
          </cell>
          <cell r="G1639">
            <v>543</v>
          </cell>
          <cell r="H1639">
            <v>56.7</v>
          </cell>
          <cell r="I1639">
            <v>26</v>
          </cell>
          <cell r="J1639">
            <v>18</v>
          </cell>
          <cell r="K1639">
            <v>39</v>
          </cell>
          <cell r="L1639">
            <v>37</v>
          </cell>
          <cell r="M1639">
            <v>103</v>
          </cell>
          <cell r="N1639">
            <v>6</v>
          </cell>
          <cell r="O1639">
            <v>8</v>
          </cell>
          <cell r="P1639">
            <v>0</v>
          </cell>
          <cell r="Q1639">
            <v>16</v>
          </cell>
        </row>
        <row r="1640">
          <cell r="B1640">
            <v>2011</v>
          </cell>
          <cell r="C1640">
            <v>119</v>
          </cell>
          <cell r="D1640" t="str">
            <v>Matt Flynn</v>
          </cell>
          <cell r="F1640">
            <v>33</v>
          </cell>
          <cell r="G1640">
            <v>49</v>
          </cell>
          <cell r="H1640">
            <v>67.3</v>
          </cell>
          <cell r="I1640">
            <v>6</v>
          </cell>
          <cell r="J1640">
            <v>2</v>
          </cell>
          <cell r="K1640">
            <v>5</v>
          </cell>
          <cell r="L1640">
            <v>13</v>
          </cell>
          <cell r="M1640">
            <v>-6</v>
          </cell>
          <cell r="N1640">
            <v>1</v>
          </cell>
          <cell r="O1640">
            <v>1</v>
          </cell>
          <cell r="P1640">
            <v>0</v>
          </cell>
          <cell r="Q1640">
            <v>5</v>
          </cell>
        </row>
        <row r="1641">
          <cell r="B1641">
            <v>2011</v>
          </cell>
          <cell r="C1641">
            <v>120</v>
          </cell>
          <cell r="D1641" t="str">
            <v>Rex Grossman</v>
          </cell>
          <cell r="F1641">
            <v>265</v>
          </cell>
          <cell r="G1641">
            <v>458</v>
          </cell>
          <cell r="H1641">
            <v>57.9</v>
          </cell>
          <cell r="I1641">
            <v>16</v>
          </cell>
          <cell r="J1641">
            <v>20</v>
          </cell>
          <cell r="K1641">
            <v>25</v>
          </cell>
          <cell r="L1641">
            <v>20</v>
          </cell>
          <cell r="M1641">
            <v>11</v>
          </cell>
          <cell r="N1641">
            <v>1</v>
          </cell>
          <cell r="O1641">
            <v>5</v>
          </cell>
          <cell r="P1641">
            <v>0</v>
          </cell>
          <cell r="Q1641">
            <v>13</v>
          </cell>
        </row>
        <row r="1642">
          <cell r="B1642">
            <v>2011</v>
          </cell>
          <cell r="C1642">
            <v>121</v>
          </cell>
          <cell r="D1642" t="str">
            <v>Matt Hasselbeck</v>
          </cell>
          <cell r="F1642">
            <v>319</v>
          </cell>
          <cell r="G1642">
            <v>518</v>
          </cell>
          <cell r="H1642">
            <v>61.6</v>
          </cell>
          <cell r="I1642">
            <v>18</v>
          </cell>
          <cell r="J1642">
            <v>14</v>
          </cell>
          <cell r="K1642">
            <v>19</v>
          </cell>
          <cell r="L1642">
            <v>20</v>
          </cell>
          <cell r="M1642">
            <v>52</v>
          </cell>
          <cell r="N1642">
            <v>0</v>
          </cell>
          <cell r="O1642">
            <v>1</v>
          </cell>
          <cell r="P1642">
            <v>0</v>
          </cell>
          <cell r="Q1642">
            <v>16</v>
          </cell>
        </row>
        <row r="1643">
          <cell r="B1643">
            <v>2011</v>
          </cell>
          <cell r="C1643">
            <v>122</v>
          </cell>
          <cell r="D1643" t="str">
            <v>Michael Vick</v>
          </cell>
          <cell r="F1643">
            <v>253</v>
          </cell>
          <cell r="G1643">
            <v>423</v>
          </cell>
          <cell r="H1643">
            <v>59.8</v>
          </cell>
          <cell r="I1643">
            <v>18</v>
          </cell>
          <cell r="J1643">
            <v>14</v>
          </cell>
          <cell r="K1643">
            <v>23</v>
          </cell>
          <cell r="L1643">
            <v>76</v>
          </cell>
          <cell r="M1643">
            <v>589</v>
          </cell>
          <cell r="N1643">
            <v>1</v>
          </cell>
          <cell r="O1643">
            <v>4</v>
          </cell>
          <cell r="P1643">
            <v>0</v>
          </cell>
          <cell r="Q1643">
            <v>13</v>
          </cell>
        </row>
        <row r="1644">
          <cell r="B1644">
            <v>2011</v>
          </cell>
          <cell r="C1644">
            <v>123</v>
          </cell>
          <cell r="D1644" t="str">
            <v>Philip Rivers</v>
          </cell>
          <cell r="F1644">
            <v>366</v>
          </cell>
          <cell r="G1644">
            <v>582</v>
          </cell>
          <cell r="H1644">
            <v>62.9</v>
          </cell>
          <cell r="I1644">
            <v>27</v>
          </cell>
          <cell r="J1644">
            <v>20</v>
          </cell>
          <cell r="K1644">
            <v>30</v>
          </cell>
          <cell r="L1644">
            <v>26</v>
          </cell>
          <cell r="M1644">
            <v>36</v>
          </cell>
          <cell r="N1644">
            <v>1</v>
          </cell>
          <cell r="O1644">
            <v>5</v>
          </cell>
          <cell r="P1644">
            <v>0</v>
          </cell>
          <cell r="Q1644">
            <v>16</v>
          </cell>
        </row>
        <row r="1645">
          <cell r="B1645">
            <v>2011</v>
          </cell>
          <cell r="C1645">
            <v>124</v>
          </cell>
          <cell r="D1645" t="str">
            <v>Nate Sudfeld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>
            <v>2011</v>
          </cell>
          <cell r="C1646">
            <v>125</v>
          </cell>
          <cell r="D1646" t="str">
            <v>Kevin Hogan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</row>
        <row r="1647">
          <cell r="B1647">
            <v>2011</v>
          </cell>
          <cell r="C1647">
            <v>126</v>
          </cell>
          <cell r="D1647" t="str">
            <v>Carson Wentz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</row>
        <row r="1648">
          <cell r="B1648">
            <v>2011</v>
          </cell>
          <cell r="C1648">
            <v>127</v>
          </cell>
          <cell r="D1648" t="str">
            <v>Jared Goff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</row>
        <row r="1649">
          <cell r="B1649">
            <v>2011</v>
          </cell>
          <cell r="C1649">
            <v>128</v>
          </cell>
          <cell r="D1649" t="str">
            <v>Dak Prescott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>
            <v>2011</v>
          </cell>
          <cell r="C1650">
            <v>129</v>
          </cell>
          <cell r="D1650" t="str">
            <v>Brandon Allen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</row>
        <row r="1651">
          <cell r="B1651">
            <v>2011</v>
          </cell>
          <cell r="C1651">
            <v>130</v>
          </cell>
          <cell r="D1651" t="str">
            <v>Jeff Driskel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>
            <v>2011</v>
          </cell>
          <cell r="C1652">
            <v>131</v>
          </cell>
          <cell r="D1652" t="str">
            <v>Jacoby Brissett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</row>
        <row r="1653">
          <cell r="B1653">
            <v>2011</v>
          </cell>
          <cell r="C1653">
            <v>132</v>
          </cell>
          <cell r="D1653" t="str">
            <v>Mitchell Trubisky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>
            <v>2011</v>
          </cell>
          <cell r="C1654">
            <v>133</v>
          </cell>
          <cell r="D1654" t="str">
            <v>Deshaun Watson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>
            <v>2011</v>
          </cell>
          <cell r="C1655">
            <v>134</v>
          </cell>
          <cell r="D1655" t="str">
            <v>Mason Rudolph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>
            <v>2011</v>
          </cell>
          <cell r="C1656">
            <v>135</v>
          </cell>
          <cell r="D1656" t="str">
            <v>Taysom Hill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</row>
        <row r="1657">
          <cell r="B1657">
            <v>2011</v>
          </cell>
          <cell r="C1657">
            <v>136</v>
          </cell>
          <cell r="D1657" t="str">
            <v>Josh Rosen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</row>
        <row r="1658">
          <cell r="B1658">
            <v>2011</v>
          </cell>
          <cell r="C1658">
            <v>137</v>
          </cell>
          <cell r="D1658" t="str">
            <v>Sam Darnold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>
            <v>2011</v>
          </cell>
          <cell r="C1659">
            <v>138</v>
          </cell>
          <cell r="D1659" t="str">
            <v>Baker Mayfield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</row>
        <row r="1660">
          <cell r="B1660">
            <v>2011</v>
          </cell>
          <cell r="C1660">
            <v>139</v>
          </cell>
          <cell r="D1660" t="str">
            <v>Logan Woodside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</row>
        <row r="1661">
          <cell r="B1661">
            <v>2011</v>
          </cell>
          <cell r="C1661">
            <v>140</v>
          </cell>
          <cell r="D1661" t="str">
            <v>Josh Allen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</row>
        <row r="1662">
          <cell r="B1662">
            <v>2011</v>
          </cell>
          <cell r="C1662">
            <v>141</v>
          </cell>
          <cell r="D1662" t="str">
            <v>Patrick Mahomes II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>
            <v>2011</v>
          </cell>
          <cell r="C1663">
            <v>142</v>
          </cell>
          <cell r="D1663" t="str">
            <v>Joshua Dobbs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>
            <v>2011</v>
          </cell>
          <cell r="C1664">
            <v>143</v>
          </cell>
          <cell r="D1664" t="str">
            <v>Davis Webb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</row>
        <row r="1665">
          <cell r="B1665">
            <v>2011</v>
          </cell>
          <cell r="C1665">
            <v>144</v>
          </cell>
          <cell r="D1665" t="str">
            <v>C.J. Beathard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</row>
        <row r="1666">
          <cell r="B1666">
            <v>2011</v>
          </cell>
          <cell r="C1666">
            <v>145</v>
          </cell>
          <cell r="D1666" t="str">
            <v>Cooper Rush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>
            <v>2011</v>
          </cell>
          <cell r="C1667">
            <v>146</v>
          </cell>
          <cell r="D1667" t="str">
            <v>Nick Mullens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</row>
        <row r="1668">
          <cell r="B1668">
            <v>2011</v>
          </cell>
          <cell r="C1668">
            <v>147</v>
          </cell>
          <cell r="D1668" t="str">
            <v>P.J. Walker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</row>
        <row r="1669">
          <cell r="B1669">
            <v>2011</v>
          </cell>
          <cell r="C1669">
            <v>148</v>
          </cell>
          <cell r="D1669" t="str">
            <v>Jimmy Garoppolo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</row>
        <row r="1670">
          <cell r="B1670">
            <v>2011</v>
          </cell>
          <cell r="C1670">
            <v>149</v>
          </cell>
          <cell r="D1670" t="str">
            <v>Brett Smith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</row>
        <row r="1671">
          <cell r="B1671">
            <v>2011</v>
          </cell>
          <cell r="C1671">
            <v>150</v>
          </cell>
          <cell r="D1671" t="str">
            <v>David Fales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</row>
        <row r="1672">
          <cell r="B1672">
            <v>2011</v>
          </cell>
          <cell r="C1672">
            <v>151</v>
          </cell>
          <cell r="D1672" t="str">
            <v>Garrett Gilbert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>
            <v>2011</v>
          </cell>
          <cell r="C1673">
            <v>152</v>
          </cell>
          <cell r="D1673" t="str">
            <v>Geno Smith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</row>
        <row r="1674">
          <cell r="B1674">
            <v>2011</v>
          </cell>
          <cell r="C1674">
            <v>153</v>
          </cell>
          <cell r="D1674" t="str">
            <v>Mike Glennon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</row>
        <row r="1675">
          <cell r="B1675">
            <v>2011</v>
          </cell>
          <cell r="C1675">
            <v>154</v>
          </cell>
          <cell r="D1675" t="str">
            <v>Derek Carr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>
            <v>2011</v>
          </cell>
          <cell r="C1676">
            <v>155</v>
          </cell>
          <cell r="D1676" t="str">
            <v>Teddy Bridgewater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>
            <v>2011</v>
          </cell>
          <cell r="C1677">
            <v>156</v>
          </cell>
          <cell r="D1677" t="str">
            <v>Blake Bortles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</row>
        <row r="1678">
          <cell r="B1678">
            <v>2011</v>
          </cell>
          <cell r="C1678">
            <v>157</v>
          </cell>
          <cell r="D1678" t="str">
            <v>AJ McCarron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</row>
        <row r="1679">
          <cell r="B1679">
            <v>2011</v>
          </cell>
          <cell r="C1679">
            <v>158</v>
          </cell>
          <cell r="D1679" t="str">
            <v>Taylor Heinicke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>
            <v>2011</v>
          </cell>
          <cell r="C1680">
            <v>159</v>
          </cell>
          <cell r="D1680" t="str">
            <v>Sean Mannion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</row>
        <row r="1681">
          <cell r="B1681">
            <v>2011</v>
          </cell>
          <cell r="C1681">
            <v>160</v>
          </cell>
          <cell r="D1681" t="str">
            <v>Trevor Siemian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>
            <v>2011</v>
          </cell>
          <cell r="C1682">
            <v>161</v>
          </cell>
          <cell r="D1682" t="str">
            <v>Marcus Mariota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</row>
        <row r="1683">
          <cell r="B1683">
            <v>2011</v>
          </cell>
          <cell r="C1683">
            <v>162</v>
          </cell>
          <cell r="D1683" t="str">
            <v>Jameis Winston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</row>
        <row r="1684">
          <cell r="B1684">
            <v>2010</v>
          </cell>
          <cell r="C1684">
            <v>1</v>
          </cell>
          <cell r="D1684" t="str">
            <v>Aaron Rodgers</v>
          </cell>
          <cell r="F1684">
            <v>312</v>
          </cell>
          <cell r="G1684">
            <v>475</v>
          </cell>
          <cell r="H1684">
            <v>65.7</v>
          </cell>
          <cell r="I1684">
            <v>28</v>
          </cell>
          <cell r="J1684">
            <v>11</v>
          </cell>
          <cell r="K1684">
            <v>31</v>
          </cell>
          <cell r="L1684">
            <v>64</v>
          </cell>
          <cell r="M1684">
            <v>356</v>
          </cell>
          <cell r="N1684">
            <v>4</v>
          </cell>
          <cell r="O1684">
            <v>1</v>
          </cell>
          <cell r="P1684">
            <v>304.39999999999998</v>
          </cell>
          <cell r="Q1684">
            <v>15</v>
          </cell>
        </row>
        <row r="1685">
          <cell r="B1685">
            <v>2010</v>
          </cell>
          <cell r="C1685">
            <v>2</v>
          </cell>
          <cell r="D1685" t="str">
            <v>Tom Brady</v>
          </cell>
          <cell r="F1685">
            <v>324</v>
          </cell>
          <cell r="G1685">
            <v>492</v>
          </cell>
          <cell r="H1685">
            <v>65.900000000000006</v>
          </cell>
          <cell r="I1685">
            <v>36</v>
          </cell>
          <cell r="J1685">
            <v>4</v>
          </cell>
          <cell r="K1685">
            <v>25</v>
          </cell>
          <cell r="L1685">
            <v>31</v>
          </cell>
          <cell r="M1685">
            <v>30</v>
          </cell>
          <cell r="N1685">
            <v>1</v>
          </cell>
          <cell r="O1685">
            <v>1</v>
          </cell>
          <cell r="P1685">
            <v>299</v>
          </cell>
          <cell r="Q1685">
            <v>16</v>
          </cell>
        </row>
        <row r="1686">
          <cell r="B1686">
            <v>2010</v>
          </cell>
          <cell r="C1686">
            <v>3</v>
          </cell>
          <cell r="D1686" t="str">
            <v>Drew Brees</v>
          </cell>
          <cell r="F1686">
            <v>448</v>
          </cell>
          <cell r="G1686">
            <v>658</v>
          </cell>
          <cell r="H1686">
            <v>68.099999999999994</v>
          </cell>
          <cell r="I1686">
            <v>33</v>
          </cell>
          <cell r="J1686">
            <v>22</v>
          </cell>
          <cell r="K1686">
            <v>25</v>
          </cell>
          <cell r="L1686">
            <v>18</v>
          </cell>
          <cell r="M1686">
            <v>-3</v>
          </cell>
          <cell r="N1686">
            <v>0</v>
          </cell>
          <cell r="O1686">
            <v>2</v>
          </cell>
          <cell r="P1686">
            <v>269.7</v>
          </cell>
          <cell r="Q1686">
            <v>16</v>
          </cell>
        </row>
        <row r="1687">
          <cell r="B1687">
            <v>2010</v>
          </cell>
          <cell r="C1687">
            <v>4</v>
          </cell>
          <cell r="D1687" t="str">
            <v>Matt Ryan</v>
          </cell>
          <cell r="F1687">
            <v>357</v>
          </cell>
          <cell r="G1687">
            <v>571</v>
          </cell>
          <cell r="H1687">
            <v>62.5</v>
          </cell>
          <cell r="I1687">
            <v>28</v>
          </cell>
          <cell r="J1687">
            <v>9</v>
          </cell>
          <cell r="K1687">
            <v>23</v>
          </cell>
          <cell r="L1687">
            <v>46</v>
          </cell>
          <cell r="M1687">
            <v>122</v>
          </cell>
          <cell r="N1687">
            <v>0</v>
          </cell>
          <cell r="O1687">
            <v>3</v>
          </cell>
          <cell r="P1687">
            <v>248.4</v>
          </cell>
          <cell r="Q1687">
            <v>16</v>
          </cell>
        </row>
        <row r="1688">
          <cell r="B1688">
            <v>2010</v>
          </cell>
          <cell r="C1688">
            <v>5</v>
          </cell>
          <cell r="D1688" t="str">
            <v>Matt Schaub</v>
          </cell>
          <cell r="F1688">
            <v>365</v>
          </cell>
          <cell r="G1688">
            <v>574</v>
          </cell>
          <cell r="H1688">
            <v>63.6</v>
          </cell>
          <cell r="I1688">
            <v>24</v>
          </cell>
          <cell r="J1688">
            <v>12</v>
          </cell>
          <cell r="K1688">
            <v>32</v>
          </cell>
          <cell r="L1688">
            <v>22</v>
          </cell>
          <cell r="M1688">
            <v>28</v>
          </cell>
          <cell r="N1688">
            <v>0</v>
          </cell>
          <cell r="O1688">
            <v>3</v>
          </cell>
          <cell r="P1688">
            <v>243.6</v>
          </cell>
          <cell r="Q1688">
            <v>16</v>
          </cell>
        </row>
        <row r="1689">
          <cell r="B1689">
            <v>2010</v>
          </cell>
          <cell r="C1689">
            <v>6</v>
          </cell>
          <cell r="D1689" t="str">
            <v>Joe Flacco</v>
          </cell>
          <cell r="F1689">
            <v>306</v>
          </cell>
          <cell r="G1689">
            <v>489</v>
          </cell>
          <cell r="H1689">
            <v>62.6</v>
          </cell>
          <cell r="I1689">
            <v>25</v>
          </cell>
          <cell r="J1689">
            <v>10</v>
          </cell>
          <cell r="K1689">
            <v>40</v>
          </cell>
          <cell r="L1689">
            <v>43</v>
          </cell>
          <cell r="M1689">
            <v>84</v>
          </cell>
          <cell r="N1689">
            <v>1</v>
          </cell>
          <cell r="O1689">
            <v>4</v>
          </cell>
          <cell r="P1689">
            <v>231.2</v>
          </cell>
          <cell r="Q1689">
            <v>16</v>
          </cell>
        </row>
        <row r="1690">
          <cell r="B1690">
            <v>2010</v>
          </cell>
          <cell r="C1690">
            <v>7</v>
          </cell>
          <cell r="D1690" t="str">
            <v>Ben Roethlisberger</v>
          </cell>
          <cell r="F1690">
            <v>240</v>
          </cell>
          <cell r="G1690">
            <v>389</v>
          </cell>
          <cell r="H1690">
            <v>61.7</v>
          </cell>
          <cell r="I1690">
            <v>17</v>
          </cell>
          <cell r="J1690">
            <v>5</v>
          </cell>
          <cell r="K1690">
            <v>32</v>
          </cell>
          <cell r="L1690">
            <v>34</v>
          </cell>
          <cell r="M1690">
            <v>176</v>
          </cell>
          <cell r="N1690">
            <v>2</v>
          </cell>
          <cell r="O1690">
            <v>3</v>
          </cell>
          <cell r="P1690">
            <v>209.6</v>
          </cell>
          <cell r="Q1690">
            <v>12</v>
          </cell>
        </row>
        <row r="1691">
          <cell r="B1691">
            <v>2010</v>
          </cell>
          <cell r="C1691">
            <v>8</v>
          </cell>
          <cell r="D1691" t="str">
            <v>Ryan Fitzpatrick</v>
          </cell>
          <cell r="F1691">
            <v>255</v>
          </cell>
          <cell r="G1691">
            <v>441</v>
          </cell>
          <cell r="H1691">
            <v>57.8</v>
          </cell>
          <cell r="I1691">
            <v>23</v>
          </cell>
          <cell r="J1691">
            <v>15</v>
          </cell>
          <cell r="K1691">
            <v>24</v>
          </cell>
          <cell r="L1691">
            <v>40</v>
          </cell>
          <cell r="M1691">
            <v>269</v>
          </cell>
          <cell r="N1691">
            <v>0</v>
          </cell>
          <cell r="O1691">
            <v>5</v>
          </cell>
          <cell r="P1691">
            <v>198.8</v>
          </cell>
          <cell r="Q1691">
            <v>13</v>
          </cell>
        </row>
        <row r="1692">
          <cell r="B1692">
            <v>2010</v>
          </cell>
          <cell r="C1692">
            <v>9</v>
          </cell>
          <cell r="D1692" t="str">
            <v>Chad Henne</v>
          </cell>
          <cell r="F1692">
            <v>301</v>
          </cell>
          <cell r="G1692">
            <v>490</v>
          </cell>
          <cell r="H1692">
            <v>61.4</v>
          </cell>
          <cell r="I1692">
            <v>15</v>
          </cell>
          <cell r="J1692">
            <v>19</v>
          </cell>
          <cell r="K1692">
            <v>30</v>
          </cell>
          <cell r="L1692">
            <v>35</v>
          </cell>
          <cell r="M1692">
            <v>52</v>
          </cell>
          <cell r="N1692">
            <v>0</v>
          </cell>
          <cell r="O1692">
            <v>2</v>
          </cell>
          <cell r="P1692">
            <v>155.19999999999999</v>
          </cell>
          <cell r="Q1692">
            <v>15</v>
          </cell>
        </row>
        <row r="1693">
          <cell r="B1693">
            <v>2010</v>
          </cell>
          <cell r="C1693">
            <v>10</v>
          </cell>
          <cell r="D1693" t="str">
            <v>Alex Smith</v>
          </cell>
          <cell r="F1693">
            <v>204</v>
          </cell>
          <cell r="G1693">
            <v>342</v>
          </cell>
          <cell r="H1693">
            <v>59.6</v>
          </cell>
          <cell r="I1693">
            <v>14</v>
          </cell>
          <cell r="J1693">
            <v>10</v>
          </cell>
          <cell r="K1693">
            <v>25</v>
          </cell>
          <cell r="L1693">
            <v>18</v>
          </cell>
          <cell r="M1693">
            <v>60</v>
          </cell>
          <cell r="N1693">
            <v>0</v>
          </cell>
          <cell r="O1693">
            <v>2</v>
          </cell>
          <cell r="P1693">
            <v>132.80000000000001</v>
          </cell>
          <cell r="Q1693">
            <v>11</v>
          </cell>
        </row>
        <row r="1694">
          <cell r="B1694">
            <v>2010</v>
          </cell>
          <cell r="C1694">
            <v>11</v>
          </cell>
          <cell r="D1694" t="str">
            <v>Colt McCoy</v>
          </cell>
          <cell r="F1694">
            <v>135</v>
          </cell>
          <cell r="G1694">
            <v>222</v>
          </cell>
          <cell r="H1694">
            <v>60.8</v>
          </cell>
          <cell r="I1694">
            <v>6</v>
          </cell>
          <cell r="J1694">
            <v>9</v>
          </cell>
          <cell r="K1694">
            <v>23</v>
          </cell>
          <cell r="L1694">
            <v>28</v>
          </cell>
          <cell r="M1694">
            <v>136</v>
          </cell>
          <cell r="N1694">
            <v>1</v>
          </cell>
          <cell r="O1694">
            <v>0</v>
          </cell>
          <cell r="P1694">
            <v>90.5</v>
          </cell>
          <cell r="Q1694">
            <v>8</v>
          </cell>
        </row>
        <row r="1695">
          <cell r="B1695">
            <v>2010</v>
          </cell>
          <cell r="C1695">
            <v>12</v>
          </cell>
          <cell r="D1695" t="str">
            <v>Drew Stanton</v>
          </cell>
          <cell r="F1695">
            <v>69</v>
          </cell>
          <cell r="G1695">
            <v>119</v>
          </cell>
          <cell r="H1695">
            <v>58</v>
          </cell>
          <cell r="I1695">
            <v>4</v>
          </cell>
          <cell r="J1695">
            <v>3</v>
          </cell>
          <cell r="K1695">
            <v>6</v>
          </cell>
          <cell r="L1695">
            <v>18</v>
          </cell>
          <cell r="M1695">
            <v>113</v>
          </cell>
          <cell r="N1695">
            <v>1</v>
          </cell>
          <cell r="O1695">
            <v>1</v>
          </cell>
          <cell r="P1695">
            <v>56.5</v>
          </cell>
          <cell r="Q1695">
            <v>6</v>
          </cell>
        </row>
        <row r="1696">
          <cell r="B1696">
            <v>2010</v>
          </cell>
          <cell r="C1696">
            <v>13</v>
          </cell>
          <cell r="D1696" t="str">
            <v>Matthew Stafford</v>
          </cell>
          <cell r="F1696">
            <v>57</v>
          </cell>
          <cell r="G1696">
            <v>96</v>
          </cell>
          <cell r="H1696">
            <v>59.4</v>
          </cell>
          <cell r="I1696">
            <v>6</v>
          </cell>
          <cell r="J1696">
            <v>1</v>
          </cell>
          <cell r="K1696">
            <v>4</v>
          </cell>
          <cell r="L1696">
            <v>4</v>
          </cell>
          <cell r="M1696">
            <v>11</v>
          </cell>
          <cell r="N1696">
            <v>1</v>
          </cell>
          <cell r="O1696">
            <v>1</v>
          </cell>
          <cell r="P1696">
            <v>48.5</v>
          </cell>
          <cell r="Q1696">
            <v>3</v>
          </cell>
        </row>
        <row r="1697">
          <cell r="B1697">
            <v>2010</v>
          </cell>
          <cell r="C1697">
            <v>14</v>
          </cell>
          <cell r="D1697" t="str">
            <v>Joe Webb III</v>
          </cell>
          <cell r="F1697">
            <v>54</v>
          </cell>
          <cell r="G1697">
            <v>89</v>
          </cell>
          <cell r="H1697">
            <v>60.7</v>
          </cell>
          <cell r="I1697">
            <v>0</v>
          </cell>
          <cell r="J1697">
            <v>3</v>
          </cell>
          <cell r="K1697">
            <v>8</v>
          </cell>
          <cell r="L1697">
            <v>18</v>
          </cell>
          <cell r="M1697">
            <v>120</v>
          </cell>
          <cell r="N1697">
            <v>2</v>
          </cell>
          <cell r="O1697">
            <v>0</v>
          </cell>
          <cell r="P1697">
            <v>37.1</v>
          </cell>
          <cell r="Q1697">
            <v>5</v>
          </cell>
        </row>
        <row r="1698">
          <cell r="B1698">
            <v>2010</v>
          </cell>
          <cell r="C1698">
            <v>15</v>
          </cell>
          <cell r="D1698" t="str">
            <v>Matt Moore</v>
          </cell>
          <cell r="F1698">
            <v>79</v>
          </cell>
          <cell r="G1698">
            <v>143</v>
          </cell>
          <cell r="H1698">
            <v>55.2</v>
          </cell>
          <cell r="I1698">
            <v>5</v>
          </cell>
          <cell r="J1698">
            <v>10</v>
          </cell>
          <cell r="K1698">
            <v>13</v>
          </cell>
          <cell r="L1698">
            <v>5</v>
          </cell>
          <cell r="M1698">
            <v>25</v>
          </cell>
          <cell r="N1698">
            <v>0</v>
          </cell>
          <cell r="O1698">
            <v>2</v>
          </cell>
          <cell r="P1698">
            <v>32.799999999999997</v>
          </cell>
          <cell r="Q1698">
            <v>6</v>
          </cell>
        </row>
        <row r="1699">
          <cell r="B1699">
            <v>2010</v>
          </cell>
          <cell r="C1699">
            <v>16</v>
          </cell>
          <cell r="D1699" t="str">
            <v>Josh Johnson</v>
          </cell>
          <cell r="F1699">
            <v>14</v>
          </cell>
          <cell r="G1699">
            <v>16</v>
          </cell>
          <cell r="H1699">
            <v>87.5</v>
          </cell>
          <cell r="I1699">
            <v>0</v>
          </cell>
          <cell r="J1699">
            <v>0</v>
          </cell>
          <cell r="K1699">
            <v>2</v>
          </cell>
          <cell r="L1699">
            <v>4</v>
          </cell>
          <cell r="M1699">
            <v>39</v>
          </cell>
          <cell r="N1699">
            <v>0</v>
          </cell>
          <cell r="O1699">
            <v>0</v>
          </cell>
          <cell r="P1699">
            <v>8.4</v>
          </cell>
          <cell r="Q1699">
            <v>11</v>
          </cell>
        </row>
        <row r="1700">
          <cell r="B1700">
            <v>2010</v>
          </cell>
          <cell r="C1700">
            <v>17</v>
          </cell>
          <cell r="D1700" t="str">
            <v>Brian Hoyer</v>
          </cell>
          <cell r="F1700">
            <v>7</v>
          </cell>
          <cell r="G1700">
            <v>15</v>
          </cell>
          <cell r="H1700">
            <v>46.7</v>
          </cell>
          <cell r="I1700">
            <v>1</v>
          </cell>
          <cell r="J1700">
            <v>1</v>
          </cell>
          <cell r="K1700">
            <v>0</v>
          </cell>
          <cell r="L1700">
            <v>10</v>
          </cell>
          <cell r="M1700">
            <v>-8</v>
          </cell>
          <cell r="N1700">
            <v>0</v>
          </cell>
          <cell r="O1700">
            <v>0</v>
          </cell>
          <cell r="P1700">
            <v>6.1</v>
          </cell>
          <cell r="Q1700">
            <v>5</v>
          </cell>
        </row>
        <row r="1701">
          <cell r="B1701">
            <v>2010</v>
          </cell>
          <cell r="C1701">
            <v>18</v>
          </cell>
          <cell r="D1701" t="str">
            <v>Luke McCown</v>
          </cell>
          <cell r="F1701">
            <v>11</v>
          </cell>
          <cell r="G1701">
            <v>19</v>
          </cell>
          <cell r="H1701">
            <v>57.9</v>
          </cell>
          <cell r="I1701">
            <v>0</v>
          </cell>
          <cell r="J1701">
            <v>0</v>
          </cell>
          <cell r="K1701">
            <v>0</v>
          </cell>
          <cell r="L1701">
            <v>1</v>
          </cell>
          <cell r="M1701">
            <v>4</v>
          </cell>
          <cell r="N1701">
            <v>0</v>
          </cell>
          <cell r="O1701">
            <v>0</v>
          </cell>
          <cell r="P1701">
            <v>5.2</v>
          </cell>
          <cell r="Q1701">
            <v>1</v>
          </cell>
        </row>
        <row r="1702">
          <cell r="B1702">
            <v>2010</v>
          </cell>
          <cell r="C1702">
            <v>19</v>
          </cell>
          <cell r="D1702" t="str">
            <v>Chase Daniel</v>
          </cell>
          <cell r="F1702">
            <v>2</v>
          </cell>
          <cell r="G1702">
            <v>3</v>
          </cell>
          <cell r="H1702">
            <v>66.7</v>
          </cell>
          <cell r="I1702">
            <v>0</v>
          </cell>
          <cell r="J1702">
            <v>0</v>
          </cell>
          <cell r="K1702">
            <v>1</v>
          </cell>
          <cell r="L1702">
            <v>2</v>
          </cell>
          <cell r="M1702">
            <v>16</v>
          </cell>
          <cell r="N1702">
            <v>0</v>
          </cell>
          <cell r="O1702">
            <v>0</v>
          </cell>
          <cell r="P1702">
            <v>2.2000000000000002</v>
          </cell>
          <cell r="Q1702">
            <v>13</v>
          </cell>
        </row>
        <row r="1703">
          <cell r="B1703">
            <v>2010</v>
          </cell>
          <cell r="C1703">
            <v>20</v>
          </cell>
          <cell r="D1703" t="str">
            <v>Reid Sinnett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</row>
        <row r="1704">
          <cell r="B1704">
            <v>2010</v>
          </cell>
          <cell r="C1704">
            <v>21</v>
          </cell>
          <cell r="D1704" t="str">
            <v>Jalen Morton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</row>
        <row r="1705">
          <cell r="B1705">
            <v>2010</v>
          </cell>
          <cell r="C1705">
            <v>22</v>
          </cell>
          <cell r="D1705" t="str">
            <v>Justin Fields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>
            <v>2010</v>
          </cell>
          <cell r="C1706">
            <v>23</v>
          </cell>
          <cell r="D1706" t="str">
            <v>Chris Streveler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>
            <v>2010</v>
          </cell>
          <cell r="C1707">
            <v>24</v>
          </cell>
          <cell r="D1707" t="str">
            <v>Trevor Lawrence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</row>
        <row r="1708">
          <cell r="B1708">
            <v>2010</v>
          </cell>
          <cell r="C1708">
            <v>25</v>
          </cell>
          <cell r="D1708" t="str">
            <v>Kyle Trask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</row>
        <row r="1709">
          <cell r="B1709">
            <v>2010</v>
          </cell>
          <cell r="C1709">
            <v>26</v>
          </cell>
          <cell r="D1709" t="str">
            <v>Sam Ehlinger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>
            <v>2010</v>
          </cell>
          <cell r="C1710">
            <v>27</v>
          </cell>
          <cell r="D1710" t="str">
            <v>Ben DiNucci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</row>
        <row r="1711">
          <cell r="B1711">
            <v>2010</v>
          </cell>
          <cell r="C1711">
            <v>28</v>
          </cell>
          <cell r="D1711" t="str">
            <v>Feleipe Franks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</row>
        <row r="1712">
          <cell r="B1712">
            <v>2010</v>
          </cell>
          <cell r="C1712">
            <v>29</v>
          </cell>
          <cell r="D1712" t="str">
            <v>Trey Lance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</row>
        <row r="1713">
          <cell r="B1713">
            <v>2010</v>
          </cell>
          <cell r="C1713">
            <v>30</v>
          </cell>
          <cell r="D1713" t="str">
            <v>Ian Book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</row>
        <row r="1714">
          <cell r="B1714">
            <v>2010</v>
          </cell>
          <cell r="C1714">
            <v>31</v>
          </cell>
          <cell r="D1714" t="str">
            <v>Brian Lewerke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</row>
        <row r="1715">
          <cell r="B1715">
            <v>2010</v>
          </cell>
          <cell r="C1715">
            <v>32</v>
          </cell>
          <cell r="D1715" t="str">
            <v>Mac Jones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</row>
        <row r="1716">
          <cell r="B1716">
            <v>2010</v>
          </cell>
          <cell r="C1716">
            <v>33</v>
          </cell>
          <cell r="D1716" t="str">
            <v>Shane Buechele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</row>
        <row r="1717">
          <cell r="B1717">
            <v>2010</v>
          </cell>
          <cell r="C1717">
            <v>34</v>
          </cell>
          <cell r="D1717" t="str">
            <v>James Morgan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</row>
        <row r="1718">
          <cell r="B1718">
            <v>2010</v>
          </cell>
          <cell r="C1718">
            <v>35</v>
          </cell>
          <cell r="D1718" t="str">
            <v>Drew Lock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</row>
        <row r="1719">
          <cell r="B1719">
            <v>2010</v>
          </cell>
          <cell r="C1719">
            <v>36</v>
          </cell>
          <cell r="D1719" t="str">
            <v>John Wolford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</row>
        <row r="1720">
          <cell r="B1720">
            <v>2010</v>
          </cell>
          <cell r="C1720">
            <v>37</v>
          </cell>
          <cell r="D1720" t="str">
            <v>Dwayne Haskins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</row>
        <row r="1721">
          <cell r="B1721">
            <v>2010</v>
          </cell>
          <cell r="C1721">
            <v>38</v>
          </cell>
          <cell r="D1721" t="str">
            <v>Daniel Jones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</row>
        <row r="1722">
          <cell r="B1722">
            <v>2010</v>
          </cell>
          <cell r="C1722">
            <v>39</v>
          </cell>
          <cell r="D1722" t="str">
            <v>Will Grier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</row>
        <row r="1723">
          <cell r="B1723">
            <v>2010</v>
          </cell>
          <cell r="C1723">
            <v>40</v>
          </cell>
          <cell r="D1723" t="str">
            <v>Brett Rypien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</row>
        <row r="1724">
          <cell r="B1724">
            <v>2010</v>
          </cell>
          <cell r="C1724">
            <v>41</v>
          </cell>
          <cell r="D1724" t="str">
            <v>Danny Etling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>
            <v>2010</v>
          </cell>
          <cell r="C1725">
            <v>42</v>
          </cell>
          <cell r="D1725" t="str">
            <v>Mike White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>
            <v>2010</v>
          </cell>
          <cell r="C1726">
            <v>43</v>
          </cell>
          <cell r="D1726" t="str">
            <v>Alex McGough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</row>
        <row r="1727">
          <cell r="B1727">
            <v>2010</v>
          </cell>
          <cell r="C1727">
            <v>44</v>
          </cell>
          <cell r="D1727" t="str">
            <v>Kyle Allen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>
            <v>2010</v>
          </cell>
          <cell r="C1728">
            <v>45</v>
          </cell>
          <cell r="D1728" t="str">
            <v>Tim Boyle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</row>
        <row r="1729">
          <cell r="B1729">
            <v>2010</v>
          </cell>
          <cell r="C1729">
            <v>46</v>
          </cell>
          <cell r="D1729" t="str">
            <v>Kurt Benkert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</row>
        <row r="1730">
          <cell r="B1730">
            <v>2010</v>
          </cell>
          <cell r="C1730">
            <v>47</v>
          </cell>
          <cell r="D1730" t="str">
            <v>Easton Stick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>
            <v>2010</v>
          </cell>
          <cell r="C1731">
            <v>48</v>
          </cell>
          <cell r="D1731" t="str">
            <v>Trace McSorley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</row>
        <row r="1732">
          <cell r="B1732">
            <v>2010</v>
          </cell>
          <cell r="C1732">
            <v>49</v>
          </cell>
          <cell r="D1732" t="str">
            <v>Jake Luton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>
            <v>2010</v>
          </cell>
          <cell r="C1733">
            <v>50</v>
          </cell>
          <cell r="D1733" t="str">
            <v>Tua Tagovailoa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</row>
        <row r="1734">
          <cell r="B1734">
            <v>2010</v>
          </cell>
          <cell r="C1734">
            <v>51</v>
          </cell>
          <cell r="D1734" t="str">
            <v>Jacob Eason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</row>
        <row r="1735">
          <cell r="B1735">
            <v>2010</v>
          </cell>
          <cell r="C1735">
            <v>52</v>
          </cell>
          <cell r="D1735" t="str">
            <v>Jake Fromm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>
            <v>2010</v>
          </cell>
          <cell r="C1736">
            <v>53</v>
          </cell>
          <cell r="D1736" t="str">
            <v>Jordan Love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</row>
        <row r="1737">
          <cell r="B1737">
            <v>2010</v>
          </cell>
          <cell r="C1737">
            <v>54</v>
          </cell>
          <cell r="D1737" t="str">
            <v>Jalen Hurts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</row>
        <row r="1738">
          <cell r="B1738">
            <v>2010</v>
          </cell>
          <cell r="C1738">
            <v>55</v>
          </cell>
          <cell r="D1738" t="str">
            <v>Tyler Huntley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>
            <v>2010</v>
          </cell>
          <cell r="C1739">
            <v>56</v>
          </cell>
          <cell r="D1739" t="str">
            <v>Kellen Mond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</row>
        <row r="1740">
          <cell r="B1740">
            <v>2010</v>
          </cell>
          <cell r="C1740">
            <v>57</v>
          </cell>
          <cell r="D1740" t="str">
            <v>Bryce Perkins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</row>
        <row r="1741">
          <cell r="B1741">
            <v>2010</v>
          </cell>
          <cell r="C1741">
            <v>58</v>
          </cell>
          <cell r="D1741" t="str">
            <v>Steven Montez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</row>
        <row r="1742">
          <cell r="B1742">
            <v>2010</v>
          </cell>
          <cell r="C1742">
            <v>59</v>
          </cell>
          <cell r="D1742" t="str">
            <v>Joe Burrow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>
            <v>2010</v>
          </cell>
          <cell r="C1743">
            <v>60</v>
          </cell>
          <cell r="D1743" t="str">
            <v>Eric Dungey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</row>
        <row r="1744">
          <cell r="B1744">
            <v>2010</v>
          </cell>
          <cell r="C1744">
            <v>61</v>
          </cell>
          <cell r="D1744" t="str">
            <v>David Blough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</row>
        <row r="1745">
          <cell r="B1745">
            <v>2010</v>
          </cell>
          <cell r="C1745">
            <v>62</v>
          </cell>
          <cell r="D1745" t="str">
            <v>Jake Browning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>
            <v>2010</v>
          </cell>
          <cell r="C1746">
            <v>63</v>
          </cell>
          <cell r="D1746" t="str">
            <v>Gardner Minshew II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</row>
        <row r="1747">
          <cell r="B1747">
            <v>2010</v>
          </cell>
          <cell r="C1747">
            <v>64</v>
          </cell>
          <cell r="D1747" t="str">
            <v>Kyler Murray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</row>
        <row r="1748">
          <cell r="B1748">
            <v>2010</v>
          </cell>
          <cell r="C1748">
            <v>65</v>
          </cell>
          <cell r="D1748" t="str">
            <v>Jarrett Stidham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</row>
        <row r="1749">
          <cell r="B1749">
            <v>2010</v>
          </cell>
          <cell r="C1749">
            <v>66</v>
          </cell>
          <cell r="D1749" t="str">
            <v>Justin Herbert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>
            <v>2010</v>
          </cell>
          <cell r="C1750">
            <v>67</v>
          </cell>
          <cell r="D1750" t="str">
            <v>John Lovett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</row>
        <row r="1751">
          <cell r="B1751">
            <v>2010</v>
          </cell>
          <cell r="C1751">
            <v>68</v>
          </cell>
          <cell r="D1751" t="str">
            <v>Ryan Willis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>
            <v>2010</v>
          </cell>
          <cell r="C1752">
            <v>69</v>
          </cell>
          <cell r="D1752" t="str">
            <v>Zach Wilson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>
            <v>2010</v>
          </cell>
          <cell r="C1753">
            <v>70</v>
          </cell>
          <cell r="D1753" t="str">
            <v>Davis Mills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</row>
        <row r="1754">
          <cell r="B1754">
            <v>2010</v>
          </cell>
          <cell r="C1754">
            <v>71</v>
          </cell>
          <cell r="D1754" t="str">
            <v>Lamar Jackson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</row>
        <row r="1755">
          <cell r="B1755">
            <v>2010</v>
          </cell>
          <cell r="C1755">
            <v>72</v>
          </cell>
          <cell r="D1755" t="str">
            <v>Rusty Smith</v>
          </cell>
          <cell r="F1755">
            <v>20</v>
          </cell>
          <cell r="G1755">
            <v>40</v>
          </cell>
          <cell r="H1755">
            <v>50</v>
          </cell>
          <cell r="I1755">
            <v>0</v>
          </cell>
          <cell r="J1755">
            <v>4</v>
          </cell>
          <cell r="K1755">
            <v>1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2</v>
          </cell>
        </row>
        <row r="1756">
          <cell r="B1756">
            <v>2010</v>
          </cell>
          <cell r="C1756">
            <v>73</v>
          </cell>
          <cell r="D1756" t="str">
            <v>Blaine Gabbert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</row>
        <row r="1757">
          <cell r="B1757">
            <v>2010</v>
          </cell>
          <cell r="C1757">
            <v>74</v>
          </cell>
          <cell r="D1757" t="str">
            <v>Cam Newton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</row>
        <row r="1758">
          <cell r="B1758">
            <v>2010</v>
          </cell>
          <cell r="C1758">
            <v>75</v>
          </cell>
          <cell r="D1758" t="str">
            <v>Andy Dalton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</row>
        <row r="1759">
          <cell r="B1759">
            <v>2010</v>
          </cell>
          <cell r="C1759">
            <v>76</v>
          </cell>
          <cell r="D1759" t="str">
            <v>Tyrod Taylor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>
            <v>2010</v>
          </cell>
          <cell r="C1760">
            <v>77</v>
          </cell>
          <cell r="D1760" t="str">
            <v>John David Booty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</row>
        <row r="1761">
          <cell r="B1761">
            <v>2010</v>
          </cell>
          <cell r="C1761">
            <v>78</v>
          </cell>
          <cell r="D1761" t="str">
            <v>Erik Ainge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</row>
        <row r="1762">
          <cell r="B1762">
            <v>2010</v>
          </cell>
          <cell r="C1762">
            <v>79</v>
          </cell>
          <cell r="D1762" t="str">
            <v>Stephen McGee</v>
          </cell>
          <cell r="F1762">
            <v>22</v>
          </cell>
          <cell r="G1762">
            <v>44</v>
          </cell>
          <cell r="H1762">
            <v>50</v>
          </cell>
          <cell r="I1762">
            <v>2</v>
          </cell>
          <cell r="J1762">
            <v>0</v>
          </cell>
          <cell r="K1762">
            <v>3</v>
          </cell>
          <cell r="L1762">
            <v>13</v>
          </cell>
          <cell r="M1762">
            <v>74</v>
          </cell>
          <cell r="N1762">
            <v>0</v>
          </cell>
          <cell r="O1762">
            <v>0</v>
          </cell>
          <cell r="P1762">
            <v>0</v>
          </cell>
          <cell r="Q1762">
            <v>2</v>
          </cell>
        </row>
        <row r="1763">
          <cell r="B1763">
            <v>2010</v>
          </cell>
          <cell r="C1763">
            <v>80</v>
          </cell>
          <cell r="D1763" t="str">
            <v>Hunter Cantwell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>
            <v>2010</v>
          </cell>
          <cell r="C1764">
            <v>81</v>
          </cell>
          <cell r="D1764" t="str">
            <v>Levi Brown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16</v>
          </cell>
        </row>
        <row r="1765">
          <cell r="B1765">
            <v>2010</v>
          </cell>
          <cell r="C1765">
            <v>82</v>
          </cell>
          <cell r="D1765" t="str">
            <v>Ben Chappell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</row>
        <row r="1766">
          <cell r="B1766">
            <v>2010</v>
          </cell>
          <cell r="C1766">
            <v>83</v>
          </cell>
          <cell r="D1766" t="str">
            <v>Adam Froman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>
            <v>2010</v>
          </cell>
          <cell r="C1767">
            <v>84</v>
          </cell>
          <cell r="D1767" t="str">
            <v>Case Keenum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>
            <v>2010</v>
          </cell>
          <cell r="C1768">
            <v>85</v>
          </cell>
          <cell r="D1768" t="str">
            <v>Ryan Tannehill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</row>
        <row r="1769">
          <cell r="B1769">
            <v>2010</v>
          </cell>
          <cell r="C1769">
            <v>86</v>
          </cell>
          <cell r="D1769" t="str">
            <v>Nick Foles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>
            <v>2010</v>
          </cell>
          <cell r="C1770">
            <v>87</v>
          </cell>
          <cell r="D1770" t="str">
            <v>Kirk Cousins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>
            <v>2010</v>
          </cell>
          <cell r="C1771">
            <v>88</v>
          </cell>
          <cell r="D1771" t="str">
            <v>Russell Wilson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</row>
        <row r="1772">
          <cell r="B1772">
            <v>2010</v>
          </cell>
          <cell r="C1772">
            <v>89</v>
          </cell>
          <cell r="D1772" t="str">
            <v>Jordan Palmer</v>
          </cell>
          <cell r="F1772">
            <v>3</v>
          </cell>
          <cell r="G1772">
            <v>3</v>
          </cell>
          <cell r="H1772">
            <v>100</v>
          </cell>
          <cell r="I1772">
            <v>0</v>
          </cell>
          <cell r="J1772">
            <v>0</v>
          </cell>
          <cell r="K1772">
            <v>2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1</v>
          </cell>
        </row>
        <row r="1773">
          <cell r="B1773">
            <v>2010</v>
          </cell>
          <cell r="C1773">
            <v>90</v>
          </cell>
          <cell r="D1773" t="str">
            <v>David Carr</v>
          </cell>
          <cell r="F1773">
            <v>5</v>
          </cell>
          <cell r="G1773">
            <v>13</v>
          </cell>
          <cell r="H1773">
            <v>38.5</v>
          </cell>
          <cell r="I1773">
            <v>0</v>
          </cell>
          <cell r="J1773">
            <v>1</v>
          </cell>
          <cell r="K1773">
            <v>1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1</v>
          </cell>
        </row>
        <row r="1774">
          <cell r="B1774">
            <v>2010</v>
          </cell>
          <cell r="C1774">
            <v>91</v>
          </cell>
          <cell r="D1774" t="str">
            <v>Dennis Dixon</v>
          </cell>
          <cell r="F1774">
            <v>22</v>
          </cell>
          <cell r="G1774">
            <v>32</v>
          </cell>
          <cell r="H1774">
            <v>68.8</v>
          </cell>
          <cell r="I1774">
            <v>0</v>
          </cell>
          <cell r="J1774">
            <v>1</v>
          </cell>
          <cell r="K1774">
            <v>5</v>
          </cell>
          <cell r="L1774">
            <v>5</v>
          </cell>
          <cell r="M1774">
            <v>32</v>
          </cell>
          <cell r="N1774">
            <v>0</v>
          </cell>
          <cell r="O1774">
            <v>1</v>
          </cell>
          <cell r="P1774">
            <v>0</v>
          </cell>
          <cell r="Q1774">
            <v>2</v>
          </cell>
        </row>
        <row r="1775">
          <cell r="B1775">
            <v>2010</v>
          </cell>
          <cell r="C1775">
            <v>92</v>
          </cell>
          <cell r="D1775" t="str">
            <v>Derek Anderson</v>
          </cell>
          <cell r="F1775">
            <v>169</v>
          </cell>
          <cell r="G1775">
            <v>327</v>
          </cell>
          <cell r="H1775">
            <v>51.7</v>
          </cell>
          <cell r="I1775">
            <v>7</v>
          </cell>
          <cell r="J1775">
            <v>10</v>
          </cell>
          <cell r="K1775">
            <v>25</v>
          </cell>
          <cell r="L1775">
            <v>5</v>
          </cell>
          <cell r="M1775">
            <v>25</v>
          </cell>
          <cell r="N1775">
            <v>0</v>
          </cell>
          <cell r="O1775">
            <v>3</v>
          </cell>
          <cell r="P1775">
            <v>0</v>
          </cell>
          <cell r="Q1775">
            <v>12</v>
          </cell>
        </row>
        <row r="1776">
          <cell r="B1776">
            <v>2010</v>
          </cell>
          <cell r="C1776">
            <v>93</v>
          </cell>
          <cell r="D1776" t="str">
            <v>Eli Manning</v>
          </cell>
          <cell r="F1776">
            <v>339</v>
          </cell>
          <cell r="G1776">
            <v>539</v>
          </cell>
          <cell r="H1776">
            <v>62.9</v>
          </cell>
          <cell r="I1776">
            <v>31</v>
          </cell>
          <cell r="J1776">
            <v>25</v>
          </cell>
          <cell r="K1776">
            <v>16</v>
          </cell>
          <cell r="L1776">
            <v>32</v>
          </cell>
          <cell r="M1776">
            <v>70</v>
          </cell>
          <cell r="N1776">
            <v>0</v>
          </cell>
          <cell r="O1776">
            <v>5</v>
          </cell>
          <cell r="P1776">
            <v>0</v>
          </cell>
          <cell r="Q1776">
            <v>16</v>
          </cell>
        </row>
        <row r="1777">
          <cell r="B1777">
            <v>2010</v>
          </cell>
          <cell r="C1777">
            <v>94</v>
          </cell>
          <cell r="D1777" t="str">
            <v>Jason Campbell</v>
          </cell>
          <cell r="F1777">
            <v>194</v>
          </cell>
          <cell r="G1777">
            <v>329</v>
          </cell>
          <cell r="H1777">
            <v>59</v>
          </cell>
          <cell r="I1777">
            <v>13</v>
          </cell>
          <cell r="J1777">
            <v>8</v>
          </cell>
          <cell r="K1777">
            <v>33</v>
          </cell>
          <cell r="L1777">
            <v>47</v>
          </cell>
          <cell r="M1777">
            <v>222</v>
          </cell>
          <cell r="N1777">
            <v>1</v>
          </cell>
          <cell r="O1777">
            <v>1</v>
          </cell>
          <cell r="P1777">
            <v>0</v>
          </cell>
          <cell r="Q1777">
            <v>13</v>
          </cell>
        </row>
        <row r="1778">
          <cell r="B1778">
            <v>2010</v>
          </cell>
          <cell r="C1778">
            <v>95</v>
          </cell>
          <cell r="D1778" t="str">
            <v>Jay Cutler</v>
          </cell>
          <cell r="F1778">
            <v>261</v>
          </cell>
          <cell r="G1778">
            <v>432</v>
          </cell>
          <cell r="H1778">
            <v>60.4</v>
          </cell>
          <cell r="I1778">
            <v>23</v>
          </cell>
          <cell r="J1778">
            <v>16</v>
          </cell>
          <cell r="K1778">
            <v>52</v>
          </cell>
          <cell r="L1778">
            <v>50</v>
          </cell>
          <cell r="M1778">
            <v>232</v>
          </cell>
          <cell r="N1778">
            <v>1</v>
          </cell>
          <cell r="O1778">
            <v>6</v>
          </cell>
          <cell r="P1778">
            <v>0</v>
          </cell>
          <cell r="Q1778">
            <v>15</v>
          </cell>
        </row>
        <row r="1779">
          <cell r="B1779">
            <v>2010</v>
          </cell>
          <cell r="C1779">
            <v>96</v>
          </cell>
          <cell r="D1779" t="str">
            <v>Josh Freeman</v>
          </cell>
          <cell r="F1779">
            <v>291</v>
          </cell>
          <cell r="G1779">
            <v>474</v>
          </cell>
          <cell r="H1779">
            <v>61.4</v>
          </cell>
          <cell r="I1779">
            <v>25</v>
          </cell>
          <cell r="J1779">
            <v>6</v>
          </cell>
          <cell r="K1779">
            <v>28</v>
          </cell>
          <cell r="L1779">
            <v>68</v>
          </cell>
          <cell r="M1779">
            <v>364</v>
          </cell>
          <cell r="N1779">
            <v>0</v>
          </cell>
          <cell r="O1779">
            <v>3</v>
          </cell>
          <cell r="P1779">
            <v>0</v>
          </cell>
          <cell r="Q1779">
            <v>16</v>
          </cell>
        </row>
        <row r="1780">
          <cell r="B1780">
            <v>2010</v>
          </cell>
          <cell r="C1780">
            <v>97</v>
          </cell>
          <cell r="D1780" t="str">
            <v>Kellen Clemens</v>
          </cell>
          <cell r="F1780">
            <v>1</v>
          </cell>
          <cell r="G1780">
            <v>2</v>
          </cell>
          <cell r="H1780">
            <v>50</v>
          </cell>
          <cell r="I1780">
            <v>0</v>
          </cell>
          <cell r="J1780">
            <v>0</v>
          </cell>
          <cell r="K1780">
            <v>0</v>
          </cell>
          <cell r="L1780">
            <v>2</v>
          </cell>
          <cell r="M1780">
            <v>9</v>
          </cell>
          <cell r="N1780">
            <v>1</v>
          </cell>
          <cell r="O1780">
            <v>0</v>
          </cell>
          <cell r="P1780">
            <v>0</v>
          </cell>
          <cell r="Q1780">
            <v>1</v>
          </cell>
        </row>
        <row r="1781">
          <cell r="B1781">
            <v>2010</v>
          </cell>
          <cell r="C1781">
            <v>98</v>
          </cell>
          <cell r="D1781" t="str">
            <v>Brett Ratliff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</row>
        <row r="1782">
          <cell r="B1782">
            <v>2010</v>
          </cell>
          <cell r="C1782">
            <v>99</v>
          </cell>
          <cell r="D1782" t="str">
            <v>Brian Brohm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</row>
        <row r="1783">
          <cell r="B1783">
            <v>2010</v>
          </cell>
          <cell r="C1783">
            <v>100</v>
          </cell>
          <cell r="D1783" t="str">
            <v>Bruce Gradkowski</v>
          </cell>
          <cell r="F1783">
            <v>83</v>
          </cell>
          <cell r="G1783">
            <v>157</v>
          </cell>
          <cell r="H1783">
            <v>52.9</v>
          </cell>
          <cell r="I1783">
            <v>5</v>
          </cell>
          <cell r="J1783">
            <v>7</v>
          </cell>
          <cell r="K1783">
            <v>10</v>
          </cell>
          <cell r="L1783">
            <v>12</v>
          </cell>
          <cell r="M1783">
            <v>41</v>
          </cell>
          <cell r="N1783">
            <v>0</v>
          </cell>
          <cell r="O1783">
            <v>1</v>
          </cell>
          <cell r="P1783">
            <v>0</v>
          </cell>
          <cell r="Q1783">
            <v>6</v>
          </cell>
        </row>
        <row r="1784">
          <cell r="B1784">
            <v>2010</v>
          </cell>
          <cell r="C1784">
            <v>101</v>
          </cell>
          <cell r="D1784" t="str">
            <v>Caleb Hanie</v>
          </cell>
          <cell r="F1784">
            <v>5</v>
          </cell>
          <cell r="G1784">
            <v>7</v>
          </cell>
          <cell r="H1784">
            <v>71.400000000000006</v>
          </cell>
          <cell r="I1784">
            <v>0</v>
          </cell>
          <cell r="J1784">
            <v>0</v>
          </cell>
          <cell r="K1784">
            <v>2</v>
          </cell>
          <cell r="L1784">
            <v>1</v>
          </cell>
          <cell r="M1784">
            <v>-1</v>
          </cell>
          <cell r="N1784">
            <v>0</v>
          </cell>
          <cell r="O1784">
            <v>0</v>
          </cell>
          <cell r="P1784">
            <v>0</v>
          </cell>
          <cell r="Q1784">
            <v>2</v>
          </cell>
        </row>
        <row r="1785">
          <cell r="B1785">
            <v>2010</v>
          </cell>
          <cell r="C1785">
            <v>102</v>
          </cell>
          <cell r="D1785" t="str">
            <v>Carson Palmer</v>
          </cell>
          <cell r="F1785">
            <v>362</v>
          </cell>
          <cell r="G1785">
            <v>586</v>
          </cell>
          <cell r="H1785">
            <v>61.8</v>
          </cell>
          <cell r="I1785">
            <v>26</v>
          </cell>
          <cell r="J1785">
            <v>20</v>
          </cell>
          <cell r="K1785">
            <v>26</v>
          </cell>
          <cell r="L1785">
            <v>32</v>
          </cell>
          <cell r="M1785">
            <v>50</v>
          </cell>
          <cell r="N1785">
            <v>0</v>
          </cell>
          <cell r="O1785">
            <v>3</v>
          </cell>
          <cell r="P1785">
            <v>0</v>
          </cell>
          <cell r="Q1785">
            <v>16</v>
          </cell>
        </row>
        <row r="1786">
          <cell r="B1786">
            <v>2010</v>
          </cell>
          <cell r="C1786">
            <v>103</v>
          </cell>
          <cell r="D1786" t="str">
            <v>Keith Null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</row>
        <row r="1787">
          <cell r="B1787">
            <v>2010</v>
          </cell>
          <cell r="C1787">
            <v>104</v>
          </cell>
          <cell r="D1787" t="str">
            <v>Sam Bradford</v>
          </cell>
          <cell r="F1787">
            <v>354</v>
          </cell>
          <cell r="G1787">
            <v>590</v>
          </cell>
          <cell r="H1787">
            <v>60</v>
          </cell>
          <cell r="I1787">
            <v>18</v>
          </cell>
          <cell r="J1787">
            <v>15</v>
          </cell>
          <cell r="K1787">
            <v>34</v>
          </cell>
          <cell r="L1787">
            <v>27</v>
          </cell>
          <cell r="M1787">
            <v>63</v>
          </cell>
          <cell r="N1787">
            <v>1</v>
          </cell>
          <cell r="O1787">
            <v>2</v>
          </cell>
          <cell r="P1787">
            <v>0</v>
          </cell>
          <cell r="Q1787">
            <v>16</v>
          </cell>
        </row>
        <row r="1788">
          <cell r="B1788">
            <v>2010</v>
          </cell>
          <cell r="C1788">
            <v>105</v>
          </cell>
          <cell r="D1788" t="str">
            <v>Tony Romo</v>
          </cell>
          <cell r="F1788">
            <v>148</v>
          </cell>
          <cell r="G1788">
            <v>213</v>
          </cell>
          <cell r="H1788">
            <v>69.5</v>
          </cell>
          <cell r="I1788">
            <v>11</v>
          </cell>
          <cell r="J1788">
            <v>7</v>
          </cell>
          <cell r="K1788">
            <v>7</v>
          </cell>
          <cell r="L1788">
            <v>6</v>
          </cell>
          <cell r="M1788">
            <v>38</v>
          </cell>
          <cell r="N1788">
            <v>0</v>
          </cell>
          <cell r="O1788">
            <v>0</v>
          </cell>
          <cell r="P1788">
            <v>0</v>
          </cell>
          <cell r="Q1788">
            <v>6</v>
          </cell>
        </row>
        <row r="1789">
          <cell r="B1789">
            <v>2010</v>
          </cell>
          <cell r="C1789">
            <v>106</v>
          </cell>
          <cell r="D1789" t="str">
            <v>Trent Edwards</v>
          </cell>
          <cell r="F1789">
            <v>55</v>
          </cell>
          <cell r="G1789">
            <v>101</v>
          </cell>
          <cell r="H1789">
            <v>54.5</v>
          </cell>
          <cell r="I1789">
            <v>2</v>
          </cell>
          <cell r="J1789">
            <v>5</v>
          </cell>
          <cell r="K1789">
            <v>11</v>
          </cell>
          <cell r="L1789">
            <v>14</v>
          </cell>
          <cell r="M1789">
            <v>58</v>
          </cell>
          <cell r="N1789">
            <v>0</v>
          </cell>
          <cell r="O1789">
            <v>0</v>
          </cell>
          <cell r="P1789">
            <v>0</v>
          </cell>
          <cell r="Q1789">
            <v>5</v>
          </cell>
        </row>
        <row r="1790">
          <cell r="B1790">
            <v>2010</v>
          </cell>
          <cell r="C1790">
            <v>107</v>
          </cell>
          <cell r="D1790" t="str">
            <v>Tyler Thigpen</v>
          </cell>
          <cell r="F1790">
            <v>33</v>
          </cell>
          <cell r="G1790">
            <v>62</v>
          </cell>
          <cell r="H1790">
            <v>53.2</v>
          </cell>
          <cell r="I1790">
            <v>2</v>
          </cell>
          <cell r="J1790">
            <v>2</v>
          </cell>
          <cell r="K1790">
            <v>8</v>
          </cell>
          <cell r="L1790">
            <v>13</v>
          </cell>
          <cell r="M1790">
            <v>73</v>
          </cell>
          <cell r="N1790">
            <v>0</v>
          </cell>
          <cell r="O1790">
            <v>0</v>
          </cell>
          <cell r="P1790">
            <v>0</v>
          </cell>
          <cell r="Q1790">
            <v>5</v>
          </cell>
        </row>
        <row r="1791">
          <cell r="B1791">
            <v>2010</v>
          </cell>
          <cell r="C1791">
            <v>108</v>
          </cell>
          <cell r="D1791" t="str">
            <v>Jimmy Clausen</v>
          </cell>
          <cell r="F1791">
            <v>157</v>
          </cell>
          <cell r="G1791">
            <v>299</v>
          </cell>
          <cell r="H1791">
            <v>52.5</v>
          </cell>
          <cell r="I1791">
            <v>3</v>
          </cell>
          <cell r="J1791">
            <v>9</v>
          </cell>
          <cell r="K1791">
            <v>33</v>
          </cell>
          <cell r="L1791">
            <v>23</v>
          </cell>
          <cell r="M1791">
            <v>57</v>
          </cell>
          <cell r="N1791">
            <v>0</v>
          </cell>
          <cell r="O1791">
            <v>2</v>
          </cell>
          <cell r="P1791">
            <v>0</v>
          </cell>
          <cell r="Q1791">
            <v>13</v>
          </cell>
        </row>
        <row r="1792">
          <cell r="B1792">
            <v>2010</v>
          </cell>
          <cell r="C1792">
            <v>109</v>
          </cell>
          <cell r="D1792" t="str">
            <v>Shaun Hill</v>
          </cell>
          <cell r="F1792">
            <v>257</v>
          </cell>
          <cell r="G1792">
            <v>416</v>
          </cell>
          <cell r="H1792">
            <v>61.8</v>
          </cell>
          <cell r="I1792">
            <v>16</v>
          </cell>
          <cell r="J1792">
            <v>12</v>
          </cell>
          <cell r="K1792">
            <v>17</v>
          </cell>
          <cell r="L1792">
            <v>22</v>
          </cell>
          <cell r="M1792">
            <v>123</v>
          </cell>
          <cell r="N1792">
            <v>0</v>
          </cell>
          <cell r="O1792">
            <v>1</v>
          </cell>
          <cell r="P1792">
            <v>0</v>
          </cell>
          <cell r="Q1792">
            <v>11</v>
          </cell>
        </row>
        <row r="1793">
          <cell r="B1793">
            <v>2010</v>
          </cell>
          <cell r="C1793">
            <v>110</v>
          </cell>
          <cell r="D1793" t="str">
            <v>John Skelton</v>
          </cell>
          <cell r="F1793">
            <v>60</v>
          </cell>
          <cell r="G1793">
            <v>126</v>
          </cell>
          <cell r="H1793">
            <v>47.6</v>
          </cell>
          <cell r="I1793">
            <v>2</v>
          </cell>
          <cell r="J1793">
            <v>2</v>
          </cell>
          <cell r="K1793">
            <v>9</v>
          </cell>
          <cell r="L1793">
            <v>10</v>
          </cell>
          <cell r="M1793">
            <v>49</v>
          </cell>
          <cell r="N1793">
            <v>0</v>
          </cell>
          <cell r="O1793">
            <v>1</v>
          </cell>
          <cell r="P1793">
            <v>0</v>
          </cell>
          <cell r="Q1793">
            <v>5</v>
          </cell>
        </row>
        <row r="1794">
          <cell r="B1794">
            <v>2010</v>
          </cell>
          <cell r="C1794">
            <v>111</v>
          </cell>
          <cell r="D1794" t="str">
            <v>Charlie Whitehurst</v>
          </cell>
          <cell r="F1794">
            <v>57</v>
          </cell>
          <cell r="G1794">
            <v>99</v>
          </cell>
          <cell r="H1794">
            <v>57.6</v>
          </cell>
          <cell r="I1794">
            <v>2</v>
          </cell>
          <cell r="J1794">
            <v>3</v>
          </cell>
          <cell r="K1794">
            <v>5</v>
          </cell>
          <cell r="L1794">
            <v>20</v>
          </cell>
          <cell r="M1794">
            <v>43</v>
          </cell>
          <cell r="N1794">
            <v>1</v>
          </cell>
          <cell r="O1794">
            <v>0</v>
          </cell>
          <cell r="P1794">
            <v>0</v>
          </cell>
          <cell r="Q1794">
            <v>6</v>
          </cell>
        </row>
        <row r="1795">
          <cell r="B1795">
            <v>2010</v>
          </cell>
          <cell r="C1795">
            <v>112</v>
          </cell>
          <cell r="D1795" t="str">
            <v>Dan Orlovsky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1</v>
          </cell>
        </row>
        <row r="1796">
          <cell r="B1796">
            <v>2010</v>
          </cell>
          <cell r="C1796">
            <v>113</v>
          </cell>
          <cell r="D1796" t="str">
            <v>Tarvaris Jackson</v>
          </cell>
          <cell r="F1796">
            <v>34</v>
          </cell>
          <cell r="G1796">
            <v>58</v>
          </cell>
          <cell r="H1796">
            <v>58.6</v>
          </cell>
          <cell r="I1796">
            <v>3</v>
          </cell>
          <cell r="J1796">
            <v>4</v>
          </cell>
          <cell r="K1796">
            <v>6</v>
          </cell>
          <cell r="L1796">
            <v>7</v>
          </cell>
          <cell r="M1796">
            <v>63</v>
          </cell>
          <cell r="N1796">
            <v>0</v>
          </cell>
          <cell r="O1796">
            <v>0</v>
          </cell>
          <cell r="P1796">
            <v>0</v>
          </cell>
          <cell r="Q1796">
            <v>3</v>
          </cell>
        </row>
        <row r="1797">
          <cell r="B1797">
            <v>2010</v>
          </cell>
          <cell r="C1797">
            <v>114</v>
          </cell>
          <cell r="D1797" t="str">
            <v>Seneca Wallace</v>
          </cell>
          <cell r="F1797">
            <v>64</v>
          </cell>
          <cell r="G1797">
            <v>101</v>
          </cell>
          <cell r="H1797">
            <v>63.4</v>
          </cell>
          <cell r="I1797">
            <v>4</v>
          </cell>
          <cell r="J1797">
            <v>2</v>
          </cell>
          <cell r="K1797">
            <v>6</v>
          </cell>
          <cell r="L1797">
            <v>7</v>
          </cell>
          <cell r="M1797">
            <v>9</v>
          </cell>
          <cell r="N1797">
            <v>0</v>
          </cell>
          <cell r="O1797">
            <v>0</v>
          </cell>
          <cell r="P1797">
            <v>0</v>
          </cell>
          <cell r="Q1797">
            <v>8</v>
          </cell>
        </row>
        <row r="1798">
          <cell r="B1798">
            <v>2010</v>
          </cell>
          <cell r="C1798">
            <v>115</v>
          </cell>
          <cell r="D1798" t="str">
            <v>Kevin Kolb</v>
          </cell>
          <cell r="F1798">
            <v>115</v>
          </cell>
          <cell r="G1798">
            <v>189</v>
          </cell>
          <cell r="H1798">
            <v>60.8</v>
          </cell>
          <cell r="I1798">
            <v>7</v>
          </cell>
          <cell r="J1798">
            <v>7</v>
          </cell>
          <cell r="K1798">
            <v>15</v>
          </cell>
          <cell r="L1798">
            <v>15</v>
          </cell>
          <cell r="M1798">
            <v>65</v>
          </cell>
          <cell r="N1798">
            <v>0</v>
          </cell>
          <cell r="O1798">
            <v>3</v>
          </cell>
          <cell r="P1798">
            <v>0</v>
          </cell>
          <cell r="Q1798">
            <v>7</v>
          </cell>
        </row>
        <row r="1799">
          <cell r="B1799">
            <v>2010</v>
          </cell>
          <cell r="C1799">
            <v>116</v>
          </cell>
          <cell r="D1799" t="str">
            <v>Matt Cassel</v>
          </cell>
          <cell r="F1799">
            <v>262</v>
          </cell>
          <cell r="G1799">
            <v>450</v>
          </cell>
          <cell r="H1799">
            <v>58.2</v>
          </cell>
          <cell r="I1799">
            <v>27</v>
          </cell>
          <cell r="J1799">
            <v>7</v>
          </cell>
          <cell r="K1799">
            <v>26</v>
          </cell>
          <cell r="L1799">
            <v>33</v>
          </cell>
          <cell r="M1799">
            <v>125</v>
          </cell>
          <cell r="N1799">
            <v>0</v>
          </cell>
          <cell r="O1799">
            <v>1</v>
          </cell>
          <cell r="P1799">
            <v>0</v>
          </cell>
          <cell r="Q1799">
            <v>15</v>
          </cell>
        </row>
        <row r="1800">
          <cell r="B1800">
            <v>2010</v>
          </cell>
          <cell r="C1800">
            <v>117</v>
          </cell>
          <cell r="D1800" t="str">
            <v>Kyle Orton</v>
          </cell>
          <cell r="F1800">
            <v>293</v>
          </cell>
          <cell r="G1800">
            <v>498</v>
          </cell>
          <cell r="H1800">
            <v>58.8</v>
          </cell>
          <cell r="I1800">
            <v>20</v>
          </cell>
          <cell r="J1800">
            <v>9</v>
          </cell>
          <cell r="K1800">
            <v>34</v>
          </cell>
          <cell r="L1800">
            <v>22</v>
          </cell>
          <cell r="M1800">
            <v>98</v>
          </cell>
          <cell r="N1800">
            <v>0</v>
          </cell>
          <cell r="O1800">
            <v>4</v>
          </cell>
          <cell r="P1800">
            <v>0</v>
          </cell>
          <cell r="Q1800">
            <v>13</v>
          </cell>
        </row>
        <row r="1801">
          <cell r="B1801">
            <v>2010</v>
          </cell>
          <cell r="C1801">
            <v>118</v>
          </cell>
          <cell r="D1801" t="str">
            <v>Mark Sanchez</v>
          </cell>
          <cell r="F1801">
            <v>278</v>
          </cell>
          <cell r="G1801">
            <v>507</v>
          </cell>
          <cell r="H1801">
            <v>54.8</v>
          </cell>
          <cell r="I1801">
            <v>17</v>
          </cell>
          <cell r="J1801">
            <v>13</v>
          </cell>
          <cell r="K1801">
            <v>27</v>
          </cell>
          <cell r="L1801">
            <v>30</v>
          </cell>
          <cell r="M1801">
            <v>105</v>
          </cell>
          <cell r="N1801">
            <v>3</v>
          </cell>
          <cell r="O1801">
            <v>1</v>
          </cell>
          <cell r="P1801">
            <v>0</v>
          </cell>
          <cell r="Q1801">
            <v>16</v>
          </cell>
        </row>
        <row r="1802">
          <cell r="B1802">
            <v>2010</v>
          </cell>
          <cell r="C1802">
            <v>119</v>
          </cell>
          <cell r="D1802" t="str">
            <v>Matt Flynn</v>
          </cell>
          <cell r="F1802">
            <v>40</v>
          </cell>
          <cell r="G1802">
            <v>66</v>
          </cell>
          <cell r="H1802">
            <v>60.6</v>
          </cell>
          <cell r="I1802">
            <v>3</v>
          </cell>
          <cell r="J1802">
            <v>2</v>
          </cell>
          <cell r="K1802">
            <v>7</v>
          </cell>
          <cell r="L1802">
            <v>9</v>
          </cell>
          <cell r="M1802">
            <v>26</v>
          </cell>
          <cell r="N1802">
            <v>0</v>
          </cell>
          <cell r="O1802">
            <v>1</v>
          </cell>
          <cell r="P1802">
            <v>0</v>
          </cell>
          <cell r="Q1802">
            <v>7</v>
          </cell>
        </row>
        <row r="1803">
          <cell r="B1803">
            <v>2010</v>
          </cell>
          <cell r="C1803">
            <v>120</v>
          </cell>
          <cell r="D1803" t="str">
            <v>Rex Grossman</v>
          </cell>
          <cell r="F1803">
            <v>74</v>
          </cell>
          <cell r="G1803">
            <v>133</v>
          </cell>
          <cell r="H1803">
            <v>55.6</v>
          </cell>
          <cell r="I1803">
            <v>7</v>
          </cell>
          <cell r="J1803">
            <v>4</v>
          </cell>
          <cell r="K1803">
            <v>9</v>
          </cell>
          <cell r="L1803">
            <v>3</v>
          </cell>
          <cell r="M1803">
            <v>6</v>
          </cell>
          <cell r="N1803">
            <v>0</v>
          </cell>
          <cell r="O1803">
            <v>4</v>
          </cell>
          <cell r="P1803">
            <v>0</v>
          </cell>
          <cell r="Q1803">
            <v>4</v>
          </cell>
        </row>
        <row r="1804">
          <cell r="B1804">
            <v>2010</v>
          </cell>
          <cell r="C1804">
            <v>121</v>
          </cell>
          <cell r="D1804" t="str">
            <v>Matt Hasselbeck</v>
          </cell>
          <cell r="F1804">
            <v>266</v>
          </cell>
          <cell r="G1804">
            <v>444</v>
          </cell>
          <cell r="H1804">
            <v>59.9</v>
          </cell>
          <cell r="I1804">
            <v>12</v>
          </cell>
          <cell r="J1804">
            <v>17</v>
          </cell>
          <cell r="K1804">
            <v>29</v>
          </cell>
          <cell r="L1804">
            <v>23</v>
          </cell>
          <cell r="M1804">
            <v>60</v>
          </cell>
          <cell r="N1804">
            <v>3</v>
          </cell>
          <cell r="O1804">
            <v>5</v>
          </cell>
          <cell r="P1804">
            <v>0</v>
          </cell>
          <cell r="Q1804">
            <v>14</v>
          </cell>
        </row>
        <row r="1805">
          <cell r="B1805">
            <v>2010</v>
          </cell>
          <cell r="C1805">
            <v>122</v>
          </cell>
          <cell r="D1805" t="str">
            <v>Michael Vick</v>
          </cell>
          <cell r="F1805">
            <v>233</v>
          </cell>
          <cell r="G1805">
            <v>372</v>
          </cell>
          <cell r="H1805">
            <v>62.6</v>
          </cell>
          <cell r="I1805">
            <v>21</v>
          </cell>
          <cell r="J1805">
            <v>6</v>
          </cell>
          <cell r="K1805">
            <v>34</v>
          </cell>
          <cell r="L1805">
            <v>100</v>
          </cell>
          <cell r="M1805">
            <v>676</v>
          </cell>
          <cell r="N1805">
            <v>9</v>
          </cell>
          <cell r="O1805">
            <v>3</v>
          </cell>
          <cell r="P1805">
            <v>0</v>
          </cell>
          <cell r="Q1805">
            <v>12</v>
          </cell>
        </row>
        <row r="1806">
          <cell r="B1806">
            <v>2010</v>
          </cell>
          <cell r="C1806">
            <v>123</v>
          </cell>
          <cell r="D1806" t="str">
            <v>Peyton Manning</v>
          </cell>
          <cell r="F1806">
            <v>450</v>
          </cell>
          <cell r="G1806">
            <v>679</v>
          </cell>
          <cell r="H1806">
            <v>66.3</v>
          </cell>
          <cell r="I1806">
            <v>33</v>
          </cell>
          <cell r="J1806">
            <v>17</v>
          </cell>
          <cell r="K1806">
            <v>16</v>
          </cell>
          <cell r="L1806">
            <v>18</v>
          </cell>
          <cell r="M1806">
            <v>18</v>
          </cell>
          <cell r="N1806">
            <v>0</v>
          </cell>
          <cell r="O1806">
            <v>1</v>
          </cell>
          <cell r="P1806">
            <v>0</v>
          </cell>
          <cell r="Q1806">
            <v>16</v>
          </cell>
        </row>
        <row r="1807">
          <cell r="B1807">
            <v>2010</v>
          </cell>
          <cell r="C1807">
            <v>124</v>
          </cell>
          <cell r="D1807" t="str">
            <v>Philip Rivers</v>
          </cell>
          <cell r="F1807">
            <v>357</v>
          </cell>
          <cell r="G1807">
            <v>541</v>
          </cell>
          <cell r="H1807">
            <v>66</v>
          </cell>
          <cell r="I1807">
            <v>30</v>
          </cell>
          <cell r="J1807">
            <v>13</v>
          </cell>
          <cell r="K1807">
            <v>38</v>
          </cell>
          <cell r="L1807">
            <v>29</v>
          </cell>
          <cell r="M1807">
            <v>52</v>
          </cell>
          <cell r="N1807">
            <v>0</v>
          </cell>
          <cell r="O1807">
            <v>4</v>
          </cell>
          <cell r="P1807">
            <v>0</v>
          </cell>
          <cell r="Q1807">
            <v>16</v>
          </cell>
        </row>
        <row r="1808">
          <cell r="B1808">
            <v>2010</v>
          </cell>
          <cell r="C1808">
            <v>125</v>
          </cell>
          <cell r="D1808" t="str">
            <v>Kevin Hogan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</row>
        <row r="1809">
          <cell r="B1809">
            <v>2010</v>
          </cell>
          <cell r="C1809">
            <v>126</v>
          </cell>
          <cell r="D1809" t="str">
            <v>Nate Sudfeld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</row>
        <row r="1810">
          <cell r="B1810">
            <v>2010</v>
          </cell>
          <cell r="C1810">
            <v>127</v>
          </cell>
          <cell r="D1810" t="str">
            <v>Brandon Allen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>
            <v>2010</v>
          </cell>
          <cell r="C1811">
            <v>128</v>
          </cell>
          <cell r="D1811" t="str">
            <v>Jared Goff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</row>
        <row r="1812">
          <cell r="B1812">
            <v>2010</v>
          </cell>
          <cell r="C1812">
            <v>129</v>
          </cell>
          <cell r="D1812" t="str">
            <v>Carson Wentz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>
            <v>2010</v>
          </cell>
          <cell r="C1813">
            <v>130</v>
          </cell>
          <cell r="D1813" t="str">
            <v>Dak Prescott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</row>
        <row r="1814">
          <cell r="B1814">
            <v>2010</v>
          </cell>
          <cell r="C1814">
            <v>131</v>
          </cell>
          <cell r="D1814" t="str">
            <v>Jeff Driskel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>
            <v>2010</v>
          </cell>
          <cell r="C1815">
            <v>132</v>
          </cell>
          <cell r="D1815" t="str">
            <v>Jacoby Brissett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</row>
        <row r="1816">
          <cell r="B1816">
            <v>2010</v>
          </cell>
          <cell r="C1816">
            <v>133</v>
          </cell>
          <cell r="D1816" t="str">
            <v>Mitchell Trubisky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</row>
        <row r="1817">
          <cell r="B1817">
            <v>2010</v>
          </cell>
          <cell r="C1817">
            <v>134</v>
          </cell>
          <cell r="D1817" t="str">
            <v>Taysom Hill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</row>
        <row r="1818">
          <cell r="B1818">
            <v>2010</v>
          </cell>
          <cell r="C1818">
            <v>135</v>
          </cell>
          <cell r="D1818" t="str">
            <v>Mason Rudolph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</row>
        <row r="1819">
          <cell r="B1819">
            <v>2010</v>
          </cell>
          <cell r="C1819">
            <v>136</v>
          </cell>
          <cell r="D1819" t="str">
            <v>Josh Rosen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0</v>
          </cell>
        </row>
        <row r="1820">
          <cell r="B1820">
            <v>2010</v>
          </cell>
          <cell r="C1820">
            <v>137</v>
          </cell>
          <cell r="D1820" t="str">
            <v>Sam Darnold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</row>
        <row r="1821">
          <cell r="B1821">
            <v>2010</v>
          </cell>
          <cell r="C1821">
            <v>138</v>
          </cell>
          <cell r="D1821" t="str">
            <v>Baker Mayfield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0</v>
          </cell>
        </row>
        <row r="1822">
          <cell r="B1822">
            <v>2010</v>
          </cell>
          <cell r="C1822">
            <v>139</v>
          </cell>
          <cell r="D1822" t="str">
            <v>Logan Woodside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</row>
        <row r="1823">
          <cell r="B1823">
            <v>2010</v>
          </cell>
          <cell r="C1823">
            <v>140</v>
          </cell>
          <cell r="D1823" t="str">
            <v>Josh Allen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>
            <v>2010</v>
          </cell>
          <cell r="C1824">
            <v>141</v>
          </cell>
          <cell r="D1824" t="str">
            <v>P.J. Walker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0</v>
          </cell>
        </row>
        <row r="1825">
          <cell r="B1825">
            <v>2010</v>
          </cell>
          <cell r="C1825">
            <v>142</v>
          </cell>
          <cell r="D1825" t="str">
            <v>Davis Webb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</row>
        <row r="1826">
          <cell r="B1826">
            <v>2010</v>
          </cell>
          <cell r="C1826">
            <v>143</v>
          </cell>
          <cell r="D1826" t="str">
            <v>Deshaun Watson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</row>
        <row r="1827">
          <cell r="B1827">
            <v>2010</v>
          </cell>
          <cell r="C1827">
            <v>144</v>
          </cell>
          <cell r="D1827" t="str">
            <v>Patrick Mahomes II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>
            <v>2010</v>
          </cell>
          <cell r="C1828">
            <v>145</v>
          </cell>
          <cell r="D1828" t="str">
            <v>Joshua Dobbs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</row>
        <row r="1829">
          <cell r="B1829">
            <v>2010</v>
          </cell>
          <cell r="C1829">
            <v>146</v>
          </cell>
          <cell r="D1829" t="str">
            <v>C.J. Beathard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</row>
        <row r="1847">
          <cell r="B1847">
            <v>2009</v>
          </cell>
          <cell r="C1847">
            <v>1</v>
          </cell>
          <cell r="D1847" t="str">
            <v>Aaron Rodgers</v>
          </cell>
          <cell r="F1847">
            <v>350</v>
          </cell>
          <cell r="G1847">
            <v>541</v>
          </cell>
          <cell r="H1847">
            <v>64.7</v>
          </cell>
          <cell r="I1847">
            <v>30</v>
          </cell>
          <cell r="J1847">
            <v>7</v>
          </cell>
          <cell r="K1847">
            <v>50</v>
          </cell>
          <cell r="L1847">
            <v>58</v>
          </cell>
          <cell r="M1847">
            <v>316</v>
          </cell>
          <cell r="N1847">
            <v>5</v>
          </cell>
          <cell r="O1847">
            <v>4</v>
          </cell>
          <cell r="P1847">
            <v>337</v>
          </cell>
          <cell r="Q1847">
            <v>16</v>
          </cell>
        </row>
        <row r="1848">
          <cell r="B1848">
            <v>2009</v>
          </cell>
          <cell r="C1848">
            <v>2</v>
          </cell>
          <cell r="D1848" t="str">
            <v>Drew Brees</v>
          </cell>
          <cell r="F1848">
            <v>363</v>
          </cell>
          <cell r="G1848">
            <v>514</v>
          </cell>
          <cell r="H1848">
            <v>70.599999999999994</v>
          </cell>
          <cell r="I1848">
            <v>34</v>
          </cell>
          <cell r="J1848">
            <v>11</v>
          </cell>
          <cell r="K1848">
            <v>20</v>
          </cell>
          <cell r="L1848">
            <v>22</v>
          </cell>
          <cell r="M1848">
            <v>33</v>
          </cell>
          <cell r="N1848">
            <v>2</v>
          </cell>
          <cell r="O1848">
            <v>6</v>
          </cell>
          <cell r="P1848">
            <v>292.8</v>
          </cell>
          <cell r="Q1848">
            <v>15</v>
          </cell>
        </row>
        <row r="1849">
          <cell r="B1849">
            <v>2009</v>
          </cell>
          <cell r="C1849">
            <v>3</v>
          </cell>
          <cell r="D1849" t="str">
            <v>Matt Schaub</v>
          </cell>
          <cell r="F1849">
            <v>396</v>
          </cell>
          <cell r="G1849">
            <v>583</v>
          </cell>
          <cell r="H1849">
            <v>67.900000000000006</v>
          </cell>
          <cell r="I1849">
            <v>29</v>
          </cell>
          <cell r="J1849">
            <v>15</v>
          </cell>
          <cell r="K1849">
            <v>25</v>
          </cell>
          <cell r="L1849">
            <v>48</v>
          </cell>
          <cell r="M1849">
            <v>57</v>
          </cell>
          <cell r="N1849">
            <v>0</v>
          </cell>
          <cell r="O1849">
            <v>2</v>
          </cell>
          <cell r="P1849">
            <v>278.5</v>
          </cell>
          <cell r="Q1849">
            <v>16</v>
          </cell>
        </row>
        <row r="1850">
          <cell r="B1850">
            <v>2009</v>
          </cell>
          <cell r="C1850">
            <v>4</v>
          </cell>
          <cell r="D1850" t="str">
            <v>Tom Brady</v>
          </cell>
          <cell r="F1850">
            <v>371</v>
          </cell>
          <cell r="G1850">
            <v>565</v>
          </cell>
          <cell r="H1850">
            <v>65.7</v>
          </cell>
          <cell r="I1850">
            <v>28</v>
          </cell>
          <cell r="J1850">
            <v>13</v>
          </cell>
          <cell r="K1850">
            <v>16</v>
          </cell>
          <cell r="L1850">
            <v>29</v>
          </cell>
          <cell r="M1850">
            <v>44</v>
          </cell>
          <cell r="N1850">
            <v>1</v>
          </cell>
          <cell r="O1850">
            <v>2</v>
          </cell>
          <cell r="P1850">
            <v>268.3</v>
          </cell>
          <cell r="Q1850">
            <v>16</v>
          </cell>
        </row>
        <row r="1851">
          <cell r="B1851">
            <v>2009</v>
          </cell>
          <cell r="C1851">
            <v>5</v>
          </cell>
          <cell r="D1851" t="str">
            <v>Ben Roethlisberger</v>
          </cell>
          <cell r="F1851">
            <v>337</v>
          </cell>
          <cell r="G1851">
            <v>506</v>
          </cell>
          <cell r="H1851">
            <v>66.599999999999994</v>
          </cell>
          <cell r="I1851">
            <v>26</v>
          </cell>
          <cell r="J1851">
            <v>12</v>
          </cell>
          <cell r="K1851">
            <v>50</v>
          </cell>
          <cell r="L1851">
            <v>40</v>
          </cell>
          <cell r="M1851">
            <v>82</v>
          </cell>
          <cell r="N1851">
            <v>2</v>
          </cell>
          <cell r="O1851">
            <v>3</v>
          </cell>
          <cell r="P1851">
            <v>267.2</v>
          </cell>
          <cell r="Q1851">
            <v>15</v>
          </cell>
        </row>
        <row r="1852">
          <cell r="B1852">
            <v>2009</v>
          </cell>
          <cell r="C1852">
            <v>6</v>
          </cell>
          <cell r="D1852" t="str">
            <v>Joe Flacco</v>
          </cell>
          <cell r="F1852">
            <v>315</v>
          </cell>
          <cell r="G1852">
            <v>499</v>
          </cell>
          <cell r="H1852">
            <v>63.1</v>
          </cell>
          <cell r="I1852">
            <v>21</v>
          </cell>
          <cell r="J1852">
            <v>12</v>
          </cell>
          <cell r="K1852">
            <v>36</v>
          </cell>
          <cell r="L1852">
            <v>35</v>
          </cell>
          <cell r="M1852">
            <v>56</v>
          </cell>
          <cell r="N1852">
            <v>0</v>
          </cell>
          <cell r="O1852">
            <v>2</v>
          </cell>
          <cell r="P1852">
            <v>206.2</v>
          </cell>
          <cell r="Q1852">
            <v>16</v>
          </cell>
        </row>
        <row r="1853">
          <cell r="B1853">
            <v>2009</v>
          </cell>
          <cell r="C1853">
            <v>7</v>
          </cell>
          <cell r="D1853" t="str">
            <v>Matt Ryan</v>
          </cell>
          <cell r="F1853">
            <v>263</v>
          </cell>
          <cell r="G1853">
            <v>451</v>
          </cell>
          <cell r="H1853">
            <v>58.3</v>
          </cell>
          <cell r="I1853">
            <v>22</v>
          </cell>
          <cell r="J1853">
            <v>14</v>
          </cell>
          <cell r="K1853">
            <v>19</v>
          </cell>
          <cell r="L1853">
            <v>30</v>
          </cell>
          <cell r="M1853">
            <v>49</v>
          </cell>
          <cell r="N1853">
            <v>1</v>
          </cell>
          <cell r="O1853">
            <v>2</v>
          </cell>
          <cell r="P1853">
            <v>183.7</v>
          </cell>
          <cell r="Q1853">
            <v>14</v>
          </cell>
        </row>
        <row r="1854">
          <cell r="B1854">
            <v>2009</v>
          </cell>
          <cell r="C1854">
            <v>8</v>
          </cell>
          <cell r="D1854" t="str">
            <v>Alex Smith</v>
          </cell>
          <cell r="F1854">
            <v>225</v>
          </cell>
          <cell r="G1854">
            <v>372</v>
          </cell>
          <cell r="H1854">
            <v>60.5</v>
          </cell>
          <cell r="I1854">
            <v>18</v>
          </cell>
          <cell r="J1854">
            <v>12</v>
          </cell>
          <cell r="K1854">
            <v>22</v>
          </cell>
          <cell r="L1854">
            <v>24</v>
          </cell>
          <cell r="M1854">
            <v>51</v>
          </cell>
          <cell r="N1854">
            <v>0</v>
          </cell>
          <cell r="O1854">
            <v>1</v>
          </cell>
          <cell r="P1854">
            <v>145</v>
          </cell>
          <cell r="Q1854">
            <v>11</v>
          </cell>
        </row>
        <row r="1855">
          <cell r="B1855">
            <v>2009</v>
          </cell>
          <cell r="C1855">
            <v>9</v>
          </cell>
          <cell r="D1855" t="str">
            <v>Chad Henne</v>
          </cell>
          <cell r="F1855">
            <v>274</v>
          </cell>
          <cell r="G1855">
            <v>451</v>
          </cell>
          <cell r="H1855">
            <v>60.8</v>
          </cell>
          <cell r="I1855">
            <v>12</v>
          </cell>
          <cell r="J1855">
            <v>14</v>
          </cell>
          <cell r="K1855">
            <v>26</v>
          </cell>
          <cell r="L1855">
            <v>16</v>
          </cell>
          <cell r="M1855">
            <v>32</v>
          </cell>
          <cell r="N1855">
            <v>1</v>
          </cell>
          <cell r="O1855">
            <v>0</v>
          </cell>
          <cell r="P1855">
            <v>144.4</v>
          </cell>
          <cell r="Q1855">
            <v>14</v>
          </cell>
        </row>
        <row r="1856">
          <cell r="B1856">
            <v>2009</v>
          </cell>
          <cell r="C1856">
            <v>10</v>
          </cell>
          <cell r="D1856" t="str">
            <v>Matthew Stafford</v>
          </cell>
          <cell r="F1856">
            <v>201</v>
          </cell>
          <cell r="G1856">
            <v>377</v>
          </cell>
          <cell r="H1856">
            <v>53.3</v>
          </cell>
          <cell r="I1856">
            <v>13</v>
          </cell>
          <cell r="J1856">
            <v>20</v>
          </cell>
          <cell r="K1856">
            <v>24</v>
          </cell>
          <cell r="L1856">
            <v>20</v>
          </cell>
          <cell r="M1856">
            <v>108</v>
          </cell>
          <cell r="N1856">
            <v>2</v>
          </cell>
          <cell r="O1856">
            <v>1</v>
          </cell>
          <cell r="P1856">
            <v>123.4</v>
          </cell>
          <cell r="Q1856">
            <v>10</v>
          </cell>
        </row>
        <row r="1857">
          <cell r="B1857">
            <v>2009</v>
          </cell>
          <cell r="C1857">
            <v>11</v>
          </cell>
          <cell r="D1857" t="str">
            <v>Ryan Fitzpatrick</v>
          </cell>
          <cell r="F1857">
            <v>127</v>
          </cell>
          <cell r="G1857">
            <v>227</v>
          </cell>
          <cell r="H1857">
            <v>55.9</v>
          </cell>
          <cell r="I1857">
            <v>9</v>
          </cell>
          <cell r="J1857">
            <v>10</v>
          </cell>
          <cell r="K1857">
            <v>21</v>
          </cell>
          <cell r="L1857">
            <v>31</v>
          </cell>
          <cell r="M1857">
            <v>141</v>
          </cell>
          <cell r="N1857">
            <v>1</v>
          </cell>
          <cell r="O1857">
            <v>2</v>
          </cell>
          <cell r="P1857">
            <v>88.8</v>
          </cell>
          <cell r="Q1857">
            <v>10</v>
          </cell>
        </row>
        <row r="1858">
          <cell r="B1858">
            <v>2009</v>
          </cell>
          <cell r="C1858">
            <v>12</v>
          </cell>
          <cell r="D1858" t="str">
            <v>Matt Moore</v>
          </cell>
          <cell r="F1858">
            <v>85</v>
          </cell>
          <cell r="G1858">
            <v>138</v>
          </cell>
          <cell r="H1858">
            <v>61.6</v>
          </cell>
          <cell r="I1858">
            <v>8</v>
          </cell>
          <cell r="J1858">
            <v>2</v>
          </cell>
          <cell r="K1858">
            <v>9</v>
          </cell>
          <cell r="L1858">
            <v>12</v>
          </cell>
          <cell r="M1858">
            <v>-3</v>
          </cell>
          <cell r="N1858">
            <v>0</v>
          </cell>
          <cell r="O1858">
            <v>0</v>
          </cell>
          <cell r="P1858">
            <v>69.8</v>
          </cell>
          <cell r="Q1858">
            <v>7</v>
          </cell>
        </row>
        <row r="1859">
          <cell r="B1859">
            <v>2009</v>
          </cell>
          <cell r="C1859">
            <v>13</v>
          </cell>
          <cell r="D1859" t="str">
            <v>Josh Johnson</v>
          </cell>
          <cell r="F1859">
            <v>63</v>
          </cell>
          <cell r="G1859">
            <v>125</v>
          </cell>
          <cell r="H1859">
            <v>50.4</v>
          </cell>
          <cell r="I1859">
            <v>4</v>
          </cell>
          <cell r="J1859">
            <v>8</v>
          </cell>
          <cell r="K1859">
            <v>11</v>
          </cell>
          <cell r="L1859">
            <v>22</v>
          </cell>
          <cell r="M1859">
            <v>148</v>
          </cell>
          <cell r="N1859">
            <v>0</v>
          </cell>
          <cell r="O1859">
            <v>1</v>
          </cell>
          <cell r="P1859">
            <v>40.1</v>
          </cell>
          <cell r="Q1859">
            <v>6</v>
          </cell>
        </row>
        <row r="1860">
          <cell r="B1860">
            <v>2009</v>
          </cell>
          <cell r="C1860">
            <v>14</v>
          </cell>
          <cell r="D1860" t="str">
            <v>Brian Hoyer</v>
          </cell>
          <cell r="F1860">
            <v>19</v>
          </cell>
          <cell r="G1860">
            <v>27</v>
          </cell>
          <cell r="H1860">
            <v>70.400000000000006</v>
          </cell>
          <cell r="I1860">
            <v>0</v>
          </cell>
          <cell r="J1860">
            <v>0</v>
          </cell>
          <cell r="K1860">
            <v>2</v>
          </cell>
          <cell r="L1860">
            <v>10</v>
          </cell>
          <cell r="M1860">
            <v>25</v>
          </cell>
          <cell r="N1860">
            <v>1</v>
          </cell>
          <cell r="O1860">
            <v>0</v>
          </cell>
          <cell r="P1860">
            <v>14.2</v>
          </cell>
          <cell r="Q1860">
            <v>5</v>
          </cell>
        </row>
        <row r="1861">
          <cell r="B1861">
            <v>2009</v>
          </cell>
          <cell r="C1861">
            <v>15</v>
          </cell>
          <cell r="D1861" t="str">
            <v>Drew Stanton</v>
          </cell>
          <cell r="F1861">
            <v>26</v>
          </cell>
          <cell r="G1861">
            <v>51</v>
          </cell>
          <cell r="H1861">
            <v>51</v>
          </cell>
          <cell r="I1861">
            <v>0</v>
          </cell>
          <cell r="J1861">
            <v>6</v>
          </cell>
          <cell r="K1861">
            <v>5</v>
          </cell>
          <cell r="L1861">
            <v>9</v>
          </cell>
          <cell r="M1861">
            <v>33</v>
          </cell>
          <cell r="N1861">
            <v>1</v>
          </cell>
          <cell r="O1861">
            <v>1</v>
          </cell>
          <cell r="P1861">
            <v>5.7</v>
          </cell>
          <cell r="Q1861">
            <v>3</v>
          </cell>
        </row>
        <row r="1862">
          <cell r="B1862">
            <v>2009</v>
          </cell>
          <cell r="C1862">
            <v>16</v>
          </cell>
          <cell r="D1862" t="str">
            <v>Josh McCown</v>
          </cell>
          <cell r="F1862">
            <v>1</v>
          </cell>
          <cell r="G1862">
            <v>6</v>
          </cell>
          <cell r="H1862">
            <v>16.7</v>
          </cell>
          <cell r="I1862">
            <v>0</v>
          </cell>
          <cell r="J1862">
            <v>0</v>
          </cell>
          <cell r="K1862">
            <v>1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0.1</v>
          </cell>
          <cell r="Q1862">
            <v>1</v>
          </cell>
        </row>
        <row r="1863">
          <cell r="B1863">
            <v>2009</v>
          </cell>
          <cell r="C1863">
            <v>17</v>
          </cell>
          <cell r="D1863" t="str">
            <v>Luke McCown</v>
          </cell>
          <cell r="F1863">
            <v>1</v>
          </cell>
          <cell r="G1863">
            <v>3</v>
          </cell>
          <cell r="H1863">
            <v>33.299999999999997</v>
          </cell>
          <cell r="I1863">
            <v>0</v>
          </cell>
          <cell r="J1863">
            <v>0</v>
          </cell>
          <cell r="K1863">
            <v>2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>
            <v>0.1</v>
          </cell>
          <cell r="Q1863">
            <v>3</v>
          </cell>
        </row>
        <row r="1924">
          <cell r="B1924">
            <v>2009</v>
          </cell>
          <cell r="C1924">
            <v>78</v>
          </cell>
          <cell r="D1924" t="str">
            <v>Levi Brown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16</v>
          </cell>
        </row>
        <row r="1931">
          <cell r="B1931">
            <v>2009</v>
          </cell>
          <cell r="C1931">
            <v>85</v>
          </cell>
          <cell r="D1931" t="str">
            <v>Eli Manning</v>
          </cell>
          <cell r="F1931">
            <v>317</v>
          </cell>
          <cell r="G1931">
            <v>509</v>
          </cell>
          <cell r="H1931">
            <v>62.3</v>
          </cell>
          <cell r="I1931">
            <v>27</v>
          </cell>
          <cell r="J1931">
            <v>14</v>
          </cell>
          <cell r="K1931">
            <v>30</v>
          </cell>
          <cell r="L1931">
            <v>17</v>
          </cell>
          <cell r="M1931">
            <v>65</v>
          </cell>
          <cell r="N1931">
            <v>0</v>
          </cell>
          <cell r="O1931">
            <v>8</v>
          </cell>
          <cell r="P1931">
            <v>0</v>
          </cell>
          <cell r="Q1931">
            <v>16</v>
          </cell>
        </row>
        <row r="1932">
          <cell r="B1932">
            <v>2009</v>
          </cell>
          <cell r="C1932">
            <v>86</v>
          </cell>
          <cell r="D1932" t="str">
            <v>David Carr</v>
          </cell>
          <cell r="F1932">
            <v>21</v>
          </cell>
          <cell r="G1932">
            <v>33</v>
          </cell>
          <cell r="H1932">
            <v>63.6</v>
          </cell>
          <cell r="I1932">
            <v>1</v>
          </cell>
          <cell r="J1932">
            <v>0</v>
          </cell>
          <cell r="K1932">
            <v>2</v>
          </cell>
          <cell r="L1932">
            <v>9</v>
          </cell>
          <cell r="M1932">
            <v>27</v>
          </cell>
          <cell r="N1932">
            <v>1</v>
          </cell>
          <cell r="O1932">
            <v>0</v>
          </cell>
          <cell r="P1932">
            <v>0</v>
          </cell>
          <cell r="Q1932">
            <v>6</v>
          </cell>
        </row>
        <row r="1933">
          <cell r="B1933">
            <v>2009</v>
          </cell>
          <cell r="C1933">
            <v>87</v>
          </cell>
          <cell r="D1933" t="str">
            <v>Dennis Dixon</v>
          </cell>
          <cell r="F1933">
            <v>12</v>
          </cell>
          <cell r="G1933">
            <v>26</v>
          </cell>
          <cell r="H1933">
            <v>46.2</v>
          </cell>
          <cell r="I1933">
            <v>1</v>
          </cell>
          <cell r="J1933">
            <v>1</v>
          </cell>
          <cell r="K1933">
            <v>0</v>
          </cell>
          <cell r="L1933">
            <v>3</v>
          </cell>
          <cell r="M1933">
            <v>27</v>
          </cell>
          <cell r="N1933">
            <v>1</v>
          </cell>
          <cell r="O1933">
            <v>0</v>
          </cell>
          <cell r="P1933">
            <v>0</v>
          </cell>
          <cell r="Q1933">
            <v>1</v>
          </cell>
        </row>
        <row r="1934">
          <cell r="B1934">
            <v>2009</v>
          </cell>
          <cell r="C1934">
            <v>88</v>
          </cell>
          <cell r="D1934" t="str">
            <v>Derek Anderson</v>
          </cell>
          <cell r="F1934">
            <v>81</v>
          </cell>
          <cell r="G1934">
            <v>182</v>
          </cell>
          <cell r="H1934">
            <v>44.5</v>
          </cell>
          <cell r="I1934">
            <v>3</v>
          </cell>
          <cell r="J1934">
            <v>10</v>
          </cell>
          <cell r="K1934">
            <v>11</v>
          </cell>
          <cell r="L1934">
            <v>10</v>
          </cell>
          <cell r="M1934">
            <v>8</v>
          </cell>
          <cell r="N1934">
            <v>2</v>
          </cell>
          <cell r="O1934">
            <v>3</v>
          </cell>
          <cell r="P1934">
            <v>0</v>
          </cell>
          <cell r="Q1934">
            <v>8</v>
          </cell>
        </row>
        <row r="1935">
          <cell r="B1935">
            <v>2009</v>
          </cell>
          <cell r="C1935">
            <v>89</v>
          </cell>
          <cell r="D1935" t="str">
            <v>Jason Campbell</v>
          </cell>
          <cell r="F1935">
            <v>327</v>
          </cell>
          <cell r="G1935">
            <v>507</v>
          </cell>
          <cell r="H1935">
            <v>64.5</v>
          </cell>
          <cell r="I1935">
            <v>20</v>
          </cell>
          <cell r="J1935">
            <v>15</v>
          </cell>
          <cell r="K1935">
            <v>43</v>
          </cell>
          <cell r="L1935">
            <v>46</v>
          </cell>
          <cell r="M1935">
            <v>236</v>
          </cell>
          <cell r="N1935">
            <v>1</v>
          </cell>
          <cell r="O1935">
            <v>3</v>
          </cell>
          <cell r="P1935">
            <v>0</v>
          </cell>
          <cell r="Q1935">
            <v>16</v>
          </cell>
        </row>
        <row r="1936">
          <cell r="B1936">
            <v>2009</v>
          </cell>
          <cell r="C1936">
            <v>90</v>
          </cell>
          <cell r="D1936" t="str">
            <v>Jay Cutler</v>
          </cell>
          <cell r="F1936">
            <v>336</v>
          </cell>
          <cell r="G1936">
            <v>555</v>
          </cell>
          <cell r="H1936">
            <v>60.5</v>
          </cell>
          <cell r="I1936">
            <v>27</v>
          </cell>
          <cell r="J1936">
            <v>26</v>
          </cell>
          <cell r="K1936">
            <v>35</v>
          </cell>
          <cell r="L1936">
            <v>40</v>
          </cell>
          <cell r="M1936">
            <v>173</v>
          </cell>
          <cell r="N1936">
            <v>1</v>
          </cell>
          <cell r="O1936">
            <v>1</v>
          </cell>
          <cell r="P1936">
            <v>0</v>
          </cell>
          <cell r="Q1936">
            <v>16</v>
          </cell>
        </row>
        <row r="1937">
          <cell r="B1937">
            <v>2009</v>
          </cell>
          <cell r="C1937">
            <v>91</v>
          </cell>
          <cell r="D1937" t="str">
            <v>Josh Freeman</v>
          </cell>
          <cell r="F1937">
            <v>158</v>
          </cell>
          <cell r="G1937">
            <v>290</v>
          </cell>
          <cell r="H1937">
            <v>54.5</v>
          </cell>
          <cell r="I1937">
            <v>10</v>
          </cell>
          <cell r="J1937">
            <v>18</v>
          </cell>
          <cell r="K1937">
            <v>20</v>
          </cell>
          <cell r="L1937">
            <v>30</v>
          </cell>
          <cell r="M1937">
            <v>161</v>
          </cell>
          <cell r="N1937">
            <v>0</v>
          </cell>
          <cell r="O1937">
            <v>2</v>
          </cell>
          <cell r="P1937">
            <v>0</v>
          </cell>
          <cell r="Q1937">
            <v>10</v>
          </cell>
        </row>
        <row r="1938">
          <cell r="B1938">
            <v>2009</v>
          </cell>
          <cell r="C1938">
            <v>92</v>
          </cell>
          <cell r="D1938" t="str">
            <v>Curtis Painter</v>
          </cell>
          <cell r="F1938">
            <v>8</v>
          </cell>
          <cell r="G1938">
            <v>28</v>
          </cell>
          <cell r="H1938">
            <v>28.6</v>
          </cell>
          <cell r="I1938">
            <v>0</v>
          </cell>
          <cell r="J1938">
            <v>2</v>
          </cell>
          <cell r="K1938">
            <v>3</v>
          </cell>
          <cell r="L1938">
            <v>3</v>
          </cell>
          <cell r="M1938">
            <v>4</v>
          </cell>
          <cell r="N1938">
            <v>0</v>
          </cell>
          <cell r="O1938">
            <v>2</v>
          </cell>
          <cell r="P1938">
            <v>0</v>
          </cell>
          <cell r="Q1938">
            <v>2</v>
          </cell>
        </row>
        <row r="1939">
          <cell r="B1939">
            <v>2009</v>
          </cell>
          <cell r="C1939">
            <v>93</v>
          </cell>
          <cell r="D1939" t="str">
            <v>Kellen Clemens</v>
          </cell>
          <cell r="F1939">
            <v>13</v>
          </cell>
          <cell r="G1939">
            <v>26</v>
          </cell>
          <cell r="H1939">
            <v>50</v>
          </cell>
          <cell r="I1939">
            <v>0</v>
          </cell>
          <cell r="J1939">
            <v>0</v>
          </cell>
          <cell r="K1939">
            <v>4</v>
          </cell>
          <cell r="L1939">
            <v>12</v>
          </cell>
          <cell r="M1939">
            <v>1</v>
          </cell>
          <cell r="N1939">
            <v>0</v>
          </cell>
          <cell r="O1939">
            <v>0</v>
          </cell>
          <cell r="P1939">
            <v>0</v>
          </cell>
          <cell r="Q1939">
            <v>10</v>
          </cell>
        </row>
        <row r="1940">
          <cell r="B1940">
            <v>2009</v>
          </cell>
          <cell r="C1940">
            <v>94</v>
          </cell>
          <cell r="D1940" t="str">
            <v>Brady Quinn</v>
          </cell>
          <cell r="F1940">
            <v>136</v>
          </cell>
          <cell r="G1940">
            <v>256</v>
          </cell>
          <cell r="H1940">
            <v>53.1</v>
          </cell>
          <cell r="I1940">
            <v>8</v>
          </cell>
          <cell r="J1940">
            <v>7</v>
          </cell>
          <cell r="K1940">
            <v>19</v>
          </cell>
          <cell r="L1940">
            <v>20</v>
          </cell>
          <cell r="M1940">
            <v>98</v>
          </cell>
          <cell r="N1940">
            <v>1</v>
          </cell>
          <cell r="O1940">
            <v>3</v>
          </cell>
          <cell r="P1940">
            <v>0</v>
          </cell>
          <cell r="Q1940">
            <v>10</v>
          </cell>
        </row>
        <row r="1944">
          <cell r="B1944">
            <v>2009</v>
          </cell>
          <cell r="C1944">
            <v>98</v>
          </cell>
          <cell r="D1944" t="str">
            <v>Bruce Gradkowski</v>
          </cell>
          <cell r="F1944">
            <v>82</v>
          </cell>
          <cell r="G1944">
            <v>150</v>
          </cell>
          <cell r="H1944">
            <v>54.7</v>
          </cell>
          <cell r="I1944">
            <v>6</v>
          </cell>
          <cell r="J1944">
            <v>3</v>
          </cell>
          <cell r="K1944">
            <v>11</v>
          </cell>
          <cell r="L1944">
            <v>18</v>
          </cell>
          <cell r="M1944">
            <v>108</v>
          </cell>
          <cell r="N1944">
            <v>0</v>
          </cell>
          <cell r="O1944">
            <v>3</v>
          </cell>
          <cell r="P1944">
            <v>0</v>
          </cell>
          <cell r="Q1944">
            <v>7</v>
          </cell>
        </row>
        <row r="1945">
          <cell r="B1945">
            <v>2009</v>
          </cell>
          <cell r="C1945">
            <v>99</v>
          </cell>
          <cell r="D1945" t="str">
            <v>Caleb Hanie</v>
          </cell>
          <cell r="F1945">
            <v>3</v>
          </cell>
          <cell r="G1945">
            <v>7</v>
          </cell>
          <cell r="H1945">
            <v>42.9</v>
          </cell>
          <cell r="I1945">
            <v>0</v>
          </cell>
          <cell r="J1945">
            <v>1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2</v>
          </cell>
        </row>
        <row r="1946">
          <cell r="B1946">
            <v>2009</v>
          </cell>
          <cell r="C1946">
            <v>100</v>
          </cell>
          <cell r="D1946" t="str">
            <v>Carson Palmer</v>
          </cell>
          <cell r="F1946">
            <v>282</v>
          </cell>
          <cell r="G1946">
            <v>466</v>
          </cell>
          <cell r="H1946">
            <v>60.5</v>
          </cell>
          <cell r="I1946">
            <v>21</v>
          </cell>
          <cell r="J1946">
            <v>13</v>
          </cell>
          <cell r="K1946">
            <v>26</v>
          </cell>
          <cell r="L1946">
            <v>39</v>
          </cell>
          <cell r="M1946">
            <v>93</v>
          </cell>
          <cell r="N1946">
            <v>3</v>
          </cell>
          <cell r="O1946">
            <v>2</v>
          </cell>
          <cell r="P1946">
            <v>0</v>
          </cell>
          <cell r="Q1946">
            <v>16</v>
          </cell>
        </row>
        <row r="1948">
          <cell r="B1948">
            <v>2009</v>
          </cell>
          <cell r="C1948">
            <v>102</v>
          </cell>
          <cell r="D1948" t="str">
            <v>Tony Romo</v>
          </cell>
          <cell r="F1948">
            <v>347</v>
          </cell>
          <cell r="G1948">
            <v>550</v>
          </cell>
          <cell r="H1948">
            <v>63.1</v>
          </cell>
          <cell r="I1948">
            <v>26</v>
          </cell>
          <cell r="J1948">
            <v>9</v>
          </cell>
          <cell r="K1948">
            <v>34</v>
          </cell>
          <cell r="L1948">
            <v>35</v>
          </cell>
          <cell r="M1948">
            <v>105</v>
          </cell>
          <cell r="N1948">
            <v>1</v>
          </cell>
          <cell r="O1948">
            <v>4</v>
          </cell>
          <cell r="P1948">
            <v>0</v>
          </cell>
          <cell r="Q1948">
            <v>16</v>
          </cell>
        </row>
        <row r="1949">
          <cell r="B1949">
            <v>2009</v>
          </cell>
          <cell r="C1949">
            <v>103</v>
          </cell>
          <cell r="D1949" t="str">
            <v>Trent Edwards</v>
          </cell>
          <cell r="F1949">
            <v>110</v>
          </cell>
          <cell r="G1949">
            <v>183</v>
          </cell>
          <cell r="H1949">
            <v>60.1</v>
          </cell>
          <cell r="I1949">
            <v>6</v>
          </cell>
          <cell r="J1949">
            <v>7</v>
          </cell>
          <cell r="K1949">
            <v>23</v>
          </cell>
          <cell r="L1949">
            <v>14</v>
          </cell>
          <cell r="M1949">
            <v>106</v>
          </cell>
          <cell r="N1949">
            <v>0</v>
          </cell>
          <cell r="O1949">
            <v>0</v>
          </cell>
          <cell r="P1949">
            <v>0</v>
          </cell>
          <cell r="Q1949">
            <v>8</v>
          </cell>
        </row>
        <row r="1950">
          <cell r="B1950">
            <v>2009</v>
          </cell>
          <cell r="C1950">
            <v>104</v>
          </cell>
          <cell r="D1950" t="str">
            <v>Tyler Thigpen</v>
          </cell>
          <cell r="F1950">
            <v>4</v>
          </cell>
          <cell r="G1950">
            <v>8</v>
          </cell>
          <cell r="H1950">
            <v>50</v>
          </cell>
          <cell r="I1950">
            <v>1</v>
          </cell>
          <cell r="J1950">
            <v>2</v>
          </cell>
          <cell r="K1950">
            <v>0</v>
          </cell>
          <cell r="L1950">
            <v>2</v>
          </cell>
          <cell r="M1950">
            <v>3</v>
          </cell>
          <cell r="N1950">
            <v>0</v>
          </cell>
          <cell r="O1950">
            <v>0</v>
          </cell>
          <cell r="P1950">
            <v>0</v>
          </cell>
          <cell r="Q1950">
            <v>2</v>
          </cell>
        </row>
        <row r="1952">
          <cell r="B1952">
            <v>2009</v>
          </cell>
          <cell r="C1952">
            <v>106</v>
          </cell>
          <cell r="D1952" t="str">
            <v>Tarvaris Jackson</v>
          </cell>
          <cell r="F1952">
            <v>14</v>
          </cell>
          <cell r="G1952">
            <v>21</v>
          </cell>
          <cell r="H1952">
            <v>66.7</v>
          </cell>
          <cell r="I1952">
            <v>1</v>
          </cell>
          <cell r="J1952">
            <v>0</v>
          </cell>
          <cell r="K1952">
            <v>0</v>
          </cell>
          <cell r="L1952">
            <v>17</v>
          </cell>
          <cell r="M1952">
            <v>-10</v>
          </cell>
          <cell r="N1952">
            <v>0</v>
          </cell>
          <cell r="O1952">
            <v>0</v>
          </cell>
          <cell r="P1952">
            <v>0</v>
          </cell>
          <cell r="Q1952">
            <v>8</v>
          </cell>
        </row>
        <row r="1953">
          <cell r="B1953">
            <v>2009</v>
          </cell>
          <cell r="C1953">
            <v>107</v>
          </cell>
          <cell r="D1953" t="str">
            <v>Shaun Hill</v>
          </cell>
          <cell r="F1953">
            <v>87</v>
          </cell>
          <cell r="G1953">
            <v>155</v>
          </cell>
          <cell r="H1953">
            <v>56.1</v>
          </cell>
          <cell r="I1953">
            <v>5</v>
          </cell>
          <cell r="J1953">
            <v>2</v>
          </cell>
          <cell r="K1953">
            <v>18</v>
          </cell>
          <cell r="L1953">
            <v>8</v>
          </cell>
          <cell r="M1953">
            <v>70</v>
          </cell>
          <cell r="N1953">
            <v>0</v>
          </cell>
          <cell r="O1953">
            <v>1</v>
          </cell>
          <cell r="P1953">
            <v>0</v>
          </cell>
          <cell r="Q1953">
            <v>6</v>
          </cell>
        </row>
        <row r="1954">
          <cell r="B1954">
            <v>2009</v>
          </cell>
          <cell r="C1954">
            <v>108</v>
          </cell>
          <cell r="D1954" t="str">
            <v>Kevin Kolb</v>
          </cell>
          <cell r="F1954">
            <v>62</v>
          </cell>
          <cell r="G1954">
            <v>96</v>
          </cell>
          <cell r="H1954">
            <v>64.599999999999994</v>
          </cell>
          <cell r="I1954">
            <v>4</v>
          </cell>
          <cell r="J1954">
            <v>3</v>
          </cell>
          <cell r="K1954">
            <v>3</v>
          </cell>
          <cell r="L1954">
            <v>5</v>
          </cell>
          <cell r="M1954">
            <v>-1</v>
          </cell>
          <cell r="N1954">
            <v>1</v>
          </cell>
          <cell r="O1954">
            <v>1</v>
          </cell>
          <cell r="P1954">
            <v>0</v>
          </cell>
          <cell r="Q1954">
            <v>5</v>
          </cell>
        </row>
        <row r="1955">
          <cell r="B1955">
            <v>2009</v>
          </cell>
          <cell r="C1955">
            <v>109</v>
          </cell>
          <cell r="D1955" t="str">
            <v>Matt Flynn</v>
          </cell>
          <cell r="F1955">
            <v>7</v>
          </cell>
          <cell r="G1955">
            <v>12</v>
          </cell>
          <cell r="H1955">
            <v>58.3</v>
          </cell>
          <cell r="I1955">
            <v>0</v>
          </cell>
          <cell r="J1955">
            <v>1</v>
          </cell>
          <cell r="K1955">
            <v>1</v>
          </cell>
          <cell r="L1955">
            <v>5</v>
          </cell>
          <cell r="M1955">
            <v>-5</v>
          </cell>
          <cell r="N1955">
            <v>0</v>
          </cell>
          <cell r="O1955">
            <v>0</v>
          </cell>
          <cell r="P1955">
            <v>0</v>
          </cell>
          <cell r="Q1955">
            <v>15</v>
          </cell>
        </row>
        <row r="1956">
          <cell r="B1956">
            <v>2009</v>
          </cell>
          <cell r="C1956">
            <v>110</v>
          </cell>
          <cell r="D1956" t="str">
            <v>Kyle Orton</v>
          </cell>
          <cell r="F1956">
            <v>336</v>
          </cell>
          <cell r="G1956">
            <v>541</v>
          </cell>
          <cell r="H1956">
            <v>62.1</v>
          </cell>
          <cell r="I1956">
            <v>21</v>
          </cell>
          <cell r="J1956">
            <v>12</v>
          </cell>
          <cell r="K1956">
            <v>29</v>
          </cell>
          <cell r="L1956">
            <v>24</v>
          </cell>
          <cell r="M1956">
            <v>71</v>
          </cell>
          <cell r="N1956">
            <v>0</v>
          </cell>
          <cell r="O1956">
            <v>2</v>
          </cell>
          <cell r="P1956">
            <v>0</v>
          </cell>
          <cell r="Q1956">
            <v>16</v>
          </cell>
        </row>
        <row r="1957">
          <cell r="B1957">
            <v>2009</v>
          </cell>
          <cell r="C1957">
            <v>111</v>
          </cell>
          <cell r="D1957" t="str">
            <v>Mark Sanchez</v>
          </cell>
          <cell r="F1957">
            <v>196</v>
          </cell>
          <cell r="G1957">
            <v>364</v>
          </cell>
          <cell r="H1957">
            <v>53.8</v>
          </cell>
          <cell r="I1957">
            <v>12</v>
          </cell>
          <cell r="J1957">
            <v>20</v>
          </cell>
          <cell r="K1957">
            <v>26</v>
          </cell>
          <cell r="L1957">
            <v>36</v>
          </cell>
          <cell r="M1957">
            <v>106</v>
          </cell>
          <cell r="N1957">
            <v>3</v>
          </cell>
          <cell r="O1957">
            <v>3</v>
          </cell>
          <cell r="P1957">
            <v>0</v>
          </cell>
          <cell r="Q1957">
            <v>15</v>
          </cell>
        </row>
        <row r="1958">
          <cell r="B1958">
            <v>2009</v>
          </cell>
          <cell r="C1958">
            <v>112</v>
          </cell>
          <cell r="D1958" t="str">
            <v>Matt Cassel</v>
          </cell>
          <cell r="F1958">
            <v>271</v>
          </cell>
          <cell r="G1958">
            <v>493</v>
          </cell>
          <cell r="H1958">
            <v>55</v>
          </cell>
          <cell r="I1958">
            <v>16</v>
          </cell>
          <cell r="J1958">
            <v>16</v>
          </cell>
          <cell r="K1958">
            <v>42</v>
          </cell>
          <cell r="L1958">
            <v>50</v>
          </cell>
          <cell r="M1958">
            <v>189</v>
          </cell>
          <cell r="N1958">
            <v>0</v>
          </cell>
          <cell r="O1958">
            <v>3</v>
          </cell>
          <cell r="P1958">
            <v>0</v>
          </cell>
          <cell r="Q1958">
            <v>15</v>
          </cell>
        </row>
        <row r="1959">
          <cell r="B1959">
            <v>2009</v>
          </cell>
          <cell r="C1959">
            <v>113</v>
          </cell>
          <cell r="D1959" t="str">
            <v>Seneca Wallace</v>
          </cell>
          <cell r="F1959">
            <v>78</v>
          </cell>
          <cell r="G1959">
            <v>120</v>
          </cell>
          <cell r="H1959">
            <v>65</v>
          </cell>
          <cell r="I1959">
            <v>3</v>
          </cell>
          <cell r="J1959">
            <v>2</v>
          </cell>
          <cell r="K1959">
            <v>9</v>
          </cell>
          <cell r="L1959">
            <v>16</v>
          </cell>
          <cell r="M1959">
            <v>2</v>
          </cell>
          <cell r="N1959">
            <v>1</v>
          </cell>
          <cell r="O1959">
            <v>2</v>
          </cell>
          <cell r="P1959">
            <v>0</v>
          </cell>
          <cell r="Q1959">
            <v>13</v>
          </cell>
        </row>
        <row r="1960">
          <cell r="B1960">
            <v>2009</v>
          </cell>
          <cell r="C1960">
            <v>114</v>
          </cell>
          <cell r="D1960" t="str">
            <v>Matt Hasselbeck</v>
          </cell>
          <cell r="F1960">
            <v>293</v>
          </cell>
          <cell r="G1960">
            <v>488</v>
          </cell>
          <cell r="H1960">
            <v>60</v>
          </cell>
          <cell r="I1960">
            <v>17</v>
          </cell>
          <cell r="J1960">
            <v>17</v>
          </cell>
          <cell r="K1960">
            <v>32</v>
          </cell>
          <cell r="L1960">
            <v>26</v>
          </cell>
          <cell r="M1960">
            <v>119</v>
          </cell>
          <cell r="N1960">
            <v>0</v>
          </cell>
          <cell r="O1960">
            <v>3</v>
          </cell>
          <cell r="P1960">
            <v>0</v>
          </cell>
          <cell r="Q1960">
            <v>14</v>
          </cell>
        </row>
        <row r="1961">
          <cell r="B1961">
            <v>2009</v>
          </cell>
          <cell r="C1961">
            <v>115</v>
          </cell>
          <cell r="D1961" t="str">
            <v>Michael Vick</v>
          </cell>
          <cell r="F1961">
            <v>6</v>
          </cell>
          <cell r="G1961">
            <v>13</v>
          </cell>
          <cell r="H1961">
            <v>46.2</v>
          </cell>
          <cell r="I1961">
            <v>1</v>
          </cell>
          <cell r="J1961">
            <v>0</v>
          </cell>
          <cell r="K1961">
            <v>0</v>
          </cell>
          <cell r="L1961">
            <v>24</v>
          </cell>
          <cell r="M1961">
            <v>95</v>
          </cell>
          <cell r="N1961">
            <v>2</v>
          </cell>
          <cell r="O1961">
            <v>0</v>
          </cell>
          <cell r="P1961">
            <v>0</v>
          </cell>
          <cell r="Q1961">
            <v>12</v>
          </cell>
        </row>
        <row r="1962">
          <cell r="B1962">
            <v>2009</v>
          </cell>
          <cell r="C1962">
            <v>116</v>
          </cell>
          <cell r="D1962" t="str">
            <v>Pat White</v>
          </cell>
          <cell r="F1962">
            <v>0</v>
          </cell>
          <cell r="G1962">
            <v>5</v>
          </cell>
          <cell r="H1962">
            <v>0</v>
          </cell>
          <cell r="I1962">
            <v>0</v>
          </cell>
          <cell r="J1962">
            <v>0</v>
          </cell>
          <cell r="K1962">
            <v>1</v>
          </cell>
          <cell r="L1962">
            <v>21</v>
          </cell>
          <cell r="M1962">
            <v>81</v>
          </cell>
          <cell r="N1962">
            <v>0</v>
          </cell>
          <cell r="O1962">
            <v>0</v>
          </cell>
          <cell r="P1962">
            <v>0</v>
          </cell>
          <cell r="Q1962">
            <v>13</v>
          </cell>
        </row>
        <row r="1963">
          <cell r="B1963">
            <v>2009</v>
          </cell>
          <cell r="C1963">
            <v>117</v>
          </cell>
          <cell r="D1963" t="str">
            <v>Peyton Manning</v>
          </cell>
          <cell r="F1963">
            <v>393</v>
          </cell>
          <cell r="G1963">
            <v>571</v>
          </cell>
          <cell r="H1963">
            <v>68.8</v>
          </cell>
          <cell r="I1963">
            <v>33</v>
          </cell>
          <cell r="J1963">
            <v>16</v>
          </cell>
          <cell r="K1963">
            <v>10</v>
          </cell>
          <cell r="L1963">
            <v>19</v>
          </cell>
          <cell r="M1963">
            <v>-13</v>
          </cell>
          <cell r="N1963">
            <v>0</v>
          </cell>
          <cell r="O1963">
            <v>0</v>
          </cell>
          <cell r="P1963">
            <v>0</v>
          </cell>
          <cell r="Q1963">
            <v>16</v>
          </cell>
        </row>
        <row r="1964">
          <cell r="B1964">
            <v>2009</v>
          </cell>
          <cell r="C1964">
            <v>118</v>
          </cell>
          <cell r="D1964" t="str">
            <v>Philip Rivers</v>
          </cell>
          <cell r="F1964">
            <v>317</v>
          </cell>
          <cell r="G1964">
            <v>486</v>
          </cell>
          <cell r="H1964">
            <v>65.2</v>
          </cell>
          <cell r="I1964">
            <v>28</v>
          </cell>
          <cell r="J1964">
            <v>9</v>
          </cell>
          <cell r="K1964">
            <v>25</v>
          </cell>
          <cell r="L1964">
            <v>26</v>
          </cell>
          <cell r="M1964">
            <v>50</v>
          </cell>
          <cell r="N1964">
            <v>1</v>
          </cell>
          <cell r="O1964">
            <v>3</v>
          </cell>
          <cell r="P1964">
            <v>0</v>
          </cell>
          <cell r="Q1964">
            <v>16</v>
          </cell>
        </row>
        <row r="1965">
          <cell r="B1965">
            <v>2009</v>
          </cell>
          <cell r="C1965">
            <v>119</v>
          </cell>
          <cell r="D1965" t="str">
            <v>Rex Grossman</v>
          </cell>
          <cell r="F1965">
            <v>3</v>
          </cell>
          <cell r="G1965">
            <v>9</v>
          </cell>
          <cell r="H1965">
            <v>33.299999999999997</v>
          </cell>
          <cell r="I1965">
            <v>0</v>
          </cell>
          <cell r="J1965">
            <v>1</v>
          </cell>
          <cell r="K1965">
            <v>0</v>
          </cell>
          <cell r="L1965">
            <v>3</v>
          </cell>
          <cell r="M1965">
            <v>9</v>
          </cell>
          <cell r="N1965">
            <v>0</v>
          </cell>
          <cell r="O1965">
            <v>0</v>
          </cell>
          <cell r="P1965">
            <v>0</v>
          </cell>
          <cell r="Q1965">
            <v>1</v>
          </cell>
        </row>
        <row r="2005">
          <cell r="B2005">
            <v>2008</v>
          </cell>
          <cell r="C2005">
            <v>1</v>
          </cell>
          <cell r="D2005" t="str">
            <v>Drew Brees</v>
          </cell>
          <cell r="F2005">
            <v>413</v>
          </cell>
          <cell r="G2005">
            <v>635</v>
          </cell>
          <cell r="H2005">
            <v>65</v>
          </cell>
          <cell r="I2005">
            <v>34</v>
          </cell>
          <cell r="J2005">
            <v>17</v>
          </cell>
          <cell r="K2005">
            <v>13</v>
          </cell>
          <cell r="L2005">
            <v>22</v>
          </cell>
          <cell r="M2005">
            <v>-1</v>
          </cell>
          <cell r="N2005">
            <v>0</v>
          </cell>
          <cell r="O2005">
            <v>0</v>
          </cell>
          <cell r="P2005">
            <v>304.39999999999998</v>
          </cell>
          <cell r="Q2005">
            <v>16</v>
          </cell>
        </row>
        <row r="2006">
          <cell r="B2006">
            <v>2008</v>
          </cell>
          <cell r="C2006">
            <v>2</v>
          </cell>
          <cell r="D2006" t="str">
            <v>Aaron Rodgers</v>
          </cell>
          <cell r="F2006">
            <v>341</v>
          </cell>
          <cell r="G2006">
            <v>536</v>
          </cell>
          <cell r="H2006">
            <v>63.6</v>
          </cell>
          <cell r="I2006">
            <v>28</v>
          </cell>
          <cell r="J2006">
            <v>13</v>
          </cell>
          <cell r="K2006">
            <v>34</v>
          </cell>
          <cell r="L2006">
            <v>56</v>
          </cell>
          <cell r="M2006">
            <v>207</v>
          </cell>
          <cell r="N2006">
            <v>4</v>
          </cell>
          <cell r="O2006">
            <v>0</v>
          </cell>
          <cell r="P2006">
            <v>292.10000000000002</v>
          </cell>
          <cell r="Q2006">
            <v>16</v>
          </cell>
        </row>
        <row r="2007">
          <cell r="B2007">
            <v>2008</v>
          </cell>
          <cell r="C2007">
            <v>3</v>
          </cell>
          <cell r="D2007" t="str">
            <v>Matt Ryan</v>
          </cell>
          <cell r="F2007">
            <v>265</v>
          </cell>
          <cell r="G2007">
            <v>434</v>
          </cell>
          <cell r="H2007">
            <v>61.1</v>
          </cell>
          <cell r="I2007">
            <v>16</v>
          </cell>
          <cell r="J2007">
            <v>11</v>
          </cell>
          <cell r="K2007">
            <v>17</v>
          </cell>
          <cell r="L2007">
            <v>55</v>
          </cell>
          <cell r="M2007">
            <v>104</v>
          </cell>
          <cell r="N2007">
            <v>1</v>
          </cell>
          <cell r="O2007">
            <v>0</v>
          </cell>
          <cell r="P2007">
            <v>196</v>
          </cell>
          <cell r="Q2007">
            <v>16</v>
          </cell>
        </row>
        <row r="2008">
          <cell r="B2008">
            <v>2008</v>
          </cell>
          <cell r="C2008">
            <v>4</v>
          </cell>
          <cell r="D2008" t="str">
            <v>Ben Roethlisberger</v>
          </cell>
          <cell r="F2008">
            <v>281</v>
          </cell>
          <cell r="G2008">
            <v>469</v>
          </cell>
          <cell r="H2008">
            <v>59.9</v>
          </cell>
          <cell r="I2008">
            <v>17</v>
          </cell>
          <cell r="J2008">
            <v>15</v>
          </cell>
          <cell r="K2008">
            <v>46</v>
          </cell>
          <cell r="L2008">
            <v>34</v>
          </cell>
          <cell r="M2008">
            <v>101</v>
          </cell>
          <cell r="N2008">
            <v>2</v>
          </cell>
          <cell r="O2008">
            <v>0</v>
          </cell>
          <cell r="P2008">
            <v>192</v>
          </cell>
          <cell r="Q2008">
            <v>16</v>
          </cell>
        </row>
        <row r="2009">
          <cell r="B2009">
            <v>2008</v>
          </cell>
          <cell r="C2009">
            <v>5</v>
          </cell>
          <cell r="D2009" t="str">
            <v>Joe Flacco</v>
          </cell>
          <cell r="F2009">
            <v>257</v>
          </cell>
          <cell r="G2009">
            <v>428</v>
          </cell>
          <cell r="H2009">
            <v>60</v>
          </cell>
          <cell r="I2009">
            <v>14</v>
          </cell>
          <cell r="J2009">
            <v>12</v>
          </cell>
          <cell r="K2009">
            <v>32</v>
          </cell>
          <cell r="L2009">
            <v>52</v>
          </cell>
          <cell r="M2009">
            <v>180</v>
          </cell>
          <cell r="N2009">
            <v>2</v>
          </cell>
          <cell r="O2009">
            <v>0</v>
          </cell>
          <cell r="P2009">
            <v>185.8</v>
          </cell>
          <cell r="Q2009">
            <v>16</v>
          </cell>
        </row>
        <row r="2010">
          <cell r="B2010">
            <v>2008</v>
          </cell>
          <cell r="C2010">
            <v>6</v>
          </cell>
          <cell r="D2010" t="str">
            <v>Matt Schaub</v>
          </cell>
          <cell r="F2010">
            <v>251</v>
          </cell>
          <cell r="G2010">
            <v>380</v>
          </cell>
          <cell r="H2010">
            <v>66.099999999999994</v>
          </cell>
          <cell r="I2010">
            <v>15</v>
          </cell>
          <cell r="J2010">
            <v>10</v>
          </cell>
          <cell r="K2010">
            <v>23</v>
          </cell>
          <cell r="L2010">
            <v>31</v>
          </cell>
          <cell r="M2010">
            <v>68</v>
          </cell>
          <cell r="N2010">
            <v>2</v>
          </cell>
          <cell r="O2010">
            <v>1</v>
          </cell>
          <cell r="P2010">
            <v>178.7</v>
          </cell>
          <cell r="Q2010">
            <v>11</v>
          </cell>
        </row>
        <row r="2011">
          <cell r="B2011">
            <v>2008</v>
          </cell>
          <cell r="C2011">
            <v>7</v>
          </cell>
          <cell r="D2011" t="str">
            <v>Ryan Fitzpatrick</v>
          </cell>
          <cell r="F2011">
            <v>221</v>
          </cell>
          <cell r="G2011">
            <v>372</v>
          </cell>
          <cell r="H2011">
            <v>59.4</v>
          </cell>
          <cell r="I2011">
            <v>8</v>
          </cell>
          <cell r="J2011">
            <v>9</v>
          </cell>
          <cell r="K2011">
            <v>38</v>
          </cell>
          <cell r="L2011">
            <v>60</v>
          </cell>
          <cell r="M2011">
            <v>304</v>
          </cell>
          <cell r="N2011">
            <v>2</v>
          </cell>
          <cell r="O2011">
            <v>0</v>
          </cell>
          <cell r="P2011">
            <v>132.9</v>
          </cell>
          <cell r="Q2011">
            <v>13</v>
          </cell>
        </row>
        <row r="2012">
          <cell r="B2012">
            <v>2008</v>
          </cell>
          <cell r="C2012">
            <v>8</v>
          </cell>
          <cell r="D2012" t="str">
            <v>Drew Stanton</v>
          </cell>
          <cell r="F2012">
            <v>9</v>
          </cell>
          <cell r="G2012">
            <v>17</v>
          </cell>
          <cell r="H2012">
            <v>52.9</v>
          </cell>
          <cell r="I2012">
            <v>1</v>
          </cell>
          <cell r="J2012">
            <v>0</v>
          </cell>
          <cell r="K2012">
            <v>6</v>
          </cell>
          <cell r="L2012">
            <v>3</v>
          </cell>
          <cell r="M2012">
            <v>20</v>
          </cell>
          <cell r="N2012">
            <v>0</v>
          </cell>
          <cell r="O2012">
            <v>0</v>
          </cell>
          <cell r="P2012">
            <v>10.8</v>
          </cell>
          <cell r="Q2012">
            <v>3</v>
          </cell>
        </row>
        <row r="2013">
          <cell r="B2013">
            <v>2008</v>
          </cell>
          <cell r="C2013">
            <v>9</v>
          </cell>
          <cell r="D2013" t="str">
            <v>Tom Brady</v>
          </cell>
          <cell r="F2013">
            <v>7</v>
          </cell>
          <cell r="G2013">
            <v>11</v>
          </cell>
          <cell r="H2013">
            <v>63.6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3</v>
          </cell>
          <cell r="Q2013">
            <v>1</v>
          </cell>
        </row>
        <row r="2014">
          <cell r="B2014">
            <v>2008</v>
          </cell>
          <cell r="C2014">
            <v>10</v>
          </cell>
          <cell r="D2014" t="str">
            <v>Chad Henne</v>
          </cell>
          <cell r="F2014">
            <v>7</v>
          </cell>
          <cell r="G2014">
            <v>12</v>
          </cell>
          <cell r="H2014">
            <v>58.3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2.7</v>
          </cell>
          <cell r="Q2014">
            <v>3</v>
          </cell>
        </row>
        <row r="2015">
          <cell r="B2015">
            <v>2008</v>
          </cell>
          <cell r="C2015">
            <v>11</v>
          </cell>
          <cell r="D2015" t="str">
            <v>Luke McCown</v>
          </cell>
          <cell r="F2015">
            <v>0</v>
          </cell>
          <cell r="G2015">
            <v>1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3</v>
          </cell>
          <cell r="M2015">
            <v>15</v>
          </cell>
          <cell r="N2015">
            <v>0</v>
          </cell>
          <cell r="O2015">
            <v>0</v>
          </cell>
          <cell r="P2015">
            <v>1.5</v>
          </cell>
          <cell r="Q2015">
            <v>2</v>
          </cell>
        </row>
        <row r="2071">
          <cell r="B2071">
            <v>2008</v>
          </cell>
          <cell r="C2071">
            <v>67</v>
          </cell>
          <cell r="D2071" t="str">
            <v>Levi Brown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Q2071">
            <v>16</v>
          </cell>
        </row>
        <row r="2075">
          <cell r="B2075">
            <v>2008</v>
          </cell>
          <cell r="C2075">
            <v>71</v>
          </cell>
          <cell r="D2075" t="str">
            <v>Jordan Palmer</v>
          </cell>
          <cell r="F2075">
            <v>7</v>
          </cell>
          <cell r="G2075">
            <v>12</v>
          </cell>
          <cell r="H2075">
            <v>58.3</v>
          </cell>
          <cell r="I2075">
            <v>0</v>
          </cell>
          <cell r="J2075">
            <v>2</v>
          </cell>
          <cell r="K2075">
            <v>2</v>
          </cell>
          <cell r="L2075">
            <v>1</v>
          </cell>
          <cell r="M2075">
            <v>4</v>
          </cell>
          <cell r="N2075">
            <v>0</v>
          </cell>
          <cell r="O2075">
            <v>0</v>
          </cell>
          <cell r="P2075">
            <v>0</v>
          </cell>
          <cell r="Q2075">
            <v>3</v>
          </cell>
        </row>
        <row r="2086">
          <cell r="B2086">
            <v>2008</v>
          </cell>
          <cell r="C2086">
            <v>82</v>
          </cell>
          <cell r="D2086" t="str">
            <v>Dan Orlovsky</v>
          </cell>
          <cell r="F2086">
            <v>143</v>
          </cell>
          <cell r="G2086">
            <v>255</v>
          </cell>
          <cell r="H2086">
            <v>56.1</v>
          </cell>
          <cell r="I2086">
            <v>8</v>
          </cell>
          <cell r="J2086">
            <v>8</v>
          </cell>
          <cell r="K2086">
            <v>14</v>
          </cell>
          <cell r="L2086">
            <v>7</v>
          </cell>
          <cell r="M2086">
            <v>29</v>
          </cell>
          <cell r="N2086">
            <v>0</v>
          </cell>
          <cell r="O2086">
            <v>0</v>
          </cell>
          <cell r="P2086">
            <v>0</v>
          </cell>
          <cell r="Q2086">
            <v>10</v>
          </cell>
        </row>
        <row r="2088">
          <cell r="B2088">
            <v>2008</v>
          </cell>
          <cell r="C2088">
            <v>84</v>
          </cell>
          <cell r="D2088" t="str">
            <v>David Carr</v>
          </cell>
          <cell r="F2088">
            <v>9</v>
          </cell>
          <cell r="G2088">
            <v>12</v>
          </cell>
          <cell r="H2088">
            <v>75</v>
          </cell>
          <cell r="I2088">
            <v>2</v>
          </cell>
          <cell r="J2088">
            <v>0</v>
          </cell>
          <cell r="K2088">
            <v>1</v>
          </cell>
          <cell r="L2088">
            <v>8</v>
          </cell>
          <cell r="M2088">
            <v>10</v>
          </cell>
          <cell r="N2088">
            <v>0</v>
          </cell>
          <cell r="O2088">
            <v>0</v>
          </cell>
          <cell r="P2088">
            <v>0</v>
          </cell>
          <cell r="Q2088">
            <v>3</v>
          </cell>
        </row>
        <row r="2089">
          <cell r="B2089">
            <v>2008</v>
          </cell>
          <cell r="C2089">
            <v>85</v>
          </cell>
          <cell r="D2089" t="str">
            <v>Dennis Dixon</v>
          </cell>
          <cell r="F2089">
            <v>1</v>
          </cell>
          <cell r="G2089">
            <v>1</v>
          </cell>
          <cell r="H2089">
            <v>100</v>
          </cell>
          <cell r="I2089">
            <v>0</v>
          </cell>
          <cell r="J2089">
            <v>0</v>
          </cell>
          <cell r="K2089">
            <v>0</v>
          </cell>
          <cell r="L2089">
            <v>2</v>
          </cell>
          <cell r="M2089">
            <v>-3</v>
          </cell>
          <cell r="N2089">
            <v>0</v>
          </cell>
          <cell r="O2089">
            <v>0</v>
          </cell>
          <cell r="P2089">
            <v>0</v>
          </cell>
          <cell r="Q2089">
            <v>1</v>
          </cell>
        </row>
        <row r="2090">
          <cell r="B2090">
            <v>2008</v>
          </cell>
          <cell r="C2090">
            <v>86</v>
          </cell>
          <cell r="D2090" t="str">
            <v>Derek Anderson</v>
          </cell>
          <cell r="F2090">
            <v>142</v>
          </cell>
          <cell r="G2090">
            <v>283</v>
          </cell>
          <cell r="H2090">
            <v>50.2</v>
          </cell>
          <cell r="I2090">
            <v>9</v>
          </cell>
          <cell r="J2090">
            <v>8</v>
          </cell>
          <cell r="K2090">
            <v>14</v>
          </cell>
          <cell r="L2090">
            <v>25</v>
          </cell>
          <cell r="M2090">
            <v>55</v>
          </cell>
          <cell r="N2090">
            <v>0</v>
          </cell>
          <cell r="O2090">
            <v>0</v>
          </cell>
          <cell r="P2090">
            <v>0</v>
          </cell>
          <cell r="Q2090">
            <v>10</v>
          </cell>
        </row>
        <row r="2091">
          <cell r="B2091">
            <v>2008</v>
          </cell>
          <cell r="C2091">
            <v>87</v>
          </cell>
          <cell r="D2091" t="str">
            <v>Eli Manning</v>
          </cell>
          <cell r="F2091">
            <v>289</v>
          </cell>
          <cell r="G2091">
            <v>479</v>
          </cell>
          <cell r="H2091">
            <v>60.3</v>
          </cell>
          <cell r="I2091">
            <v>21</v>
          </cell>
          <cell r="J2091">
            <v>10</v>
          </cell>
          <cell r="K2091">
            <v>27</v>
          </cell>
          <cell r="L2091">
            <v>20</v>
          </cell>
          <cell r="M2091">
            <v>10</v>
          </cell>
          <cell r="N2091">
            <v>1</v>
          </cell>
          <cell r="O2091">
            <v>0</v>
          </cell>
          <cell r="P2091">
            <v>0</v>
          </cell>
          <cell r="Q2091">
            <v>16</v>
          </cell>
        </row>
        <row r="2092">
          <cell r="B2092">
            <v>2008</v>
          </cell>
          <cell r="C2092">
            <v>88</v>
          </cell>
          <cell r="D2092" t="str">
            <v>Jason Campbell</v>
          </cell>
          <cell r="F2092">
            <v>315</v>
          </cell>
          <cell r="G2092">
            <v>506</v>
          </cell>
          <cell r="H2092">
            <v>62.3</v>
          </cell>
          <cell r="I2092">
            <v>13</v>
          </cell>
          <cell r="J2092">
            <v>6</v>
          </cell>
          <cell r="K2092">
            <v>38</v>
          </cell>
          <cell r="L2092">
            <v>47</v>
          </cell>
          <cell r="M2092">
            <v>258</v>
          </cell>
          <cell r="N2092">
            <v>1</v>
          </cell>
          <cell r="O2092">
            <v>0</v>
          </cell>
          <cell r="P2092">
            <v>0</v>
          </cell>
          <cell r="Q2092">
            <v>16</v>
          </cell>
        </row>
        <row r="2093">
          <cell r="B2093">
            <v>2008</v>
          </cell>
          <cell r="C2093">
            <v>89</v>
          </cell>
          <cell r="D2093" t="str">
            <v>Jay Cutler</v>
          </cell>
          <cell r="F2093">
            <v>384</v>
          </cell>
          <cell r="G2093">
            <v>616</v>
          </cell>
          <cell r="H2093">
            <v>62.3</v>
          </cell>
          <cell r="I2093">
            <v>25</v>
          </cell>
          <cell r="J2093">
            <v>18</v>
          </cell>
          <cell r="K2093">
            <v>11</v>
          </cell>
          <cell r="L2093">
            <v>57</v>
          </cell>
          <cell r="M2093">
            <v>200</v>
          </cell>
          <cell r="N2093">
            <v>2</v>
          </cell>
          <cell r="O2093">
            <v>0</v>
          </cell>
          <cell r="P2093">
            <v>0</v>
          </cell>
          <cell r="Q2093">
            <v>16</v>
          </cell>
        </row>
        <row r="2096">
          <cell r="B2096">
            <v>2008</v>
          </cell>
          <cell r="C2096">
            <v>92</v>
          </cell>
          <cell r="D2096" t="str">
            <v>Brady Quinn</v>
          </cell>
          <cell r="F2096">
            <v>45</v>
          </cell>
          <cell r="G2096">
            <v>89</v>
          </cell>
          <cell r="H2096">
            <v>50.6</v>
          </cell>
          <cell r="I2096">
            <v>2</v>
          </cell>
          <cell r="J2096">
            <v>2</v>
          </cell>
          <cell r="K2096">
            <v>1</v>
          </cell>
          <cell r="L2096">
            <v>5</v>
          </cell>
          <cell r="M2096">
            <v>21</v>
          </cell>
          <cell r="N2096">
            <v>0</v>
          </cell>
          <cell r="O2096">
            <v>0</v>
          </cell>
          <cell r="P2096">
            <v>0</v>
          </cell>
          <cell r="Q2096">
            <v>3</v>
          </cell>
        </row>
        <row r="2100">
          <cell r="B2100">
            <v>2008</v>
          </cell>
          <cell r="C2100">
            <v>96</v>
          </cell>
          <cell r="D2100" t="str">
            <v>Bruce Gradkowski</v>
          </cell>
          <cell r="F2100">
            <v>7</v>
          </cell>
          <cell r="G2100">
            <v>21</v>
          </cell>
          <cell r="H2100">
            <v>33.299999999999997</v>
          </cell>
          <cell r="I2100">
            <v>0</v>
          </cell>
          <cell r="J2100">
            <v>3</v>
          </cell>
          <cell r="K2100">
            <v>4</v>
          </cell>
          <cell r="L2100">
            <v>1</v>
          </cell>
          <cell r="M2100">
            <v>2</v>
          </cell>
          <cell r="N2100">
            <v>0</v>
          </cell>
          <cell r="O2100">
            <v>0</v>
          </cell>
          <cell r="P2100">
            <v>0</v>
          </cell>
          <cell r="Q2100">
            <v>2</v>
          </cell>
        </row>
        <row r="2101">
          <cell r="B2101">
            <v>2008</v>
          </cell>
          <cell r="C2101">
            <v>97</v>
          </cell>
          <cell r="D2101" t="str">
            <v>Carson Palmer</v>
          </cell>
          <cell r="F2101">
            <v>75</v>
          </cell>
          <cell r="G2101">
            <v>129</v>
          </cell>
          <cell r="H2101">
            <v>58.1</v>
          </cell>
          <cell r="I2101">
            <v>3</v>
          </cell>
          <cell r="J2101">
            <v>4</v>
          </cell>
          <cell r="K2101">
            <v>11</v>
          </cell>
          <cell r="L2101">
            <v>6</v>
          </cell>
          <cell r="M2101">
            <v>38</v>
          </cell>
          <cell r="N2101">
            <v>0</v>
          </cell>
          <cell r="O2101">
            <v>0</v>
          </cell>
          <cell r="P2101">
            <v>0</v>
          </cell>
          <cell r="Q2101">
            <v>4</v>
          </cell>
        </row>
        <row r="2103">
          <cell r="B2103">
            <v>2008</v>
          </cell>
          <cell r="C2103">
            <v>99</v>
          </cell>
          <cell r="D2103" t="str">
            <v>Seneca Wallace</v>
          </cell>
          <cell r="F2103">
            <v>141</v>
          </cell>
          <cell r="G2103">
            <v>242</v>
          </cell>
          <cell r="H2103">
            <v>58.3</v>
          </cell>
          <cell r="I2103">
            <v>11</v>
          </cell>
          <cell r="J2103">
            <v>3</v>
          </cell>
          <cell r="K2103">
            <v>14</v>
          </cell>
          <cell r="L2103">
            <v>16</v>
          </cell>
          <cell r="M2103">
            <v>78</v>
          </cell>
          <cell r="N2103">
            <v>0</v>
          </cell>
          <cell r="O2103">
            <v>0</v>
          </cell>
          <cell r="P2103">
            <v>0</v>
          </cell>
          <cell r="Q2103">
            <v>10</v>
          </cell>
        </row>
        <row r="2104">
          <cell r="B2104">
            <v>2008</v>
          </cell>
          <cell r="C2104">
            <v>100</v>
          </cell>
          <cell r="D2104" t="str">
            <v>Shaun Hill</v>
          </cell>
          <cell r="F2104">
            <v>181</v>
          </cell>
          <cell r="G2104">
            <v>288</v>
          </cell>
          <cell r="H2104">
            <v>62.8</v>
          </cell>
          <cell r="I2104">
            <v>13</v>
          </cell>
          <cell r="J2104">
            <v>8</v>
          </cell>
          <cell r="K2104">
            <v>23</v>
          </cell>
          <cell r="L2104">
            <v>24</v>
          </cell>
          <cell r="M2104">
            <v>115</v>
          </cell>
          <cell r="N2104">
            <v>2</v>
          </cell>
          <cell r="O2104">
            <v>0</v>
          </cell>
          <cell r="P2104">
            <v>0</v>
          </cell>
          <cell r="Q2104">
            <v>9</v>
          </cell>
        </row>
        <row r="2105">
          <cell r="B2105">
            <v>2008</v>
          </cell>
          <cell r="C2105">
            <v>101</v>
          </cell>
          <cell r="D2105" t="str">
            <v>Tarvaris Jackson</v>
          </cell>
          <cell r="F2105">
            <v>88</v>
          </cell>
          <cell r="G2105">
            <v>149</v>
          </cell>
          <cell r="H2105">
            <v>59.1</v>
          </cell>
          <cell r="I2105">
            <v>9</v>
          </cell>
          <cell r="J2105">
            <v>2</v>
          </cell>
          <cell r="K2105">
            <v>14</v>
          </cell>
          <cell r="L2105">
            <v>26</v>
          </cell>
          <cell r="M2105">
            <v>145</v>
          </cell>
          <cell r="N2105">
            <v>0</v>
          </cell>
          <cell r="O2105">
            <v>1</v>
          </cell>
          <cell r="P2105">
            <v>0</v>
          </cell>
          <cell r="Q2105">
            <v>9</v>
          </cell>
        </row>
        <row r="2106">
          <cell r="B2106">
            <v>2008</v>
          </cell>
          <cell r="C2106">
            <v>102</v>
          </cell>
          <cell r="D2106" t="str">
            <v>Tony Romo</v>
          </cell>
          <cell r="F2106">
            <v>276</v>
          </cell>
          <cell r="G2106">
            <v>450</v>
          </cell>
          <cell r="H2106">
            <v>61.3</v>
          </cell>
          <cell r="I2106">
            <v>26</v>
          </cell>
          <cell r="J2106">
            <v>14</v>
          </cell>
          <cell r="K2106">
            <v>20</v>
          </cell>
          <cell r="L2106">
            <v>28</v>
          </cell>
          <cell r="M2106">
            <v>41</v>
          </cell>
          <cell r="N2106">
            <v>0</v>
          </cell>
          <cell r="O2106">
            <v>0</v>
          </cell>
          <cell r="P2106">
            <v>0</v>
          </cell>
          <cell r="Q2106">
            <v>13</v>
          </cell>
        </row>
        <row r="2107">
          <cell r="B2107">
            <v>2008</v>
          </cell>
          <cell r="C2107">
            <v>103</v>
          </cell>
          <cell r="D2107" t="str">
            <v>Trent Edwards</v>
          </cell>
          <cell r="F2107">
            <v>245</v>
          </cell>
          <cell r="G2107">
            <v>374</v>
          </cell>
          <cell r="H2107">
            <v>65.5</v>
          </cell>
          <cell r="I2107">
            <v>11</v>
          </cell>
          <cell r="J2107">
            <v>10</v>
          </cell>
          <cell r="K2107">
            <v>23</v>
          </cell>
          <cell r="L2107">
            <v>36</v>
          </cell>
          <cell r="M2107">
            <v>117</v>
          </cell>
          <cell r="N2107">
            <v>3</v>
          </cell>
          <cell r="O2107">
            <v>0</v>
          </cell>
          <cell r="P2107">
            <v>0</v>
          </cell>
          <cell r="Q2107">
            <v>14</v>
          </cell>
        </row>
        <row r="2108">
          <cell r="B2108">
            <v>2008</v>
          </cell>
          <cell r="C2108">
            <v>104</v>
          </cell>
          <cell r="D2108" t="str">
            <v>Tyler Thigpen</v>
          </cell>
          <cell r="F2108">
            <v>230</v>
          </cell>
          <cell r="G2108">
            <v>420</v>
          </cell>
          <cell r="H2108">
            <v>54.8</v>
          </cell>
          <cell r="I2108">
            <v>18</v>
          </cell>
          <cell r="J2108">
            <v>12</v>
          </cell>
          <cell r="K2108">
            <v>26</v>
          </cell>
          <cell r="L2108">
            <v>62</v>
          </cell>
          <cell r="M2108">
            <v>386</v>
          </cell>
          <cell r="N2108">
            <v>3</v>
          </cell>
          <cell r="O2108">
            <v>0</v>
          </cell>
          <cell r="P2108">
            <v>0</v>
          </cell>
          <cell r="Q2108">
            <v>14</v>
          </cell>
        </row>
        <row r="2109">
          <cell r="B2109">
            <v>2008</v>
          </cell>
          <cell r="C2109">
            <v>105</v>
          </cell>
          <cell r="D2109" t="str">
            <v>Philip Rivers</v>
          </cell>
          <cell r="F2109">
            <v>312</v>
          </cell>
          <cell r="G2109">
            <v>478</v>
          </cell>
          <cell r="H2109">
            <v>65.3</v>
          </cell>
          <cell r="I2109">
            <v>34</v>
          </cell>
          <cell r="J2109">
            <v>11</v>
          </cell>
          <cell r="K2109">
            <v>25</v>
          </cell>
          <cell r="L2109">
            <v>31</v>
          </cell>
          <cell r="M2109">
            <v>84</v>
          </cell>
          <cell r="N2109">
            <v>0</v>
          </cell>
          <cell r="O2109">
            <v>0</v>
          </cell>
          <cell r="P2109">
            <v>0</v>
          </cell>
          <cell r="Q2109">
            <v>16</v>
          </cell>
        </row>
        <row r="2111">
          <cell r="B2111">
            <v>2008</v>
          </cell>
          <cell r="C2111">
            <v>107</v>
          </cell>
          <cell r="D2111" t="str">
            <v>Rex Grossman</v>
          </cell>
          <cell r="F2111">
            <v>32</v>
          </cell>
          <cell r="G2111">
            <v>62</v>
          </cell>
          <cell r="H2111">
            <v>51.6</v>
          </cell>
          <cell r="I2111">
            <v>2</v>
          </cell>
          <cell r="J2111">
            <v>2</v>
          </cell>
          <cell r="K2111">
            <v>2</v>
          </cell>
          <cell r="L2111">
            <v>3</v>
          </cell>
          <cell r="M2111">
            <v>4</v>
          </cell>
          <cell r="N2111">
            <v>2</v>
          </cell>
          <cell r="O2111">
            <v>0</v>
          </cell>
          <cell r="P2111">
            <v>0</v>
          </cell>
          <cell r="Q2111">
            <v>4</v>
          </cell>
        </row>
        <row r="2112">
          <cell r="B2112">
            <v>2008</v>
          </cell>
          <cell r="C2112">
            <v>108</v>
          </cell>
          <cell r="D2112" t="str">
            <v>Peyton Manning</v>
          </cell>
          <cell r="F2112">
            <v>371</v>
          </cell>
          <cell r="G2112">
            <v>555</v>
          </cell>
          <cell r="H2112">
            <v>66.8</v>
          </cell>
          <cell r="I2112">
            <v>27</v>
          </cell>
          <cell r="J2112">
            <v>12</v>
          </cell>
          <cell r="K2112">
            <v>14</v>
          </cell>
          <cell r="L2112">
            <v>20</v>
          </cell>
          <cell r="M2112">
            <v>21</v>
          </cell>
          <cell r="N2112">
            <v>1</v>
          </cell>
          <cell r="O2112">
            <v>0</v>
          </cell>
          <cell r="P2112">
            <v>0</v>
          </cell>
          <cell r="Q2112">
            <v>16</v>
          </cell>
        </row>
        <row r="2113">
          <cell r="B2113">
            <v>2008</v>
          </cell>
          <cell r="C2113">
            <v>109</v>
          </cell>
          <cell r="D2113" t="str">
            <v>Kellen Clemens</v>
          </cell>
          <cell r="F2113">
            <v>3</v>
          </cell>
          <cell r="G2113">
            <v>5</v>
          </cell>
          <cell r="H2113">
            <v>60</v>
          </cell>
          <cell r="I2113">
            <v>0</v>
          </cell>
          <cell r="J2113">
            <v>1</v>
          </cell>
          <cell r="K2113">
            <v>0</v>
          </cell>
          <cell r="L2113">
            <v>3</v>
          </cell>
          <cell r="M2113">
            <v>-3</v>
          </cell>
          <cell r="N2113">
            <v>0</v>
          </cell>
          <cell r="O2113">
            <v>0</v>
          </cell>
          <cell r="P2113">
            <v>0</v>
          </cell>
          <cell r="Q2113">
            <v>2</v>
          </cell>
        </row>
        <row r="2114">
          <cell r="B2114">
            <v>2008</v>
          </cell>
          <cell r="C2114">
            <v>110</v>
          </cell>
          <cell r="D2114" t="str">
            <v>Kevin Kolb</v>
          </cell>
          <cell r="F2114">
            <v>17</v>
          </cell>
          <cell r="G2114">
            <v>34</v>
          </cell>
          <cell r="H2114">
            <v>50</v>
          </cell>
          <cell r="I2114">
            <v>0</v>
          </cell>
          <cell r="J2114">
            <v>4</v>
          </cell>
          <cell r="K2114">
            <v>0</v>
          </cell>
          <cell r="L2114">
            <v>13</v>
          </cell>
          <cell r="M2114">
            <v>2</v>
          </cell>
          <cell r="N2114">
            <v>0</v>
          </cell>
          <cell r="O2114">
            <v>0</v>
          </cell>
          <cell r="P2114">
            <v>0</v>
          </cell>
          <cell r="Q2114">
            <v>6</v>
          </cell>
        </row>
        <row r="2115">
          <cell r="B2115">
            <v>2008</v>
          </cell>
          <cell r="C2115">
            <v>111</v>
          </cell>
          <cell r="D2115" t="str">
            <v>Kyle Orton</v>
          </cell>
          <cell r="F2115">
            <v>272</v>
          </cell>
          <cell r="G2115">
            <v>465</v>
          </cell>
          <cell r="H2115">
            <v>58.5</v>
          </cell>
          <cell r="I2115">
            <v>18</v>
          </cell>
          <cell r="J2115">
            <v>12</v>
          </cell>
          <cell r="K2115">
            <v>27</v>
          </cell>
          <cell r="L2115">
            <v>24</v>
          </cell>
          <cell r="M2115">
            <v>49</v>
          </cell>
          <cell r="N2115">
            <v>3</v>
          </cell>
          <cell r="O2115">
            <v>1</v>
          </cell>
          <cell r="P2115">
            <v>0</v>
          </cell>
          <cell r="Q2115">
            <v>15</v>
          </cell>
        </row>
        <row r="2116">
          <cell r="B2116">
            <v>2008</v>
          </cell>
          <cell r="C2116">
            <v>112</v>
          </cell>
          <cell r="D2116" t="str">
            <v>Matt Cassel</v>
          </cell>
          <cell r="F2116">
            <v>327</v>
          </cell>
          <cell r="G2116">
            <v>516</v>
          </cell>
          <cell r="H2116">
            <v>63.4</v>
          </cell>
          <cell r="I2116">
            <v>21</v>
          </cell>
          <cell r="J2116">
            <v>11</v>
          </cell>
          <cell r="K2116">
            <v>47</v>
          </cell>
          <cell r="L2116">
            <v>73</v>
          </cell>
          <cell r="M2116">
            <v>270</v>
          </cell>
          <cell r="N2116">
            <v>2</v>
          </cell>
          <cell r="O2116">
            <v>2</v>
          </cell>
          <cell r="P2116">
            <v>0</v>
          </cell>
          <cell r="Q2116">
            <v>16</v>
          </cell>
        </row>
        <row r="2117">
          <cell r="B2117">
            <v>2008</v>
          </cell>
          <cell r="C2117">
            <v>113</v>
          </cell>
          <cell r="D2117" t="str">
            <v>Matt Flynn</v>
          </cell>
          <cell r="F2117">
            <v>2</v>
          </cell>
          <cell r="G2117">
            <v>5</v>
          </cell>
          <cell r="H2117">
            <v>40</v>
          </cell>
          <cell r="I2117">
            <v>0</v>
          </cell>
          <cell r="J2117">
            <v>0</v>
          </cell>
          <cell r="K2117">
            <v>0</v>
          </cell>
          <cell r="L2117">
            <v>4</v>
          </cell>
          <cell r="M2117">
            <v>4</v>
          </cell>
          <cell r="N2117">
            <v>0</v>
          </cell>
          <cell r="O2117">
            <v>0</v>
          </cell>
          <cell r="P2117">
            <v>0</v>
          </cell>
          <cell r="Q2117">
            <v>7</v>
          </cell>
        </row>
        <row r="2118">
          <cell r="B2118">
            <v>2008</v>
          </cell>
          <cell r="C2118">
            <v>114</v>
          </cell>
          <cell r="D2118" t="str">
            <v>Matt Hasselbeck</v>
          </cell>
          <cell r="F2118">
            <v>109</v>
          </cell>
          <cell r="G2118">
            <v>209</v>
          </cell>
          <cell r="H2118">
            <v>52.2</v>
          </cell>
          <cell r="I2118">
            <v>5</v>
          </cell>
          <cell r="J2118">
            <v>10</v>
          </cell>
          <cell r="K2118">
            <v>19</v>
          </cell>
          <cell r="L2118">
            <v>11</v>
          </cell>
          <cell r="M2118">
            <v>69</v>
          </cell>
          <cell r="N2118">
            <v>0</v>
          </cell>
          <cell r="O2118">
            <v>0</v>
          </cell>
          <cell r="P2118">
            <v>0</v>
          </cell>
          <cell r="Q2118">
            <v>7</v>
          </cell>
        </row>
        <row r="2156">
          <cell r="B2156">
            <v>2008</v>
          </cell>
          <cell r="C2156">
            <v>152</v>
          </cell>
          <cell r="D2156" t="str">
            <v>Josh McCown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4</v>
          </cell>
          <cell r="M2156">
            <v>-3</v>
          </cell>
          <cell r="N2156">
            <v>0</v>
          </cell>
          <cell r="O2156">
            <v>0</v>
          </cell>
          <cell r="P2156">
            <v>-0.3</v>
          </cell>
          <cell r="Q2156">
            <v>2</v>
          </cell>
        </row>
        <row r="2157">
          <cell r="B2157">
            <v>2007</v>
          </cell>
          <cell r="C2157">
            <v>1</v>
          </cell>
          <cell r="D2157" t="str">
            <v>Tom Brady</v>
          </cell>
          <cell r="F2157">
            <v>398</v>
          </cell>
          <cell r="G2157">
            <v>578</v>
          </cell>
          <cell r="H2157">
            <v>68.900000000000006</v>
          </cell>
          <cell r="I2157">
            <v>50</v>
          </cell>
          <cell r="J2157">
            <v>8</v>
          </cell>
          <cell r="K2157">
            <v>21</v>
          </cell>
          <cell r="L2157">
            <v>37</v>
          </cell>
          <cell r="M2157">
            <v>98</v>
          </cell>
          <cell r="N2157">
            <v>2</v>
          </cell>
          <cell r="O2157">
            <v>0</v>
          </cell>
          <cell r="P2157">
            <v>398</v>
          </cell>
          <cell r="Q2157">
            <v>16</v>
          </cell>
        </row>
        <row r="2158">
          <cell r="B2158">
            <v>2007</v>
          </cell>
          <cell r="C2158">
            <v>2</v>
          </cell>
          <cell r="D2158" t="str">
            <v>Drew Brees</v>
          </cell>
          <cell r="F2158">
            <v>440</v>
          </cell>
          <cell r="G2158">
            <v>652</v>
          </cell>
          <cell r="H2158">
            <v>67.5</v>
          </cell>
          <cell r="I2158">
            <v>28</v>
          </cell>
          <cell r="J2158">
            <v>18</v>
          </cell>
          <cell r="K2158">
            <v>16</v>
          </cell>
          <cell r="L2158">
            <v>23</v>
          </cell>
          <cell r="M2158">
            <v>52</v>
          </cell>
          <cell r="N2158">
            <v>1</v>
          </cell>
          <cell r="O2158">
            <v>0</v>
          </cell>
          <cell r="P2158">
            <v>266.2</v>
          </cell>
          <cell r="Q2158">
            <v>16</v>
          </cell>
        </row>
        <row r="2159">
          <cell r="B2159">
            <v>2007</v>
          </cell>
          <cell r="C2159">
            <v>3</v>
          </cell>
          <cell r="D2159" t="str">
            <v>Ben Roethlisberger</v>
          </cell>
          <cell r="F2159">
            <v>264</v>
          </cell>
          <cell r="G2159">
            <v>404</v>
          </cell>
          <cell r="H2159">
            <v>65.3</v>
          </cell>
          <cell r="I2159">
            <v>32</v>
          </cell>
          <cell r="J2159">
            <v>11</v>
          </cell>
          <cell r="K2159">
            <v>47</v>
          </cell>
          <cell r="L2159">
            <v>35</v>
          </cell>
          <cell r="M2159">
            <v>204</v>
          </cell>
          <cell r="N2159">
            <v>2</v>
          </cell>
          <cell r="O2159">
            <v>0</v>
          </cell>
          <cell r="P2159">
            <v>264.60000000000002</v>
          </cell>
          <cell r="Q2159">
            <v>15</v>
          </cell>
        </row>
        <row r="2160">
          <cell r="B2160">
            <v>2007</v>
          </cell>
          <cell r="C2160">
            <v>4</v>
          </cell>
          <cell r="D2160" t="str">
            <v>Matt Schaub</v>
          </cell>
          <cell r="F2160">
            <v>192</v>
          </cell>
          <cell r="G2160">
            <v>289</v>
          </cell>
          <cell r="H2160">
            <v>66.400000000000006</v>
          </cell>
          <cell r="I2160">
            <v>9</v>
          </cell>
          <cell r="J2160">
            <v>9</v>
          </cell>
          <cell r="K2160">
            <v>16</v>
          </cell>
          <cell r="L2160">
            <v>17</v>
          </cell>
          <cell r="M2160">
            <v>52</v>
          </cell>
          <cell r="N2160">
            <v>0</v>
          </cell>
          <cell r="O2160">
            <v>0</v>
          </cell>
          <cell r="P2160">
            <v>112.9</v>
          </cell>
          <cell r="Q2160">
            <v>11</v>
          </cell>
        </row>
        <row r="2161">
          <cell r="B2161">
            <v>2007</v>
          </cell>
          <cell r="C2161">
            <v>5</v>
          </cell>
          <cell r="D2161" t="str">
            <v>Luke McCown</v>
          </cell>
          <cell r="F2161">
            <v>94</v>
          </cell>
          <cell r="G2161">
            <v>139</v>
          </cell>
          <cell r="H2161">
            <v>67.599999999999994</v>
          </cell>
          <cell r="I2161">
            <v>5</v>
          </cell>
          <cell r="J2161">
            <v>3</v>
          </cell>
          <cell r="K2161">
            <v>15</v>
          </cell>
          <cell r="L2161">
            <v>12</v>
          </cell>
          <cell r="M2161">
            <v>117</v>
          </cell>
          <cell r="N2161">
            <v>0</v>
          </cell>
          <cell r="O2161">
            <v>0</v>
          </cell>
          <cell r="P2161">
            <v>66</v>
          </cell>
          <cell r="Q2161">
            <v>5</v>
          </cell>
        </row>
        <row r="2162">
          <cell r="B2162">
            <v>2007</v>
          </cell>
          <cell r="C2162">
            <v>6</v>
          </cell>
          <cell r="D2162" t="str">
            <v>Alex Smith</v>
          </cell>
          <cell r="F2162">
            <v>94</v>
          </cell>
          <cell r="G2162">
            <v>193</v>
          </cell>
          <cell r="H2162">
            <v>48.7</v>
          </cell>
          <cell r="I2162">
            <v>2</v>
          </cell>
          <cell r="J2162">
            <v>4</v>
          </cell>
          <cell r="K2162">
            <v>17</v>
          </cell>
          <cell r="L2162">
            <v>13</v>
          </cell>
          <cell r="M2162">
            <v>89</v>
          </cell>
          <cell r="N2162">
            <v>0</v>
          </cell>
          <cell r="O2162">
            <v>2</v>
          </cell>
          <cell r="P2162">
            <v>41.5</v>
          </cell>
          <cell r="Q2162">
            <v>7</v>
          </cell>
        </row>
        <row r="2163">
          <cell r="B2163">
            <v>2007</v>
          </cell>
          <cell r="C2163">
            <v>7</v>
          </cell>
          <cell r="D2163" t="str">
            <v>Matt Moore</v>
          </cell>
          <cell r="F2163">
            <v>63</v>
          </cell>
          <cell r="G2163">
            <v>111</v>
          </cell>
          <cell r="H2163">
            <v>56.8</v>
          </cell>
          <cell r="I2163">
            <v>3</v>
          </cell>
          <cell r="J2163">
            <v>5</v>
          </cell>
          <cell r="K2163">
            <v>6</v>
          </cell>
          <cell r="L2163">
            <v>3</v>
          </cell>
          <cell r="M2163">
            <v>5</v>
          </cell>
          <cell r="N2163">
            <v>0</v>
          </cell>
          <cell r="O2163">
            <v>0</v>
          </cell>
          <cell r="P2163">
            <v>31.6</v>
          </cell>
          <cell r="Q2163">
            <v>9</v>
          </cell>
        </row>
        <row r="2164">
          <cell r="B2164">
            <v>2007</v>
          </cell>
          <cell r="C2164">
            <v>8</v>
          </cell>
          <cell r="D2164" t="str">
            <v>Aaron Rodgers</v>
          </cell>
          <cell r="F2164">
            <v>20</v>
          </cell>
          <cell r="G2164">
            <v>28</v>
          </cell>
          <cell r="H2164">
            <v>71.400000000000006</v>
          </cell>
          <cell r="I2164">
            <v>1</v>
          </cell>
          <cell r="J2164">
            <v>0</v>
          </cell>
          <cell r="K2164">
            <v>3</v>
          </cell>
          <cell r="L2164">
            <v>7</v>
          </cell>
          <cell r="M2164">
            <v>29</v>
          </cell>
          <cell r="N2164">
            <v>0</v>
          </cell>
          <cell r="O2164">
            <v>0</v>
          </cell>
          <cell r="P2164">
            <v>15.6</v>
          </cell>
          <cell r="Q2164">
            <v>2</v>
          </cell>
        </row>
        <row r="2220">
          <cell r="B2220">
            <v>2007</v>
          </cell>
          <cell r="C2220">
            <v>64</v>
          </cell>
          <cell r="D2220" t="str">
            <v>Levi Brown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13</v>
          </cell>
        </row>
        <row r="2235">
          <cell r="B2235">
            <v>2007</v>
          </cell>
          <cell r="C2235">
            <v>79</v>
          </cell>
          <cell r="D2235" t="str">
            <v>David Carr</v>
          </cell>
          <cell r="F2235">
            <v>73</v>
          </cell>
          <cell r="G2235">
            <v>136</v>
          </cell>
          <cell r="H2235">
            <v>53.7</v>
          </cell>
          <cell r="I2235">
            <v>3</v>
          </cell>
          <cell r="J2235">
            <v>5</v>
          </cell>
          <cell r="K2235">
            <v>13</v>
          </cell>
          <cell r="L2235">
            <v>17</v>
          </cell>
          <cell r="M2235">
            <v>59</v>
          </cell>
          <cell r="N2235">
            <v>0</v>
          </cell>
          <cell r="O2235">
            <v>0</v>
          </cell>
          <cell r="P2235">
            <v>0</v>
          </cell>
          <cell r="Q2235">
            <v>6</v>
          </cell>
        </row>
        <row r="2236">
          <cell r="B2236">
            <v>2007</v>
          </cell>
          <cell r="C2236">
            <v>80</v>
          </cell>
          <cell r="D2236" t="str">
            <v>Derek Anderson</v>
          </cell>
          <cell r="F2236">
            <v>298</v>
          </cell>
          <cell r="G2236">
            <v>527</v>
          </cell>
          <cell r="H2236">
            <v>56.5</v>
          </cell>
          <cell r="I2236">
            <v>29</v>
          </cell>
          <cell r="J2236">
            <v>19</v>
          </cell>
          <cell r="K2236">
            <v>14</v>
          </cell>
          <cell r="L2236">
            <v>32</v>
          </cell>
          <cell r="M2236">
            <v>70</v>
          </cell>
          <cell r="N2236">
            <v>3</v>
          </cell>
          <cell r="O2236">
            <v>0</v>
          </cell>
          <cell r="P2236">
            <v>0</v>
          </cell>
          <cell r="Q2236">
            <v>16</v>
          </cell>
        </row>
        <row r="2237">
          <cell r="B2237">
            <v>2007</v>
          </cell>
          <cell r="C2237">
            <v>81</v>
          </cell>
          <cell r="D2237" t="str">
            <v>Eli Manning</v>
          </cell>
          <cell r="F2237">
            <v>297</v>
          </cell>
          <cell r="G2237">
            <v>529</v>
          </cell>
          <cell r="H2237">
            <v>56.1</v>
          </cell>
          <cell r="I2237">
            <v>23</v>
          </cell>
          <cell r="J2237">
            <v>20</v>
          </cell>
          <cell r="K2237">
            <v>27</v>
          </cell>
          <cell r="L2237">
            <v>29</v>
          </cell>
          <cell r="M2237">
            <v>69</v>
          </cell>
          <cell r="N2237">
            <v>1</v>
          </cell>
          <cell r="O2237">
            <v>0</v>
          </cell>
          <cell r="P2237">
            <v>0</v>
          </cell>
          <cell r="Q2237">
            <v>16</v>
          </cell>
        </row>
        <row r="2238">
          <cell r="B2238">
            <v>2007</v>
          </cell>
          <cell r="C2238">
            <v>82</v>
          </cell>
          <cell r="D2238" t="str">
            <v>Jason Campbell</v>
          </cell>
          <cell r="F2238">
            <v>250</v>
          </cell>
          <cell r="G2238">
            <v>417</v>
          </cell>
          <cell r="H2238">
            <v>60</v>
          </cell>
          <cell r="I2238">
            <v>12</v>
          </cell>
          <cell r="J2238">
            <v>11</v>
          </cell>
          <cell r="K2238">
            <v>21</v>
          </cell>
          <cell r="L2238">
            <v>36</v>
          </cell>
          <cell r="M2238">
            <v>185</v>
          </cell>
          <cell r="N2238">
            <v>1</v>
          </cell>
          <cell r="O2238">
            <v>0</v>
          </cell>
          <cell r="P2238">
            <v>0</v>
          </cell>
          <cell r="Q2238">
            <v>13</v>
          </cell>
        </row>
        <row r="2239">
          <cell r="B2239">
            <v>2007</v>
          </cell>
          <cell r="C2239">
            <v>83</v>
          </cell>
          <cell r="D2239" t="str">
            <v>Jay Cutler</v>
          </cell>
          <cell r="F2239">
            <v>297</v>
          </cell>
          <cell r="G2239">
            <v>467</v>
          </cell>
          <cell r="H2239">
            <v>63.6</v>
          </cell>
          <cell r="I2239">
            <v>20</v>
          </cell>
          <cell r="J2239">
            <v>14</v>
          </cell>
          <cell r="K2239">
            <v>27</v>
          </cell>
          <cell r="L2239">
            <v>44</v>
          </cell>
          <cell r="M2239">
            <v>205</v>
          </cell>
          <cell r="N2239">
            <v>1</v>
          </cell>
          <cell r="O2239">
            <v>0</v>
          </cell>
          <cell r="P2239">
            <v>0</v>
          </cell>
          <cell r="Q2239">
            <v>16</v>
          </cell>
        </row>
        <row r="2242">
          <cell r="B2242">
            <v>2007</v>
          </cell>
          <cell r="C2242">
            <v>86</v>
          </cell>
          <cell r="D2242" t="str">
            <v>Brady Quinn</v>
          </cell>
          <cell r="F2242">
            <v>3</v>
          </cell>
          <cell r="G2242">
            <v>8</v>
          </cell>
          <cell r="H2242">
            <v>37.5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1</v>
          </cell>
        </row>
        <row r="2246">
          <cell r="B2246">
            <v>2007</v>
          </cell>
          <cell r="C2246">
            <v>90</v>
          </cell>
          <cell r="D2246" t="str">
            <v>Bruce Gradkowski</v>
          </cell>
          <cell r="F2246">
            <v>13</v>
          </cell>
          <cell r="G2246">
            <v>24</v>
          </cell>
          <cell r="H2246">
            <v>54.2</v>
          </cell>
          <cell r="I2246">
            <v>0</v>
          </cell>
          <cell r="J2246">
            <v>1</v>
          </cell>
          <cell r="K2246">
            <v>2</v>
          </cell>
          <cell r="L2246">
            <v>7</v>
          </cell>
          <cell r="M2246">
            <v>20</v>
          </cell>
          <cell r="N2246">
            <v>0</v>
          </cell>
          <cell r="O2246">
            <v>0</v>
          </cell>
          <cell r="P2246">
            <v>0</v>
          </cell>
          <cell r="Q2246">
            <v>4</v>
          </cell>
        </row>
        <row r="2247">
          <cell r="B2247">
            <v>2007</v>
          </cell>
          <cell r="C2247">
            <v>91</v>
          </cell>
          <cell r="D2247" t="str">
            <v>Carson Palmer</v>
          </cell>
          <cell r="F2247">
            <v>373</v>
          </cell>
          <cell r="G2247">
            <v>575</v>
          </cell>
          <cell r="H2247">
            <v>64.900000000000006</v>
          </cell>
          <cell r="I2247">
            <v>26</v>
          </cell>
          <cell r="J2247">
            <v>20</v>
          </cell>
          <cell r="K2247">
            <v>17</v>
          </cell>
          <cell r="L2247">
            <v>24</v>
          </cell>
          <cell r="M2247">
            <v>10</v>
          </cell>
          <cell r="N2247">
            <v>0</v>
          </cell>
          <cell r="O2247">
            <v>0</v>
          </cell>
          <cell r="P2247">
            <v>0</v>
          </cell>
          <cell r="Q2247">
            <v>16</v>
          </cell>
        </row>
        <row r="2250">
          <cell r="B2250">
            <v>2007</v>
          </cell>
          <cell r="C2250">
            <v>94</v>
          </cell>
          <cell r="D2250" t="str">
            <v>Tarvaris Jackson</v>
          </cell>
          <cell r="F2250">
            <v>171</v>
          </cell>
          <cell r="G2250">
            <v>294</v>
          </cell>
          <cell r="H2250">
            <v>58.2</v>
          </cell>
          <cell r="I2250">
            <v>9</v>
          </cell>
          <cell r="J2250">
            <v>12</v>
          </cell>
          <cell r="K2250">
            <v>19</v>
          </cell>
          <cell r="L2250">
            <v>54</v>
          </cell>
          <cell r="M2250">
            <v>260</v>
          </cell>
          <cell r="N2250">
            <v>3</v>
          </cell>
          <cell r="O2250">
            <v>0</v>
          </cell>
          <cell r="P2250">
            <v>0</v>
          </cell>
          <cell r="Q2250">
            <v>12</v>
          </cell>
        </row>
        <row r="2251">
          <cell r="B2251">
            <v>2007</v>
          </cell>
          <cell r="C2251">
            <v>95</v>
          </cell>
          <cell r="D2251" t="str">
            <v>Peyton Manning</v>
          </cell>
          <cell r="F2251">
            <v>337</v>
          </cell>
          <cell r="G2251">
            <v>515</v>
          </cell>
          <cell r="H2251">
            <v>65.400000000000006</v>
          </cell>
          <cell r="I2251">
            <v>31</v>
          </cell>
          <cell r="J2251">
            <v>14</v>
          </cell>
          <cell r="K2251">
            <v>21</v>
          </cell>
          <cell r="L2251">
            <v>20</v>
          </cell>
          <cell r="M2251">
            <v>-5</v>
          </cell>
          <cell r="N2251">
            <v>3</v>
          </cell>
          <cell r="O2251">
            <v>0</v>
          </cell>
          <cell r="P2251">
            <v>0</v>
          </cell>
          <cell r="Q2251">
            <v>16</v>
          </cell>
        </row>
        <row r="2252">
          <cell r="B2252">
            <v>2007</v>
          </cell>
          <cell r="C2252">
            <v>96</v>
          </cell>
          <cell r="D2252" t="str">
            <v>Philip Rivers</v>
          </cell>
          <cell r="F2252">
            <v>277</v>
          </cell>
          <cell r="G2252">
            <v>460</v>
          </cell>
          <cell r="H2252">
            <v>60.2</v>
          </cell>
          <cell r="I2252">
            <v>21</v>
          </cell>
          <cell r="J2252">
            <v>15</v>
          </cell>
          <cell r="K2252">
            <v>22</v>
          </cell>
          <cell r="L2252">
            <v>29</v>
          </cell>
          <cell r="M2252">
            <v>33</v>
          </cell>
          <cell r="N2252">
            <v>1</v>
          </cell>
          <cell r="O2252">
            <v>1</v>
          </cell>
          <cell r="P2252">
            <v>0</v>
          </cell>
          <cell r="Q2252">
            <v>16</v>
          </cell>
        </row>
        <row r="2253">
          <cell r="B2253">
            <v>2007</v>
          </cell>
          <cell r="C2253">
            <v>97</v>
          </cell>
          <cell r="D2253" t="str">
            <v>Rex Grossman</v>
          </cell>
          <cell r="F2253">
            <v>122</v>
          </cell>
          <cell r="G2253">
            <v>225</v>
          </cell>
          <cell r="H2253">
            <v>54.2</v>
          </cell>
          <cell r="I2253">
            <v>4</v>
          </cell>
          <cell r="J2253">
            <v>7</v>
          </cell>
          <cell r="K2253">
            <v>25</v>
          </cell>
          <cell r="L2253">
            <v>14</v>
          </cell>
          <cell r="M2253">
            <v>27</v>
          </cell>
          <cell r="N2253">
            <v>0</v>
          </cell>
          <cell r="O2253">
            <v>0</v>
          </cell>
          <cell r="P2253">
            <v>0</v>
          </cell>
          <cell r="Q2253">
            <v>8</v>
          </cell>
        </row>
        <row r="2254">
          <cell r="B2254">
            <v>2007</v>
          </cell>
          <cell r="C2254">
            <v>98</v>
          </cell>
          <cell r="D2254" t="str">
            <v>Ryan Fitzpatrick</v>
          </cell>
          <cell r="F2254">
            <v>0</v>
          </cell>
          <cell r="G2254">
            <v>0</v>
          </cell>
          <cell r="H2254">
            <v>0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Q2254">
            <v>1</v>
          </cell>
        </row>
        <row r="2255">
          <cell r="B2255">
            <v>2007</v>
          </cell>
          <cell r="C2255">
            <v>99</v>
          </cell>
          <cell r="D2255" t="str">
            <v>Seneca Wallace</v>
          </cell>
          <cell r="F2255">
            <v>19</v>
          </cell>
          <cell r="G2255">
            <v>28</v>
          </cell>
          <cell r="H2255">
            <v>67.900000000000006</v>
          </cell>
          <cell r="I2255">
            <v>2</v>
          </cell>
          <cell r="J2255">
            <v>1</v>
          </cell>
          <cell r="K2255">
            <v>3</v>
          </cell>
          <cell r="L2255">
            <v>4</v>
          </cell>
          <cell r="M2255">
            <v>17</v>
          </cell>
          <cell r="N2255">
            <v>0</v>
          </cell>
          <cell r="O2255">
            <v>1</v>
          </cell>
          <cell r="P2255">
            <v>0</v>
          </cell>
          <cell r="Q2255">
            <v>10</v>
          </cell>
        </row>
        <row r="2256">
          <cell r="B2256">
            <v>2007</v>
          </cell>
          <cell r="C2256">
            <v>100</v>
          </cell>
          <cell r="D2256" t="str">
            <v>Shaun Hill</v>
          </cell>
          <cell r="F2256">
            <v>54</v>
          </cell>
          <cell r="G2256">
            <v>79</v>
          </cell>
          <cell r="H2256">
            <v>68.400000000000006</v>
          </cell>
          <cell r="I2256">
            <v>5</v>
          </cell>
          <cell r="J2256">
            <v>1</v>
          </cell>
          <cell r="K2256">
            <v>6</v>
          </cell>
          <cell r="L2256">
            <v>12</v>
          </cell>
          <cell r="M2256">
            <v>14</v>
          </cell>
          <cell r="N2256">
            <v>1</v>
          </cell>
          <cell r="O2256">
            <v>0</v>
          </cell>
          <cell r="P2256">
            <v>0</v>
          </cell>
          <cell r="Q2256">
            <v>3</v>
          </cell>
        </row>
        <row r="2257">
          <cell r="B2257">
            <v>2007</v>
          </cell>
          <cell r="C2257">
            <v>101</v>
          </cell>
          <cell r="D2257" t="str">
            <v>Tony Romo</v>
          </cell>
          <cell r="F2257">
            <v>335</v>
          </cell>
          <cell r="G2257">
            <v>520</v>
          </cell>
          <cell r="H2257">
            <v>64.400000000000006</v>
          </cell>
          <cell r="I2257">
            <v>36</v>
          </cell>
          <cell r="J2257">
            <v>19</v>
          </cell>
          <cell r="K2257">
            <v>24</v>
          </cell>
          <cell r="L2257">
            <v>31</v>
          </cell>
          <cell r="M2257">
            <v>129</v>
          </cell>
          <cell r="N2257">
            <v>2</v>
          </cell>
          <cell r="O2257">
            <v>0</v>
          </cell>
          <cell r="P2257">
            <v>0</v>
          </cell>
          <cell r="Q2257">
            <v>16</v>
          </cell>
        </row>
        <row r="2258">
          <cell r="B2258">
            <v>2007</v>
          </cell>
          <cell r="C2258">
            <v>102</v>
          </cell>
          <cell r="D2258" t="str">
            <v>Trent Edwards</v>
          </cell>
          <cell r="F2258">
            <v>151</v>
          </cell>
          <cell r="G2258">
            <v>269</v>
          </cell>
          <cell r="H2258">
            <v>56.1</v>
          </cell>
          <cell r="I2258">
            <v>7</v>
          </cell>
          <cell r="J2258">
            <v>8</v>
          </cell>
          <cell r="K2258">
            <v>12</v>
          </cell>
          <cell r="L2258">
            <v>14</v>
          </cell>
          <cell r="M2258">
            <v>49</v>
          </cell>
          <cell r="N2258">
            <v>0</v>
          </cell>
          <cell r="O2258">
            <v>0</v>
          </cell>
          <cell r="P2258">
            <v>0</v>
          </cell>
          <cell r="Q2258">
            <v>10</v>
          </cell>
        </row>
        <row r="2259">
          <cell r="B2259">
            <v>2007</v>
          </cell>
          <cell r="C2259">
            <v>103</v>
          </cell>
          <cell r="D2259" t="str">
            <v>Tyler Thigpen</v>
          </cell>
          <cell r="F2259">
            <v>2</v>
          </cell>
          <cell r="G2259">
            <v>6</v>
          </cell>
          <cell r="H2259">
            <v>33.299999999999997</v>
          </cell>
          <cell r="I2259">
            <v>0</v>
          </cell>
          <cell r="J2259">
            <v>1</v>
          </cell>
          <cell r="K2259">
            <v>1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>
            <v>1</v>
          </cell>
        </row>
        <row r="2262">
          <cell r="B2262">
            <v>2007</v>
          </cell>
          <cell r="C2262">
            <v>106</v>
          </cell>
          <cell r="D2262" t="str">
            <v>Kyle Orton</v>
          </cell>
          <cell r="F2262">
            <v>43</v>
          </cell>
          <cell r="G2262">
            <v>80</v>
          </cell>
          <cell r="H2262">
            <v>53.8</v>
          </cell>
          <cell r="I2262">
            <v>3</v>
          </cell>
          <cell r="J2262">
            <v>2</v>
          </cell>
          <cell r="K2262">
            <v>2</v>
          </cell>
          <cell r="L2262">
            <v>5</v>
          </cell>
          <cell r="M2262">
            <v>-1</v>
          </cell>
          <cell r="N2262">
            <v>0</v>
          </cell>
          <cell r="O2262">
            <v>0</v>
          </cell>
          <cell r="P2262">
            <v>0</v>
          </cell>
          <cell r="Q2262">
            <v>3</v>
          </cell>
        </row>
        <row r="2263">
          <cell r="B2263">
            <v>2007</v>
          </cell>
          <cell r="C2263">
            <v>107</v>
          </cell>
          <cell r="D2263" t="str">
            <v>Josh McCown</v>
          </cell>
          <cell r="F2263">
            <v>111</v>
          </cell>
          <cell r="G2263">
            <v>190</v>
          </cell>
          <cell r="H2263">
            <v>58.4</v>
          </cell>
          <cell r="I2263">
            <v>10</v>
          </cell>
          <cell r="J2263">
            <v>11</v>
          </cell>
          <cell r="K2263">
            <v>14</v>
          </cell>
          <cell r="L2263">
            <v>29</v>
          </cell>
          <cell r="M2263">
            <v>143</v>
          </cell>
          <cell r="N2263">
            <v>0</v>
          </cell>
          <cell r="O2263">
            <v>0</v>
          </cell>
          <cell r="P2263">
            <v>0</v>
          </cell>
          <cell r="Q2263">
            <v>9</v>
          </cell>
        </row>
        <row r="2265">
          <cell r="B2265">
            <v>2007</v>
          </cell>
          <cell r="C2265">
            <v>109</v>
          </cell>
          <cell r="D2265" t="str">
            <v>Kellen Clemens</v>
          </cell>
          <cell r="F2265">
            <v>130</v>
          </cell>
          <cell r="G2265">
            <v>250</v>
          </cell>
          <cell r="H2265">
            <v>52</v>
          </cell>
          <cell r="I2265">
            <v>5</v>
          </cell>
          <cell r="J2265">
            <v>10</v>
          </cell>
          <cell r="K2265">
            <v>27</v>
          </cell>
          <cell r="L2265">
            <v>27</v>
          </cell>
          <cell r="M2265">
            <v>111</v>
          </cell>
          <cell r="N2265">
            <v>1</v>
          </cell>
          <cell r="O2265">
            <v>0</v>
          </cell>
          <cell r="P2265">
            <v>0</v>
          </cell>
          <cell r="Q2265">
            <v>10</v>
          </cell>
        </row>
        <row r="2266">
          <cell r="B2266">
            <v>2007</v>
          </cell>
          <cell r="C2266">
            <v>110</v>
          </cell>
          <cell r="D2266" t="str">
            <v>Kevin Kolb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2</v>
          </cell>
          <cell r="L2266">
            <v>3</v>
          </cell>
          <cell r="M2266">
            <v>-2</v>
          </cell>
          <cell r="N2266">
            <v>0</v>
          </cell>
          <cell r="O2266">
            <v>0</v>
          </cell>
          <cell r="P2266">
            <v>0</v>
          </cell>
          <cell r="Q2266">
            <v>1</v>
          </cell>
        </row>
        <row r="2268">
          <cell r="B2268">
            <v>2007</v>
          </cell>
          <cell r="C2268">
            <v>112</v>
          </cell>
          <cell r="D2268" t="str">
            <v>Matt Cassel</v>
          </cell>
          <cell r="F2268">
            <v>4</v>
          </cell>
          <cell r="G2268">
            <v>7</v>
          </cell>
          <cell r="H2268">
            <v>57.1</v>
          </cell>
          <cell r="I2268">
            <v>0</v>
          </cell>
          <cell r="J2268">
            <v>1</v>
          </cell>
          <cell r="K2268">
            <v>0</v>
          </cell>
          <cell r="L2268">
            <v>4</v>
          </cell>
          <cell r="M2268">
            <v>12</v>
          </cell>
          <cell r="N2268">
            <v>1</v>
          </cell>
          <cell r="O2268">
            <v>0</v>
          </cell>
          <cell r="P2268">
            <v>0</v>
          </cell>
          <cell r="Q2268">
            <v>6</v>
          </cell>
        </row>
        <row r="2269">
          <cell r="B2269">
            <v>2007</v>
          </cell>
          <cell r="C2269">
            <v>113</v>
          </cell>
          <cell r="D2269" t="str">
            <v>Matt Hasselbeck</v>
          </cell>
          <cell r="F2269">
            <v>352</v>
          </cell>
          <cell r="G2269">
            <v>562</v>
          </cell>
          <cell r="H2269">
            <v>62.6</v>
          </cell>
          <cell r="I2269">
            <v>28</v>
          </cell>
          <cell r="J2269">
            <v>12</v>
          </cell>
          <cell r="K2269">
            <v>33</v>
          </cell>
          <cell r="L2269">
            <v>39</v>
          </cell>
          <cell r="M2269">
            <v>89</v>
          </cell>
          <cell r="N2269">
            <v>0</v>
          </cell>
          <cell r="O2269">
            <v>1</v>
          </cell>
          <cell r="P2269">
            <v>0</v>
          </cell>
          <cell r="Q2269">
            <v>16</v>
          </cell>
        </row>
        <row r="2306">
          <cell r="B2306">
            <v>2006</v>
          </cell>
          <cell r="C2306">
            <v>1</v>
          </cell>
          <cell r="D2306" t="str">
            <v>Drew Brees</v>
          </cell>
          <cell r="F2306">
            <v>356</v>
          </cell>
          <cell r="G2306">
            <v>554</v>
          </cell>
          <cell r="H2306">
            <v>64.3</v>
          </cell>
          <cell r="I2306">
            <v>26</v>
          </cell>
          <cell r="J2306">
            <v>11</v>
          </cell>
          <cell r="K2306">
            <v>18</v>
          </cell>
          <cell r="L2306">
            <v>42</v>
          </cell>
          <cell r="M2306">
            <v>32</v>
          </cell>
          <cell r="N2306">
            <v>0</v>
          </cell>
          <cell r="O2306">
            <v>0</v>
          </cell>
          <cell r="P2306">
            <v>261.89999999999998</v>
          </cell>
          <cell r="Q2306">
            <v>16</v>
          </cell>
        </row>
        <row r="2307">
          <cell r="B2307">
            <v>2006</v>
          </cell>
          <cell r="C2307">
            <v>2</v>
          </cell>
          <cell r="D2307" t="str">
            <v>Tom Brady</v>
          </cell>
          <cell r="F2307">
            <v>319</v>
          </cell>
          <cell r="G2307">
            <v>516</v>
          </cell>
          <cell r="H2307">
            <v>61.8</v>
          </cell>
          <cell r="I2307">
            <v>24</v>
          </cell>
          <cell r="J2307">
            <v>12</v>
          </cell>
          <cell r="K2307">
            <v>26</v>
          </cell>
          <cell r="L2307">
            <v>49</v>
          </cell>
          <cell r="M2307">
            <v>102</v>
          </cell>
          <cell r="N2307">
            <v>0</v>
          </cell>
          <cell r="O2307">
            <v>0</v>
          </cell>
          <cell r="P2307">
            <v>223.4</v>
          </cell>
          <cell r="Q2307">
            <v>16</v>
          </cell>
        </row>
        <row r="2308">
          <cell r="B2308">
            <v>2006</v>
          </cell>
          <cell r="C2308">
            <v>3</v>
          </cell>
          <cell r="D2308" t="str">
            <v>Ben Roethlisberger</v>
          </cell>
          <cell r="F2308">
            <v>280</v>
          </cell>
          <cell r="G2308">
            <v>469</v>
          </cell>
          <cell r="H2308">
            <v>59.7</v>
          </cell>
          <cell r="I2308">
            <v>18</v>
          </cell>
          <cell r="J2308">
            <v>23</v>
          </cell>
          <cell r="K2308">
            <v>46</v>
          </cell>
          <cell r="L2308">
            <v>32</v>
          </cell>
          <cell r="M2308">
            <v>98</v>
          </cell>
          <cell r="N2308">
            <v>2</v>
          </cell>
          <cell r="O2308">
            <v>0</v>
          </cell>
          <cell r="P2308">
            <v>188.2</v>
          </cell>
          <cell r="Q2308">
            <v>15</v>
          </cell>
        </row>
        <row r="2309">
          <cell r="B2309">
            <v>2006</v>
          </cell>
          <cell r="C2309">
            <v>4</v>
          </cell>
          <cell r="D2309" t="str">
            <v>Alex Smith</v>
          </cell>
          <cell r="F2309">
            <v>257</v>
          </cell>
          <cell r="G2309">
            <v>442</v>
          </cell>
          <cell r="H2309">
            <v>58.1</v>
          </cell>
          <cell r="I2309">
            <v>16</v>
          </cell>
          <cell r="J2309">
            <v>16</v>
          </cell>
          <cell r="K2309">
            <v>35</v>
          </cell>
          <cell r="L2309">
            <v>44</v>
          </cell>
          <cell r="M2309">
            <v>147</v>
          </cell>
          <cell r="N2309">
            <v>2</v>
          </cell>
          <cell r="O2309">
            <v>0</v>
          </cell>
          <cell r="P2309">
            <v>174.2</v>
          </cell>
          <cell r="Q2309">
            <v>16</v>
          </cell>
        </row>
        <row r="2310">
          <cell r="B2310">
            <v>2006</v>
          </cell>
          <cell r="C2310">
            <v>5</v>
          </cell>
          <cell r="D2310" t="str">
            <v>Matt Schaub</v>
          </cell>
          <cell r="F2310">
            <v>18</v>
          </cell>
          <cell r="G2310">
            <v>27</v>
          </cell>
          <cell r="H2310">
            <v>66.7</v>
          </cell>
          <cell r="I2310">
            <v>1</v>
          </cell>
          <cell r="J2310">
            <v>2</v>
          </cell>
          <cell r="K2310">
            <v>2</v>
          </cell>
          <cell r="L2310">
            <v>7</v>
          </cell>
          <cell r="M2310">
            <v>21</v>
          </cell>
          <cell r="N2310">
            <v>0</v>
          </cell>
          <cell r="O2310">
            <v>0</v>
          </cell>
          <cell r="P2310">
            <v>10.4</v>
          </cell>
          <cell r="Q2310">
            <v>15</v>
          </cell>
        </row>
        <row r="2311">
          <cell r="B2311">
            <v>2006</v>
          </cell>
          <cell r="C2311">
            <v>6</v>
          </cell>
          <cell r="D2311" t="str">
            <v>Aaron Rodgers</v>
          </cell>
          <cell r="F2311">
            <v>6</v>
          </cell>
          <cell r="G2311">
            <v>15</v>
          </cell>
          <cell r="H2311">
            <v>40</v>
          </cell>
          <cell r="I2311">
            <v>0</v>
          </cell>
          <cell r="J2311">
            <v>0</v>
          </cell>
          <cell r="K2311">
            <v>3</v>
          </cell>
          <cell r="L2311">
            <v>2</v>
          </cell>
          <cell r="M2311">
            <v>11</v>
          </cell>
          <cell r="N2311">
            <v>0</v>
          </cell>
          <cell r="O2311">
            <v>0</v>
          </cell>
          <cell r="P2311">
            <v>3</v>
          </cell>
          <cell r="Q2311">
            <v>2</v>
          </cell>
        </row>
        <row r="2312">
          <cell r="B2312">
            <v>2006</v>
          </cell>
          <cell r="C2312">
            <v>7</v>
          </cell>
          <cell r="D2312" t="str">
            <v>Josh McCown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2.5</v>
          </cell>
          <cell r="Q2312">
            <v>2</v>
          </cell>
        </row>
        <row r="2372">
          <cell r="B2372">
            <v>2006</v>
          </cell>
          <cell r="C2372">
            <v>67</v>
          </cell>
          <cell r="D2372" t="str">
            <v>Charlie Whitehurst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2</v>
          </cell>
          <cell r="M2372">
            <v>13</v>
          </cell>
          <cell r="N2372">
            <v>1</v>
          </cell>
          <cell r="O2372">
            <v>0</v>
          </cell>
          <cell r="P2372">
            <v>0</v>
          </cell>
          <cell r="Q2372">
            <v>2</v>
          </cell>
        </row>
        <row r="2385">
          <cell r="B2385">
            <v>2006</v>
          </cell>
          <cell r="C2385">
            <v>80</v>
          </cell>
          <cell r="D2385" t="str">
            <v>David Carr</v>
          </cell>
          <cell r="F2385">
            <v>302</v>
          </cell>
          <cell r="G2385">
            <v>442</v>
          </cell>
          <cell r="H2385">
            <v>68.3</v>
          </cell>
          <cell r="I2385">
            <v>11</v>
          </cell>
          <cell r="J2385">
            <v>12</v>
          </cell>
          <cell r="K2385">
            <v>41</v>
          </cell>
          <cell r="L2385">
            <v>53</v>
          </cell>
          <cell r="M2385">
            <v>195</v>
          </cell>
          <cell r="N2385">
            <v>2</v>
          </cell>
          <cell r="O2385">
            <v>0</v>
          </cell>
          <cell r="P2385">
            <v>0</v>
          </cell>
          <cell r="Q2385">
            <v>16</v>
          </cell>
        </row>
        <row r="2386">
          <cell r="B2386">
            <v>2006</v>
          </cell>
          <cell r="C2386">
            <v>81</v>
          </cell>
          <cell r="D2386" t="str">
            <v>Derek Anderson</v>
          </cell>
          <cell r="F2386">
            <v>66</v>
          </cell>
          <cell r="G2386">
            <v>117</v>
          </cell>
          <cell r="H2386">
            <v>56.4</v>
          </cell>
          <cell r="I2386">
            <v>5</v>
          </cell>
          <cell r="J2386">
            <v>8</v>
          </cell>
          <cell r="K2386">
            <v>8</v>
          </cell>
          <cell r="L2386">
            <v>4</v>
          </cell>
          <cell r="M2386">
            <v>47</v>
          </cell>
          <cell r="N2386">
            <v>0</v>
          </cell>
          <cell r="O2386">
            <v>0</v>
          </cell>
          <cell r="P2386">
            <v>0</v>
          </cell>
          <cell r="Q2386">
            <v>5</v>
          </cell>
        </row>
        <row r="2387">
          <cell r="B2387">
            <v>2006</v>
          </cell>
          <cell r="C2387">
            <v>82</v>
          </cell>
          <cell r="D2387" t="str">
            <v>Eli Manning</v>
          </cell>
          <cell r="F2387">
            <v>301</v>
          </cell>
          <cell r="G2387">
            <v>522</v>
          </cell>
          <cell r="H2387">
            <v>57.7</v>
          </cell>
          <cell r="I2387">
            <v>24</v>
          </cell>
          <cell r="J2387">
            <v>18</v>
          </cell>
          <cell r="K2387">
            <v>25</v>
          </cell>
          <cell r="L2387">
            <v>25</v>
          </cell>
          <cell r="M2387">
            <v>21</v>
          </cell>
          <cell r="N2387">
            <v>0</v>
          </cell>
          <cell r="O2387">
            <v>0</v>
          </cell>
          <cell r="P2387">
            <v>0</v>
          </cell>
          <cell r="Q2387">
            <v>16</v>
          </cell>
        </row>
        <row r="2388">
          <cell r="B2388">
            <v>2006</v>
          </cell>
          <cell r="C2388">
            <v>83</v>
          </cell>
          <cell r="D2388" t="str">
            <v>Jason Campbell</v>
          </cell>
          <cell r="F2388">
            <v>110</v>
          </cell>
          <cell r="G2388">
            <v>207</v>
          </cell>
          <cell r="H2388">
            <v>53.1</v>
          </cell>
          <cell r="I2388">
            <v>10</v>
          </cell>
          <cell r="J2388">
            <v>6</v>
          </cell>
          <cell r="K2388">
            <v>7</v>
          </cell>
          <cell r="L2388">
            <v>24</v>
          </cell>
          <cell r="M2388">
            <v>107</v>
          </cell>
          <cell r="N2388">
            <v>0</v>
          </cell>
          <cell r="O2388">
            <v>0</v>
          </cell>
          <cell r="P2388">
            <v>0</v>
          </cell>
          <cell r="Q2388">
            <v>7</v>
          </cell>
        </row>
        <row r="2389">
          <cell r="B2389">
            <v>2006</v>
          </cell>
          <cell r="C2389">
            <v>84</v>
          </cell>
          <cell r="D2389" t="str">
            <v>Jay Cutler</v>
          </cell>
          <cell r="F2389">
            <v>81</v>
          </cell>
          <cell r="G2389">
            <v>137</v>
          </cell>
          <cell r="H2389">
            <v>59.1</v>
          </cell>
          <cell r="I2389">
            <v>9</v>
          </cell>
          <cell r="J2389">
            <v>5</v>
          </cell>
          <cell r="K2389">
            <v>13</v>
          </cell>
          <cell r="L2389">
            <v>12</v>
          </cell>
          <cell r="M2389">
            <v>18</v>
          </cell>
          <cell r="N2389">
            <v>0</v>
          </cell>
          <cell r="O2389">
            <v>0</v>
          </cell>
          <cell r="P2389">
            <v>0</v>
          </cell>
          <cell r="Q2389">
            <v>5</v>
          </cell>
        </row>
        <row r="2395">
          <cell r="B2395">
            <v>2006</v>
          </cell>
          <cell r="C2395">
            <v>90</v>
          </cell>
          <cell r="D2395" t="str">
            <v>Bruce Gradkowski</v>
          </cell>
          <cell r="F2395">
            <v>177</v>
          </cell>
          <cell r="G2395">
            <v>328</v>
          </cell>
          <cell r="H2395">
            <v>54</v>
          </cell>
          <cell r="I2395">
            <v>9</v>
          </cell>
          <cell r="J2395">
            <v>9</v>
          </cell>
          <cell r="K2395">
            <v>25</v>
          </cell>
          <cell r="L2395">
            <v>41</v>
          </cell>
          <cell r="M2395">
            <v>161</v>
          </cell>
          <cell r="N2395">
            <v>0</v>
          </cell>
          <cell r="O2395">
            <v>0</v>
          </cell>
          <cell r="P2395">
            <v>0</v>
          </cell>
          <cell r="Q2395">
            <v>13</v>
          </cell>
        </row>
        <row r="2396">
          <cell r="B2396">
            <v>2006</v>
          </cell>
          <cell r="C2396">
            <v>91</v>
          </cell>
          <cell r="D2396" t="str">
            <v>Carson Palmer</v>
          </cell>
          <cell r="F2396">
            <v>324</v>
          </cell>
          <cell r="G2396">
            <v>520</v>
          </cell>
          <cell r="H2396">
            <v>62.3</v>
          </cell>
          <cell r="I2396">
            <v>28</v>
          </cell>
          <cell r="J2396">
            <v>13</v>
          </cell>
          <cell r="K2396">
            <v>36</v>
          </cell>
          <cell r="L2396">
            <v>26</v>
          </cell>
          <cell r="M2396">
            <v>37</v>
          </cell>
          <cell r="N2396">
            <v>0</v>
          </cell>
          <cell r="O2396">
            <v>0</v>
          </cell>
          <cell r="P2396">
            <v>0</v>
          </cell>
          <cell r="Q2396">
            <v>16</v>
          </cell>
        </row>
        <row r="2398">
          <cell r="B2398">
            <v>2006</v>
          </cell>
          <cell r="C2398">
            <v>93</v>
          </cell>
          <cell r="D2398" t="str">
            <v>Peyton Manning</v>
          </cell>
          <cell r="F2398">
            <v>362</v>
          </cell>
          <cell r="G2398">
            <v>557</v>
          </cell>
          <cell r="H2398">
            <v>65</v>
          </cell>
          <cell r="I2398">
            <v>31</v>
          </cell>
          <cell r="J2398">
            <v>9</v>
          </cell>
          <cell r="K2398">
            <v>14</v>
          </cell>
          <cell r="L2398">
            <v>23</v>
          </cell>
          <cell r="M2398">
            <v>36</v>
          </cell>
          <cell r="N2398">
            <v>4</v>
          </cell>
          <cell r="O2398">
            <v>0</v>
          </cell>
          <cell r="P2398">
            <v>0</v>
          </cell>
          <cell r="Q2398">
            <v>16</v>
          </cell>
        </row>
        <row r="2399">
          <cell r="B2399">
            <v>2006</v>
          </cell>
          <cell r="C2399">
            <v>94</v>
          </cell>
          <cell r="D2399" t="str">
            <v>Philip Rivers</v>
          </cell>
          <cell r="F2399">
            <v>284</v>
          </cell>
          <cell r="G2399">
            <v>460</v>
          </cell>
          <cell r="H2399">
            <v>61.7</v>
          </cell>
          <cell r="I2399">
            <v>22</v>
          </cell>
          <cell r="J2399">
            <v>9</v>
          </cell>
          <cell r="K2399">
            <v>27</v>
          </cell>
          <cell r="L2399">
            <v>48</v>
          </cell>
          <cell r="M2399">
            <v>49</v>
          </cell>
          <cell r="N2399">
            <v>0</v>
          </cell>
          <cell r="O2399">
            <v>0</v>
          </cell>
          <cell r="P2399">
            <v>0</v>
          </cell>
          <cell r="Q2399">
            <v>16</v>
          </cell>
        </row>
        <row r="2400">
          <cell r="B2400">
            <v>2006</v>
          </cell>
          <cell r="C2400">
            <v>95</v>
          </cell>
          <cell r="D2400" t="str">
            <v>Rex Grossman</v>
          </cell>
          <cell r="F2400">
            <v>262</v>
          </cell>
          <cell r="G2400">
            <v>480</v>
          </cell>
          <cell r="H2400">
            <v>54.6</v>
          </cell>
          <cell r="I2400">
            <v>23</v>
          </cell>
          <cell r="J2400">
            <v>20</v>
          </cell>
          <cell r="K2400">
            <v>21</v>
          </cell>
          <cell r="L2400">
            <v>24</v>
          </cell>
          <cell r="M2400">
            <v>2</v>
          </cell>
          <cell r="N2400">
            <v>0</v>
          </cell>
          <cell r="O2400">
            <v>0</v>
          </cell>
          <cell r="P2400">
            <v>0</v>
          </cell>
          <cell r="Q2400">
            <v>16</v>
          </cell>
        </row>
        <row r="2401">
          <cell r="B2401">
            <v>2006</v>
          </cell>
          <cell r="C2401">
            <v>96</v>
          </cell>
          <cell r="D2401" t="str">
            <v>Ryan Fitzpatrick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3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1</v>
          </cell>
        </row>
        <row r="2402">
          <cell r="B2402">
            <v>2006</v>
          </cell>
          <cell r="C2402">
            <v>97</v>
          </cell>
          <cell r="D2402" t="str">
            <v>Seneca Wallace</v>
          </cell>
          <cell r="F2402">
            <v>82</v>
          </cell>
          <cell r="G2402">
            <v>141</v>
          </cell>
          <cell r="H2402">
            <v>58.2</v>
          </cell>
          <cell r="I2402">
            <v>8</v>
          </cell>
          <cell r="J2402">
            <v>7</v>
          </cell>
          <cell r="K2402">
            <v>14</v>
          </cell>
          <cell r="L2402">
            <v>12</v>
          </cell>
          <cell r="M2402">
            <v>122</v>
          </cell>
          <cell r="N2402">
            <v>0</v>
          </cell>
          <cell r="O2402">
            <v>0</v>
          </cell>
          <cell r="P2402">
            <v>0</v>
          </cell>
          <cell r="Q2402">
            <v>6</v>
          </cell>
        </row>
        <row r="2403">
          <cell r="B2403">
            <v>2006</v>
          </cell>
          <cell r="C2403">
            <v>98</v>
          </cell>
          <cell r="D2403" t="str">
            <v>Tarvaris Jackson</v>
          </cell>
          <cell r="F2403">
            <v>47</v>
          </cell>
          <cell r="G2403">
            <v>81</v>
          </cell>
          <cell r="H2403">
            <v>58</v>
          </cell>
          <cell r="I2403">
            <v>2</v>
          </cell>
          <cell r="J2403">
            <v>4</v>
          </cell>
          <cell r="K2403">
            <v>8</v>
          </cell>
          <cell r="L2403">
            <v>15</v>
          </cell>
          <cell r="M2403">
            <v>77</v>
          </cell>
          <cell r="N2403">
            <v>1</v>
          </cell>
          <cell r="O2403">
            <v>0</v>
          </cell>
          <cell r="P2403">
            <v>0</v>
          </cell>
          <cell r="Q2403">
            <v>4</v>
          </cell>
        </row>
        <row r="2405">
          <cell r="B2405">
            <v>2006</v>
          </cell>
          <cell r="C2405">
            <v>100</v>
          </cell>
          <cell r="D2405" t="str">
            <v>Tony Romo</v>
          </cell>
          <cell r="F2405">
            <v>220</v>
          </cell>
          <cell r="G2405">
            <v>337</v>
          </cell>
          <cell r="H2405">
            <v>65.3</v>
          </cell>
          <cell r="I2405">
            <v>19</v>
          </cell>
          <cell r="J2405">
            <v>13</v>
          </cell>
          <cell r="K2405">
            <v>21</v>
          </cell>
          <cell r="L2405">
            <v>34</v>
          </cell>
          <cell r="M2405">
            <v>102</v>
          </cell>
          <cell r="N2405">
            <v>0</v>
          </cell>
          <cell r="O2405">
            <v>0</v>
          </cell>
          <cell r="P2405">
            <v>0</v>
          </cell>
          <cell r="Q2405">
            <v>15</v>
          </cell>
        </row>
        <row r="2406">
          <cell r="B2406">
            <v>2006</v>
          </cell>
          <cell r="C2406">
            <v>101</v>
          </cell>
          <cell r="D2406" t="str">
            <v>Michael Vick</v>
          </cell>
          <cell r="F2406">
            <v>204</v>
          </cell>
          <cell r="G2406">
            <v>388</v>
          </cell>
          <cell r="H2406">
            <v>52.6</v>
          </cell>
          <cell r="I2406">
            <v>20</v>
          </cell>
          <cell r="J2406">
            <v>13</v>
          </cell>
          <cell r="K2406">
            <v>45</v>
          </cell>
          <cell r="L2406">
            <v>123</v>
          </cell>
          <cell r="M2406">
            <v>1039</v>
          </cell>
          <cell r="N2406">
            <v>2</v>
          </cell>
          <cell r="O2406">
            <v>0</v>
          </cell>
          <cell r="P2406">
            <v>0</v>
          </cell>
          <cell r="Q2406">
            <v>16</v>
          </cell>
        </row>
        <row r="2410">
          <cell r="B2410">
            <v>2006</v>
          </cell>
          <cell r="C2410">
            <v>105</v>
          </cell>
          <cell r="D2410" t="str">
            <v>Kellen Clemens</v>
          </cell>
          <cell r="F2410">
            <v>0</v>
          </cell>
          <cell r="G2410">
            <v>1</v>
          </cell>
          <cell r="H2410">
            <v>0</v>
          </cell>
          <cell r="I2410">
            <v>0</v>
          </cell>
          <cell r="J2410">
            <v>0</v>
          </cell>
          <cell r="K2410">
            <v>4</v>
          </cell>
          <cell r="L2410">
            <v>2</v>
          </cell>
          <cell r="M2410">
            <v>10</v>
          </cell>
          <cell r="N2410">
            <v>0</v>
          </cell>
          <cell r="O2410">
            <v>0</v>
          </cell>
          <cell r="P2410">
            <v>0</v>
          </cell>
          <cell r="Q2410">
            <v>2</v>
          </cell>
        </row>
        <row r="2411">
          <cell r="B2411">
            <v>2006</v>
          </cell>
          <cell r="C2411">
            <v>106</v>
          </cell>
          <cell r="D2411" t="str">
            <v>Matt Cassel</v>
          </cell>
          <cell r="F2411">
            <v>5</v>
          </cell>
          <cell r="G2411">
            <v>8</v>
          </cell>
          <cell r="H2411">
            <v>62.5</v>
          </cell>
          <cell r="I2411">
            <v>0</v>
          </cell>
          <cell r="J2411">
            <v>0</v>
          </cell>
          <cell r="K2411">
            <v>3</v>
          </cell>
          <cell r="L2411">
            <v>2</v>
          </cell>
          <cell r="M2411">
            <v>4</v>
          </cell>
          <cell r="N2411">
            <v>0</v>
          </cell>
          <cell r="O2411">
            <v>0</v>
          </cell>
          <cell r="P2411">
            <v>0</v>
          </cell>
          <cell r="Q2411">
            <v>5</v>
          </cell>
        </row>
        <row r="2412">
          <cell r="B2412">
            <v>2006</v>
          </cell>
          <cell r="C2412">
            <v>107</v>
          </cell>
          <cell r="D2412" t="str">
            <v>Matt Hasselbeck</v>
          </cell>
          <cell r="F2412">
            <v>210</v>
          </cell>
          <cell r="G2412">
            <v>371</v>
          </cell>
          <cell r="H2412">
            <v>56.6</v>
          </cell>
          <cell r="I2412">
            <v>18</v>
          </cell>
          <cell r="J2412">
            <v>15</v>
          </cell>
          <cell r="K2412">
            <v>34</v>
          </cell>
          <cell r="L2412">
            <v>18</v>
          </cell>
          <cell r="M2412">
            <v>110</v>
          </cell>
          <cell r="N2412">
            <v>0</v>
          </cell>
          <cell r="O2412">
            <v>0</v>
          </cell>
          <cell r="P2412">
            <v>0</v>
          </cell>
          <cell r="Q2412">
            <v>12</v>
          </cell>
        </row>
        <row r="2448">
          <cell r="B2448">
            <v>2005</v>
          </cell>
          <cell r="C2448">
            <v>1</v>
          </cell>
          <cell r="D2448" t="str">
            <v>Tom Brady</v>
          </cell>
          <cell r="F2448">
            <v>334</v>
          </cell>
          <cell r="G2448">
            <v>530</v>
          </cell>
          <cell r="H2448">
            <v>63</v>
          </cell>
          <cell r="I2448">
            <v>26</v>
          </cell>
          <cell r="J2448">
            <v>14</v>
          </cell>
          <cell r="K2448">
            <v>26</v>
          </cell>
          <cell r="L2448">
            <v>27</v>
          </cell>
          <cell r="M2448">
            <v>89</v>
          </cell>
          <cell r="N2448">
            <v>1</v>
          </cell>
          <cell r="O2448">
            <v>0</v>
          </cell>
          <cell r="P2448">
            <v>255.4</v>
          </cell>
          <cell r="Q2448">
            <v>16</v>
          </cell>
        </row>
        <row r="2449">
          <cell r="B2449">
            <v>2005</v>
          </cell>
          <cell r="C2449">
            <v>2</v>
          </cell>
          <cell r="D2449" t="str">
            <v>Ben Roethlisberger</v>
          </cell>
          <cell r="F2449">
            <v>168</v>
          </cell>
          <cell r="G2449">
            <v>268</v>
          </cell>
          <cell r="H2449">
            <v>62.7</v>
          </cell>
          <cell r="I2449">
            <v>17</v>
          </cell>
          <cell r="J2449">
            <v>9</v>
          </cell>
          <cell r="K2449">
            <v>23</v>
          </cell>
          <cell r="L2449">
            <v>31</v>
          </cell>
          <cell r="M2449">
            <v>69</v>
          </cell>
          <cell r="N2449">
            <v>3</v>
          </cell>
          <cell r="O2449">
            <v>0</v>
          </cell>
          <cell r="P2449">
            <v>170.2</v>
          </cell>
          <cell r="Q2449">
            <v>12</v>
          </cell>
        </row>
        <row r="2450">
          <cell r="B2450">
            <v>2005</v>
          </cell>
          <cell r="C2450">
            <v>3</v>
          </cell>
          <cell r="D2450" t="str">
            <v>Josh McCown</v>
          </cell>
          <cell r="F2450">
            <v>163</v>
          </cell>
          <cell r="G2450">
            <v>270</v>
          </cell>
          <cell r="H2450">
            <v>60.4</v>
          </cell>
          <cell r="I2450">
            <v>9</v>
          </cell>
          <cell r="J2450">
            <v>11</v>
          </cell>
          <cell r="K2450">
            <v>18</v>
          </cell>
          <cell r="L2450">
            <v>29</v>
          </cell>
          <cell r="M2450">
            <v>139</v>
          </cell>
          <cell r="N2450">
            <v>0</v>
          </cell>
          <cell r="O2450">
            <v>0</v>
          </cell>
          <cell r="P2450">
            <v>101.4</v>
          </cell>
          <cell r="Q2450">
            <v>9</v>
          </cell>
        </row>
        <row r="2451">
          <cell r="B2451">
            <v>2005</v>
          </cell>
          <cell r="C2451">
            <v>4</v>
          </cell>
          <cell r="D2451" t="str">
            <v>Matt Schaub</v>
          </cell>
          <cell r="F2451">
            <v>33</v>
          </cell>
          <cell r="G2451">
            <v>64</v>
          </cell>
          <cell r="H2451">
            <v>51.6</v>
          </cell>
          <cell r="I2451">
            <v>4</v>
          </cell>
          <cell r="J2451">
            <v>0</v>
          </cell>
          <cell r="K2451">
            <v>6</v>
          </cell>
          <cell r="L2451">
            <v>9</v>
          </cell>
          <cell r="M2451">
            <v>76</v>
          </cell>
          <cell r="N2451">
            <v>0</v>
          </cell>
          <cell r="O2451">
            <v>0</v>
          </cell>
          <cell r="P2451">
            <v>43.4</v>
          </cell>
          <cell r="Q2451">
            <v>13</v>
          </cell>
        </row>
        <row r="2452">
          <cell r="B2452">
            <v>2005</v>
          </cell>
          <cell r="C2452">
            <v>5</v>
          </cell>
          <cell r="D2452" t="str">
            <v>Alex Smith</v>
          </cell>
          <cell r="F2452">
            <v>84</v>
          </cell>
          <cell r="G2452">
            <v>165</v>
          </cell>
          <cell r="H2452">
            <v>50.9</v>
          </cell>
          <cell r="I2452">
            <v>1</v>
          </cell>
          <cell r="J2452">
            <v>11</v>
          </cell>
          <cell r="K2452">
            <v>29</v>
          </cell>
          <cell r="L2452">
            <v>30</v>
          </cell>
          <cell r="M2452">
            <v>103</v>
          </cell>
          <cell r="N2452">
            <v>0</v>
          </cell>
          <cell r="O2452">
            <v>0</v>
          </cell>
          <cell r="P2452">
            <v>27.4</v>
          </cell>
          <cell r="Q2452">
            <v>9</v>
          </cell>
        </row>
        <row r="2453">
          <cell r="B2453">
            <v>2005</v>
          </cell>
          <cell r="C2453">
            <v>6</v>
          </cell>
          <cell r="D2453" t="str">
            <v>Aaron Rodgers</v>
          </cell>
          <cell r="F2453">
            <v>9</v>
          </cell>
          <cell r="G2453">
            <v>16</v>
          </cell>
          <cell r="H2453">
            <v>56.3</v>
          </cell>
          <cell r="I2453">
            <v>0</v>
          </cell>
          <cell r="J2453">
            <v>1</v>
          </cell>
          <cell r="K2453">
            <v>3</v>
          </cell>
          <cell r="L2453">
            <v>2</v>
          </cell>
          <cell r="M2453">
            <v>7</v>
          </cell>
          <cell r="N2453">
            <v>0</v>
          </cell>
          <cell r="O2453">
            <v>0</v>
          </cell>
          <cell r="P2453">
            <v>1.3</v>
          </cell>
          <cell r="Q2453">
            <v>3</v>
          </cell>
        </row>
        <row r="2513">
          <cell r="B2513">
            <v>2005</v>
          </cell>
          <cell r="C2513">
            <v>66</v>
          </cell>
          <cell r="D2513" t="str">
            <v>Dan Orlovsky</v>
          </cell>
          <cell r="F2513">
            <v>7</v>
          </cell>
          <cell r="G2513">
            <v>17</v>
          </cell>
          <cell r="H2513">
            <v>41.2</v>
          </cell>
          <cell r="I2513">
            <v>0</v>
          </cell>
          <cell r="J2513">
            <v>0</v>
          </cell>
          <cell r="K2513">
            <v>1</v>
          </cell>
          <cell r="L2513">
            <v>0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2</v>
          </cell>
        </row>
        <row r="2526">
          <cell r="B2526">
            <v>2005</v>
          </cell>
          <cell r="C2526">
            <v>79</v>
          </cell>
          <cell r="D2526" t="str">
            <v>David Carr</v>
          </cell>
          <cell r="F2526">
            <v>256</v>
          </cell>
          <cell r="G2526">
            <v>423</v>
          </cell>
          <cell r="H2526">
            <v>60.5</v>
          </cell>
          <cell r="I2526">
            <v>14</v>
          </cell>
          <cell r="J2526">
            <v>11</v>
          </cell>
          <cell r="K2526">
            <v>68</v>
          </cell>
          <cell r="L2526">
            <v>56</v>
          </cell>
          <cell r="M2526">
            <v>308</v>
          </cell>
          <cell r="N2526">
            <v>1</v>
          </cell>
          <cell r="O2526">
            <v>0</v>
          </cell>
          <cell r="P2526">
            <v>0</v>
          </cell>
          <cell r="Q2526">
            <v>16</v>
          </cell>
        </row>
        <row r="2527">
          <cell r="B2527">
            <v>2005</v>
          </cell>
          <cell r="C2527">
            <v>80</v>
          </cell>
          <cell r="D2527" t="str">
            <v>Drew Brees</v>
          </cell>
          <cell r="F2527">
            <v>323</v>
          </cell>
          <cell r="G2527">
            <v>500</v>
          </cell>
          <cell r="H2527">
            <v>64.599999999999994</v>
          </cell>
          <cell r="I2527">
            <v>24</v>
          </cell>
          <cell r="J2527">
            <v>15</v>
          </cell>
          <cell r="K2527">
            <v>27</v>
          </cell>
          <cell r="L2527">
            <v>21</v>
          </cell>
          <cell r="M2527">
            <v>49</v>
          </cell>
          <cell r="N2527">
            <v>1</v>
          </cell>
          <cell r="O2527">
            <v>0</v>
          </cell>
          <cell r="P2527">
            <v>0</v>
          </cell>
          <cell r="Q2527">
            <v>16</v>
          </cell>
        </row>
        <row r="2528">
          <cell r="B2528">
            <v>2005</v>
          </cell>
          <cell r="C2528">
            <v>81</v>
          </cell>
          <cell r="D2528" t="str">
            <v>Eli Manning</v>
          </cell>
          <cell r="F2528">
            <v>294</v>
          </cell>
          <cell r="G2528">
            <v>557</v>
          </cell>
          <cell r="H2528">
            <v>52.8</v>
          </cell>
          <cell r="I2528">
            <v>24</v>
          </cell>
          <cell r="J2528">
            <v>17</v>
          </cell>
          <cell r="K2528">
            <v>28</v>
          </cell>
          <cell r="L2528">
            <v>29</v>
          </cell>
          <cell r="M2528">
            <v>80</v>
          </cell>
          <cell r="N2528">
            <v>1</v>
          </cell>
          <cell r="O2528">
            <v>1</v>
          </cell>
          <cell r="P2528">
            <v>0</v>
          </cell>
          <cell r="Q2528">
            <v>16</v>
          </cell>
        </row>
        <row r="2533">
          <cell r="B2533">
            <v>2005</v>
          </cell>
          <cell r="C2533">
            <v>86</v>
          </cell>
          <cell r="D2533" t="str">
            <v>Carson Palmer</v>
          </cell>
          <cell r="F2533">
            <v>345</v>
          </cell>
          <cell r="G2533">
            <v>509</v>
          </cell>
          <cell r="H2533">
            <v>67.8</v>
          </cell>
          <cell r="I2533">
            <v>32</v>
          </cell>
          <cell r="J2533">
            <v>12</v>
          </cell>
          <cell r="K2533">
            <v>19</v>
          </cell>
          <cell r="L2533">
            <v>34</v>
          </cell>
          <cell r="M2533">
            <v>41</v>
          </cell>
          <cell r="N2533">
            <v>1</v>
          </cell>
          <cell r="O2533">
            <v>0</v>
          </cell>
          <cell r="P2533">
            <v>0</v>
          </cell>
          <cell r="Q2533">
            <v>16</v>
          </cell>
        </row>
        <row r="2536">
          <cell r="B2536">
            <v>2005</v>
          </cell>
          <cell r="C2536">
            <v>89</v>
          </cell>
          <cell r="D2536" t="str">
            <v>Seneca Wallace</v>
          </cell>
          <cell r="F2536">
            <v>13</v>
          </cell>
          <cell r="G2536">
            <v>25</v>
          </cell>
          <cell r="H2536">
            <v>52</v>
          </cell>
          <cell r="I2536">
            <v>1</v>
          </cell>
          <cell r="J2536">
            <v>1</v>
          </cell>
          <cell r="K2536">
            <v>3</v>
          </cell>
          <cell r="L2536">
            <v>6</v>
          </cell>
          <cell r="M2536">
            <v>-5</v>
          </cell>
          <cell r="N2536">
            <v>0</v>
          </cell>
          <cell r="O2536">
            <v>0</v>
          </cell>
          <cell r="P2536">
            <v>0</v>
          </cell>
          <cell r="Q2536">
            <v>5</v>
          </cell>
        </row>
        <row r="2537">
          <cell r="B2537">
            <v>2005</v>
          </cell>
          <cell r="C2537">
            <v>90</v>
          </cell>
          <cell r="D2537" t="str">
            <v>Michael Vick</v>
          </cell>
          <cell r="F2537">
            <v>214</v>
          </cell>
          <cell r="G2537">
            <v>387</v>
          </cell>
          <cell r="H2537">
            <v>55.3</v>
          </cell>
          <cell r="I2537">
            <v>15</v>
          </cell>
          <cell r="J2537">
            <v>13</v>
          </cell>
          <cell r="K2537">
            <v>33</v>
          </cell>
          <cell r="L2537">
            <v>102</v>
          </cell>
          <cell r="M2537">
            <v>597</v>
          </cell>
          <cell r="N2537">
            <v>6</v>
          </cell>
          <cell r="O2537">
            <v>1</v>
          </cell>
          <cell r="P2537">
            <v>0</v>
          </cell>
          <cell r="Q2537">
            <v>15</v>
          </cell>
        </row>
        <row r="2538">
          <cell r="B2538">
            <v>2005</v>
          </cell>
          <cell r="C2538">
            <v>91</v>
          </cell>
          <cell r="D2538" t="str">
            <v>Peyton Manning</v>
          </cell>
          <cell r="F2538">
            <v>305</v>
          </cell>
          <cell r="G2538">
            <v>453</v>
          </cell>
          <cell r="H2538">
            <v>67.3</v>
          </cell>
          <cell r="I2538">
            <v>28</v>
          </cell>
          <cell r="J2538">
            <v>10</v>
          </cell>
          <cell r="K2538">
            <v>17</v>
          </cell>
          <cell r="L2538">
            <v>33</v>
          </cell>
          <cell r="M2538">
            <v>45</v>
          </cell>
          <cell r="N2538">
            <v>0</v>
          </cell>
          <cell r="O2538">
            <v>0</v>
          </cell>
          <cell r="P2538">
            <v>0</v>
          </cell>
          <cell r="Q2538">
            <v>16</v>
          </cell>
        </row>
        <row r="2539">
          <cell r="B2539">
            <v>2005</v>
          </cell>
          <cell r="C2539">
            <v>92</v>
          </cell>
          <cell r="D2539" t="str">
            <v>Philip Rivers</v>
          </cell>
          <cell r="F2539">
            <v>12</v>
          </cell>
          <cell r="G2539">
            <v>22</v>
          </cell>
          <cell r="H2539">
            <v>54.5</v>
          </cell>
          <cell r="I2539">
            <v>0</v>
          </cell>
          <cell r="J2539">
            <v>1</v>
          </cell>
          <cell r="K2539">
            <v>3</v>
          </cell>
          <cell r="L2539">
            <v>1</v>
          </cell>
          <cell r="M2539">
            <v>-1</v>
          </cell>
          <cell r="N2539">
            <v>0</v>
          </cell>
          <cell r="O2539">
            <v>0</v>
          </cell>
          <cell r="P2539">
            <v>0</v>
          </cell>
          <cell r="Q2539">
            <v>2</v>
          </cell>
        </row>
        <row r="2540">
          <cell r="B2540">
            <v>2005</v>
          </cell>
          <cell r="C2540">
            <v>93</v>
          </cell>
          <cell r="D2540" t="str">
            <v>Rex Grossman</v>
          </cell>
          <cell r="F2540">
            <v>20</v>
          </cell>
          <cell r="G2540">
            <v>39</v>
          </cell>
          <cell r="H2540">
            <v>51.3</v>
          </cell>
          <cell r="I2540">
            <v>1</v>
          </cell>
          <cell r="J2540">
            <v>2</v>
          </cell>
          <cell r="K2540">
            <v>1</v>
          </cell>
          <cell r="L2540">
            <v>0</v>
          </cell>
          <cell r="M2540">
            <v>0</v>
          </cell>
          <cell r="N2540">
            <v>0</v>
          </cell>
          <cell r="O2540">
            <v>0</v>
          </cell>
          <cell r="P2540">
            <v>0</v>
          </cell>
          <cell r="Q2540">
            <v>2</v>
          </cell>
        </row>
        <row r="2541">
          <cell r="B2541">
            <v>2005</v>
          </cell>
          <cell r="C2541">
            <v>94</v>
          </cell>
          <cell r="D2541" t="str">
            <v>Ryan Fitzpatrick</v>
          </cell>
          <cell r="F2541">
            <v>76</v>
          </cell>
          <cell r="G2541">
            <v>135</v>
          </cell>
          <cell r="H2541">
            <v>56.3</v>
          </cell>
          <cell r="I2541">
            <v>4</v>
          </cell>
          <cell r="J2541">
            <v>8</v>
          </cell>
          <cell r="K2541">
            <v>9</v>
          </cell>
          <cell r="L2541">
            <v>14</v>
          </cell>
          <cell r="M2541">
            <v>64</v>
          </cell>
          <cell r="N2541">
            <v>2</v>
          </cell>
          <cell r="O2541">
            <v>0</v>
          </cell>
          <cell r="P2541">
            <v>0</v>
          </cell>
          <cell r="Q2541">
            <v>4</v>
          </cell>
        </row>
        <row r="2542">
          <cell r="B2542">
            <v>2005</v>
          </cell>
          <cell r="C2542">
            <v>95</v>
          </cell>
          <cell r="D2542" t="str">
            <v>Shaun Hill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  <cell r="L2542">
            <v>2</v>
          </cell>
          <cell r="M2542">
            <v>-2</v>
          </cell>
          <cell r="N2542">
            <v>0</v>
          </cell>
          <cell r="O2542">
            <v>0</v>
          </cell>
          <cell r="P2542">
            <v>0</v>
          </cell>
          <cell r="Q2542">
            <v>1</v>
          </cell>
        </row>
        <row r="2544">
          <cell r="B2544">
            <v>2005</v>
          </cell>
          <cell r="C2544">
            <v>97</v>
          </cell>
          <cell r="D2544" t="str">
            <v>Tony Romo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2</v>
          </cell>
          <cell r="M2544">
            <v>-2</v>
          </cell>
          <cell r="N2544">
            <v>0</v>
          </cell>
          <cell r="O2544">
            <v>0</v>
          </cell>
          <cell r="P2544">
            <v>0</v>
          </cell>
          <cell r="Q2544">
            <v>15</v>
          </cell>
        </row>
        <row r="2546">
          <cell r="B2546">
            <v>2005</v>
          </cell>
          <cell r="C2546">
            <v>99</v>
          </cell>
          <cell r="D2546" t="str">
            <v>Kyle Orton</v>
          </cell>
          <cell r="F2546">
            <v>190</v>
          </cell>
          <cell r="G2546">
            <v>368</v>
          </cell>
          <cell r="H2546">
            <v>51.6</v>
          </cell>
          <cell r="I2546">
            <v>9</v>
          </cell>
          <cell r="J2546">
            <v>13</v>
          </cell>
          <cell r="K2546">
            <v>30</v>
          </cell>
          <cell r="L2546">
            <v>24</v>
          </cell>
          <cell r="M2546">
            <v>44</v>
          </cell>
          <cell r="N2546">
            <v>0</v>
          </cell>
          <cell r="O2546">
            <v>0</v>
          </cell>
          <cell r="P2546">
            <v>0</v>
          </cell>
          <cell r="Q2546">
            <v>15</v>
          </cell>
        </row>
        <row r="2549">
          <cell r="B2549">
            <v>2005</v>
          </cell>
          <cell r="C2549">
            <v>102</v>
          </cell>
          <cell r="D2549" t="str">
            <v>Matt Cassel</v>
          </cell>
          <cell r="F2549">
            <v>13</v>
          </cell>
          <cell r="G2549">
            <v>24</v>
          </cell>
          <cell r="H2549">
            <v>54.2</v>
          </cell>
          <cell r="I2549">
            <v>2</v>
          </cell>
          <cell r="J2549">
            <v>1</v>
          </cell>
          <cell r="K2549">
            <v>1</v>
          </cell>
          <cell r="L2549">
            <v>6</v>
          </cell>
          <cell r="M2549">
            <v>12</v>
          </cell>
          <cell r="N2549">
            <v>0</v>
          </cell>
          <cell r="O2549">
            <v>0</v>
          </cell>
          <cell r="P2549">
            <v>0</v>
          </cell>
          <cell r="Q2549">
            <v>2</v>
          </cell>
        </row>
        <row r="2550">
          <cell r="B2550">
            <v>2005</v>
          </cell>
          <cell r="C2550">
            <v>103</v>
          </cell>
          <cell r="D2550" t="str">
            <v>Matt Hasselbeck</v>
          </cell>
          <cell r="F2550">
            <v>294</v>
          </cell>
          <cell r="G2550">
            <v>449</v>
          </cell>
          <cell r="H2550">
            <v>65.5</v>
          </cell>
          <cell r="I2550">
            <v>24</v>
          </cell>
          <cell r="J2550">
            <v>9</v>
          </cell>
          <cell r="K2550">
            <v>24</v>
          </cell>
          <cell r="L2550">
            <v>36</v>
          </cell>
          <cell r="M2550">
            <v>124</v>
          </cell>
          <cell r="N2550">
            <v>1</v>
          </cell>
          <cell r="O2550">
            <v>0</v>
          </cell>
          <cell r="P2550">
            <v>0</v>
          </cell>
          <cell r="Q2550">
            <v>16</v>
          </cell>
        </row>
        <row r="2586">
          <cell r="B2586">
            <v>2004</v>
          </cell>
          <cell r="C2586">
            <v>1</v>
          </cell>
          <cell r="D2586" t="str">
            <v>Tom Brady</v>
          </cell>
          <cell r="F2586">
            <v>288</v>
          </cell>
          <cell r="G2586">
            <v>474</v>
          </cell>
          <cell r="H2586">
            <v>60.8</v>
          </cell>
          <cell r="I2586">
            <v>28</v>
          </cell>
          <cell r="J2586">
            <v>14</v>
          </cell>
          <cell r="K2586">
            <v>26</v>
          </cell>
          <cell r="L2586">
            <v>43</v>
          </cell>
          <cell r="M2586">
            <v>28</v>
          </cell>
          <cell r="N2586">
            <v>0</v>
          </cell>
          <cell r="O2586">
            <v>5</v>
          </cell>
          <cell r="P2586">
            <v>224.4</v>
          </cell>
          <cell r="Q2586">
            <v>16</v>
          </cell>
        </row>
        <row r="2587">
          <cell r="B2587">
            <v>2004</v>
          </cell>
          <cell r="C2587">
            <v>2</v>
          </cell>
          <cell r="D2587" t="str">
            <v>Ben Roethlisberger</v>
          </cell>
          <cell r="F2587">
            <v>196</v>
          </cell>
          <cell r="G2587">
            <v>295</v>
          </cell>
          <cell r="H2587">
            <v>66.400000000000006</v>
          </cell>
          <cell r="I2587">
            <v>17</v>
          </cell>
          <cell r="J2587">
            <v>11</v>
          </cell>
          <cell r="K2587">
            <v>30</v>
          </cell>
          <cell r="L2587">
            <v>56</v>
          </cell>
          <cell r="M2587">
            <v>144</v>
          </cell>
          <cell r="N2587">
            <v>1</v>
          </cell>
          <cell r="O2587">
            <v>2</v>
          </cell>
          <cell r="P2587">
            <v>167</v>
          </cell>
          <cell r="Q2587">
            <v>14</v>
          </cell>
        </row>
        <row r="2588">
          <cell r="B2588">
            <v>2004</v>
          </cell>
          <cell r="C2588">
            <v>3</v>
          </cell>
          <cell r="D2588" t="str">
            <v>Josh McCown</v>
          </cell>
          <cell r="F2588">
            <v>233</v>
          </cell>
          <cell r="G2588">
            <v>408</v>
          </cell>
          <cell r="H2588">
            <v>57.1</v>
          </cell>
          <cell r="I2588">
            <v>11</v>
          </cell>
          <cell r="J2588">
            <v>10</v>
          </cell>
          <cell r="K2588">
            <v>31</v>
          </cell>
          <cell r="L2588">
            <v>36</v>
          </cell>
          <cell r="M2588">
            <v>112</v>
          </cell>
          <cell r="N2588">
            <v>2</v>
          </cell>
          <cell r="O2588">
            <v>5</v>
          </cell>
          <cell r="P2588">
            <v>137.6</v>
          </cell>
          <cell r="Q2588">
            <v>14</v>
          </cell>
        </row>
        <row r="2589">
          <cell r="B2589">
            <v>2004</v>
          </cell>
          <cell r="C2589">
            <v>4</v>
          </cell>
          <cell r="D2589" t="str">
            <v>Luke McCown</v>
          </cell>
          <cell r="F2589">
            <v>48</v>
          </cell>
          <cell r="G2589">
            <v>98</v>
          </cell>
          <cell r="H2589">
            <v>49</v>
          </cell>
          <cell r="I2589">
            <v>4</v>
          </cell>
          <cell r="J2589">
            <v>7</v>
          </cell>
          <cell r="K2589">
            <v>12</v>
          </cell>
          <cell r="L2589">
            <v>6</v>
          </cell>
          <cell r="M2589">
            <v>25</v>
          </cell>
          <cell r="N2589">
            <v>0</v>
          </cell>
          <cell r="O2589">
            <v>0</v>
          </cell>
          <cell r="P2589">
            <v>28.8</v>
          </cell>
          <cell r="Q2589">
            <v>5</v>
          </cell>
        </row>
        <row r="2590">
          <cell r="B2590">
            <v>2004</v>
          </cell>
          <cell r="C2590">
            <v>5</v>
          </cell>
          <cell r="D2590" t="str">
            <v>Matt Schaub</v>
          </cell>
          <cell r="F2590">
            <v>33</v>
          </cell>
          <cell r="G2590">
            <v>70</v>
          </cell>
          <cell r="H2590">
            <v>47.1</v>
          </cell>
          <cell r="I2590">
            <v>1</v>
          </cell>
          <cell r="J2590">
            <v>4</v>
          </cell>
          <cell r="K2590">
            <v>4</v>
          </cell>
          <cell r="L2590">
            <v>8</v>
          </cell>
          <cell r="M2590">
            <v>26</v>
          </cell>
          <cell r="N2590">
            <v>0</v>
          </cell>
          <cell r="O2590">
            <v>0</v>
          </cell>
          <cell r="P2590">
            <v>11.8</v>
          </cell>
          <cell r="Q2590">
            <v>6</v>
          </cell>
        </row>
        <row r="2663">
          <cell r="B2663">
            <v>2004</v>
          </cell>
          <cell r="C2663">
            <v>78</v>
          </cell>
          <cell r="D2663" t="str">
            <v>David Carr</v>
          </cell>
          <cell r="F2663">
            <v>285</v>
          </cell>
          <cell r="G2663">
            <v>466</v>
          </cell>
          <cell r="H2663">
            <v>61.2</v>
          </cell>
          <cell r="I2663">
            <v>16</v>
          </cell>
          <cell r="J2663">
            <v>14</v>
          </cell>
          <cell r="K2663">
            <v>49</v>
          </cell>
          <cell r="L2663">
            <v>73</v>
          </cell>
          <cell r="M2663">
            <v>299</v>
          </cell>
          <cell r="N2663">
            <v>0</v>
          </cell>
          <cell r="O2663">
            <v>2</v>
          </cell>
          <cell r="P2663">
            <v>0</v>
          </cell>
          <cell r="Q2663">
            <v>16</v>
          </cell>
        </row>
        <row r="2664">
          <cell r="B2664">
            <v>2004</v>
          </cell>
          <cell r="C2664">
            <v>79</v>
          </cell>
          <cell r="D2664" t="str">
            <v>Drew Brees</v>
          </cell>
          <cell r="F2664">
            <v>262</v>
          </cell>
          <cell r="G2664">
            <v>400</v>
          </cell>
          <cell r="H2664">
            <v>65.5</v>
          </cell>
          <cell r="I2664">
            <v>27</v>
          </cell>
          <cell r="J2664">
            <v>7</v>
          </cell>
          <cell r="K2664">
            <v>18</v>
          </cell>
          <cell r="L2664">
            <v>53</v>
          </cell>
          <cell r="M2664">
            <v>85</v>
          </cell>
          <cell r="N2664">
            <v>2</v>
          </cell>
          <cell r="O2664">
            <v>2</v>
          </cell>
          <cell r="P2664">
            <v>0</v>
          </cell>
          <cell r="Q2664">
            <v>15</v>
          </cell>
        </row>
        <row r="2665">
          <cell r="B2665">
            <v>2004</v>
          </cell>
          <cell r="C2665">
            <v>80</v>
          </cell>
          <cell r="D2665" t="str">
            <v>Eli Manning</v>
          </cell>
          <cell r="F2665">
            <v>95</v>
          </cell>
          <cell r="G2665">
            <v>197</v>
          </cell>
          <cell r="H2665">
            <v>48.2</v>
          </cell>
          <cell r="I2665">
            <v>6</v>
          </cell>
          <cell r="J2665">
            <v>9</v>
          </cell>
          <cell r="K2665">
            <v>13</v>
          </cell>
          <cell r="L2665">
            <v>6</v>
          </cell>
          <cell r="M2665">
            <v>35</v>
          </cell>
          <cell r="N2665">
            <v>0</v>
          </cell>
          <cell r="O2665">
            <v>1</v>
          </cell>
          <cell r="P2665">
            <v>0</v>
          </cell>
          <cell r="Q2665">
            <v>9</v>
          </cell>
        </row>
        <row r="2670">
          <cell r="B2670">
            <v>2004</v>
          </cell>
          <cell r="C2670">
            <v>85</v>
          </cell>
          <cell r="D2670" t="str">
            <v>Carson Palmer</v>
          </cell>
          <cell r="F2670">
            <v>263</v>
          </cell>
          <cell r="G2670">
            <v>432</v>
          </cell>
          <cell r="H2670">
            <v>60.9</v>
          </cell>
          <cell r="I2670">
            <v>18</v>
          </cell>
          <cell r="J2670">
            <v>18</v>
          </cell>
          <cell r="K2670">
            <v>25</v>
          </cell>
          <cell r="L2670">
            <v>18</v>
          </cell>
          <cell r="M2670">
            <v>47</v>
          </cell>
          <cell r="N2670">
            <v>1</v>
          </cell>
          <cell r="O2670">
            <v>2</v>
          </cell>
          <cell r="P2670">
            <v>0</v>
          </cell>
          <cell r="Q2670">
            <v>13</v>
          </cell>
        </row>
        <row r="2673">
          <cell r="B2673">
            <v>2004</v>
          </cell>
          <cell r="C2673">
            <v>88</v>
          </cell>
          <cell r="D2673" t="str">
            <v>Peyton Manning</v>
          </cell>
          <cell r="F2673">
            <v>336</v>
          </cell>
          <cell r="G2673">
            <v>497</v>
          </cell>
          <cell r="H2673">
            <v>67.599999999999994</v>
          </cell>
          <cell r="I2673">
            <v>49</v>
          </cell>
          <cell r="J2673">
            <v>10</v>
          </cell>
          <cell r="K2673">
            <v>13</v>
          </cell>
          <cell r="L2673">
            <v>25</v>
          </cell>
          <cell r="M2673">
            <v>38</v>
          </cell>
          <cell r="N2673">
            <v>0</v>
          </cell>
          <cell r="O2673">
            <v>1</v>
          </cell>
          <cell r="P2673">
            <v>0</v>
          </cell>
          <cell r="Q2673">
            <v>16</v>
          </cell>
        </row>
        <row r="2674">
          <cell r="B2674">
            <v>2004</v>
          </cell>
          <cell r="C2674">
            <v>89</v>
          </cell>
          <cell r="D2674" t="str">
            <v>Philip Rivers</v>
          </cell>
          <cell r="F2674">
            <v>5</v>
          </cell>
          <cell r="G2674">
            <v>8</v>
          </cell>
          <cell r="H2674">
            <v>62.5</v>
          </cell>
          <cell r="I2674">
            <v>1</v>
          </cell>
          <cell r="J2674">
            <v>0</v>
          </cell>
          <cell r="K2674">
            <v>1</v>
          </cell>
          <cell r="L2674">
            <v>4</v>
          </cell>
          <cell r="M2674">
            <v>-5</v>
          </cell>
          <cell r="N2674">
            <v>0</v>
          </cell>
          <cell r="O2674">
            <v>0</v>
          </cell>
          <cell r="P2674">
            <v>0</v>
          </cell>
          <cell r="Q2674">
            <v>2</v>
          </cell>
        </row>
        <row r="2675">
          <cell r="B2675">
            <v>2004</v>
          </cell>
          <cell r="C2675">
            <v>90</v>
          </cell>
          <cell r="D2675" t="str">
            <v>Rex Grossman</v>
          </cell>
          <cell r="F2675">
            <v>47</v>
          </cell>
          <cell r="G2675">
            <v>84</v>
          </cell>
          <cell r="H2675">
            <v>56</v>
          </cell>
          <cell r="I2675">
            <v>1</v>
          </cell>
          <cell r="J2675">
            <v>3</v>
          </cell>
          <cell r="K2675">
            <v>5</v>
          </cell>
          <cell r="L2675">
            <v>11</v>
          </cell>
          <cell r="M2675">
            <v>48</v>
          </cell>
          <cell r="N2675">
            <v>1</v>
          </cell>
          <cell r="O2675">
            <v>2</v>
          </cell>
          <cell r="P2675">
            <v>0</v>
          </cell>
          <cell r="Q2675">
            <v>3</v>
          </cell>
        </row>
        <row r="2678">
          <cell r="B2678">
            <v>2004</v>
          </cell>
          <cell r="C2678">
            <v>93</v>
          </cell>
          <cell r="D2678" t="str">
            <v>Tony Romo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3</v>
          </cell>
        </row>
        <row r="2679">
          <cell r="B2679">
            <v>2004</v>
          </cell>
          <cell r="C2679">
            <v>94</v>
          </cell>
          <cell r="D2679" t="str">
            <v>Michael Vick</v>
          </cell>
          <cell r="F2679">
            <v>181</v>
          </cell>
          <cell r="G2679">
            <v>321</v>
          </cell>
          <cell r="H2679">
            <v>56.4</v>
          </cell>
          <cell r="I2679">
            <v>14</v>
          </cell>
          <cell r="J2679">
            <v>12</v>
          </cell>
          <cell r="K2679">
            <v>46</v>
          </cell>
          <cell r="L2679">
            <v>120</v>
          </cell>
          <cell r="M2679">
            <v>902</v>
          </cell>
          <cell r="N2679">
            <v>3</v>
          </cell>
          <cell r="O2679">
            <v>7</v>
          </cell>
          <cell r="P2679">
            <v>0</v>
          </cell>
          <cell r="Q2679">
            <v>15</v>
          </cell>
        </row>
        <row r="2683">
          <cell r="B2683">
            <v>2004</v>
          </cell>
          <cell r="C2683">
            <v>98</v>
          </cell>
          <cell r="D2683" t="str">
            <v>Matt Hasselbeck</v>
          </cell>
          <cell r="F2683">
            <v>279</v>
          </cell>
          <cell r="G2683">
            <v>474</v>
          </cell>
          <cell r="H2683">
            <v>58.9</v>
          </cell>
          <cell r="I2683">
            <v>22</v>
          </cell>
          <cell r="J2683">
            <v>15</v>
          </cell>
          <cell r="K2683">
            <v>30</v>
          </cell>
          <cell r="L2683">
            <v>27</v>
          </cell>
          <cell r="M2683">
            <v>90</v>
          </cell>
          <cell r="N2683">
            <v>1</v>
          </cell>
          <cell r="O2683">
            <v>1</v>
          </cell>
          <cell r="P2683">
            <v>0</v>
          </cell>
          <cell r="Q2683">
            <v>14</v>
          </cell>
        </row>
        <row r="2719">
          <cell r="B2719">
            <v>2003</v>
          </cell>
          <cell r="C2719">
            <v>1</v>
          </cell>
          <cell r="D2719" t="str">
            <v>Tom Brady</v>
          </cell>
          <cell r="F2719">
            <v>317</v>
          </cell>
          <cell r="G2719">
            <v>527</v>
          </cell>
          <cell r="H2719">
            <v>60.2</v>
          </cell>
          <cell r="I2719">
            <v>23</v>
          </cell>
          <cell r="J2719">
            <v>12</v>
          </cell>
          <cell r="K2719">
            <v>32</v>
          </cell>
          <cell r="L2719">
            <v>42</v>
          </cell>
          <cell r="M2719">
            <v>63</v>
          </cell>
          <cell r="N2719">
            <v>1</v>
          </cell>
          <cell r="O2719">
            <v>5</v>
          </cell>
          <cell r="P2719">
            <v>215.1</v>
          </cell>
          <cell r="Q2719">
            <v>16</v>
          </cell>
        </row>
        <row r="2720">
          <cell r="B2720">
            <v>2003</v>
          </cell>
          <cell r="C2720">
            <v>2</v>
          </cell>
          <cell r="D2720" t="str">
            <v>Josh McCown</v>
          </cell>
          <cell r="F2720">
            <v>95</v>
          </cell>
          <cell r="G2720">
            <v>166</v>
          </cell>
          <cell r="H2720">
            <v>57.2</v>
          </cell>
          <cell r="I2720">
            <v>5</v>
          </cell>
          <cell r="J2720">
            <v>6</v>
          </cell>
          <cell r="K2720">
            <v>25</v>
          </cell>
          <cell r="L2720">
            <v>28</v>
          </cell>
          <cell r="M2720">
            <v>158</v>
          </cell>
          <cell r="N2720">
            <v>1</v>
          </cell>
          <cell r="O2720">
            <v>2</v>
          </cell>
          <cell r="P2720">
            <v>66.599999999999994</v>
          </cell>
          <cell r="Q2720">
            <v>8</v>
          </cell>
        </row>
        <row r="2795">
          <cell r="B2795">
            <v>2003</v>
          </cell>
          <cell r="C2795">
            <v>77</v>
          </cell>
          <cell r="D2795" t="str">
            <v>David Carr</v>
          </cell>
          <cell r="F2795">
            <v>167</v>
          </cell>
          <cell r="G2795">
            <v>295</v>
          </cell>
          <cell r="H2795">
            <v>56.6</v>
          </cell>
          <cell r="I2795">
            <v>9</v>
          </cell>
          <cell r="J2795">
            <v>13</v>
          </cell>
          <cell r="K2795">
            <v>15</v>
          </cell>
          <cell r="L2795">
            <v>27</v>
          </cell>
          <cell r="M2795">
            <v>151</v>
          </cell>
          <cell r="N2795">
            <v>2</v>
          </cell>
          <cell r="O2795">
            <v>0</v>
          </cell>
          <cell r="P2795">
            <v>0</v>
          </cell>
          <cell r="Q2795">
            <v>12</v>
          </cell>
        </row>
        <row r="2797">
          <cell r="B2797">
            <v>2003</v>
          </cell>
          <cell r="C2797">
            <v>79</v>
          </cell>
          <cell r="D2797" t="str">
            <v>Drew Brees</v>
          </cell>
          <cell r="F2797">
            <v>205</v>
          </cell>
          <cell r="G2797">
            <v>356</v>
          </cell>
          <cell r="H2797">
            <v>57.6</v>
          </cell>
          <cell r="I2797">
            <v>11</v>
          </cell>
          <cell r="J2797">
            <v>15</v>
          </cell>
          <cell r="K2797">
            <v>21</v>
          </cell>
          <cell r="L2797">
            <v>21</v>
          </cell>
          <cell r="M2797">
            <v>84</v>
          </cell>
          <cell r="N2797">
            <v>0</v>
          </cell>
          <cell r="O2797">
            <v>3</v>
          </cell>
          <cell r="P2797">
            <v>0</v>
          </cell>
          <cell r="Q2797">
            <v>11</v>
          </cell>
        </row>
        <row r="2802">
          <cell r="B2802">
            <v>2003</v>
          </cell>
          <cell r="C2802">
            <v>84</v>
          </cell>
          <cell r="D2802" t="str">
            <v>Rex Grossman</v>
          </cell>
          <cell r="F2802">
            <v>38</v>
          </cell>
          <cell r="G2802">
            <v>72</v>
          </cell>
          <cell r="H2802">
            <v>52.8</v>
          </cell>
          <cell r="I2802">
            <v>2</v>
          </cell>
          <cell r="J2802">
            <v>1</v>
          </cell>
          <cell r="K2802">
            <v>4</v>
          </cell>
          <cell r="L2802">
            <v>3</v>
          </cell>
          <cell r="M2802">
            <v>-1</v>
          </cell>
          <cell r="N2802">
            <v>0</v>
          </cell>
          <cell r="O2802">
            <v>0</v>
          </cell>
          <cell r="P2802">
            <v>0</v>
          </cell>
          <cell r="Q2802">
            <v>3</v>
          </cell>
        </row>
        <row r="2804">
          <cell r="B2804">
            <v>2003</v>
          </cell>
          <cell r="C2804">
            <v>86</v>
          </cell>
          <cell r="D2804" t="str">
            <v>Michael Vick</v>
          </cell>
          <cell r="F2804">
            <v>50</v>
          </cell>
          <cell r="G2804">
            <v>100</v>
          </cell>
          <cell r="H2804">
            <v>50</v>
          </cell>
          <cell r="I2804">
            <v>4</v>
          </cell>
          <cell r="J2804">
            <v>3</v>
          </cell>
          <cell r="K2804">
            <v>9</v>
          </cell>
          <cell r="L2804">
            <v>40</v>
          </cell>
          <cell r="M2804">
            <v>255</v>
          </cell>
          <cell r="N2804">
            <v>1</v>
          </cell>
          <cell r="O2804">
            <v>1</v>
          </cell>
          <cell r="P2804">
            <v>0</v>
          </cell>
          <cell r="Q2804">
            <v>5</v>
          </cell>
        </row>
        <row r="2805">
          <cell r="B2805">
            <v>2003</v>
          </cell>
          <cell r="C2805">
            <v>87</v>
          </cell>
          <cell r="D2805" t="str">
            <v>Peyton Manning</v>
          </cell>
          <cell r="F2805">
            <v>379</v>
          </cell>
          <cell r="G2805">
            <v>566</v>
          </cell>
          <cell r="H2805">
            <v>67</v>
          </cell>
          <cell r="I2805">
            <v>29</v>
          </cell>
          <cell r="J2805">
            <v>10</v>
          </cell>
          <cell r="K2805">
            <v>18</v>
          </cell>
          <cell r="L2805">
            <v>28</v>
          </cell>
          <cell r="M2805">
            <v>26</v>
          </cell>
          <cell r="N2805">
            <v>0</v>
          </cell>
          <cell r="O2805">
            <v>1</v>
          </cell>
          <cell r="P2805">
            <v>0</v>
          </cell>
          <cell r="Q2805">
            <v>16</v>
          </cell>
        </row>
        <row r="2811">
          <cell r="B2811">
            <v>2003</v>
          </cell>
          <cell r="C2811">
            <v>93</v>
          </cell>
          <cell r="D2811" t="str">
            <v>Matt Hasselbeck</v>
          </cell>
          <cell r="F2811">
            <v>313</v>
          </cell>
          <cell r="G2811">
            <v>513</v>
          </cell>
          <cell r="H2811">
            <v>61</v>
          </cell>
          <cell r="I2811">
            <v>26</v>
          </cell>
          <cell r="J2811">
            <v>15</v>
          </cell>
          <cell r="K2811">
            <v>42</v>
          </cell>
          <cell r="L2811">
            <v>36</v>
          </cell>
          <cell r="M2811">
            <v>125</v>
          </cell>
          <cell r="N2811">
            <v>2</v>
          </cell>
          <cell r="O2811">
            <v>1</v>
          </cell>
          <cell r="P2811">
            <v>0</v>
          </cell>
          <cell r="Q2811">
            <v>16</v>
          </cell>
        </row>
        <row r="2845">
          <cell r="B2845">
            <v>2002</v>
          </cell>
          <cell r="C2845">
            <v>1</v>
          </cell>
          <cell r="D2845" t="str">
            <v>Tom Brady</v>
          </cell>
          <cell r="F2845">
            <v>373</v>
          </cell>
          <cell r="G2845">
            <v>601</v>
          </cell>
          <cell r="H2845">
            <v>62.1</v>
          </cell>
          <cell r="I2845">
            <v>28</v>
          </cell>
          <cell r="J2845">
            <v>14</v>
          </cell>
          <cell r="K2845">
            <v>31</v>
          </cell>
          <cell r="L2845">
            <v>42</v>
          </cell>
          <cell r="M2845">
            <v>110</v>
          </cell>
          <cell r="N2845">
            <v>1</v>
          </cell>
          <cell r="O2845">
            <v>5</v>
          </cell>
          <cell r="P2845">
            <v>241.6</v>
          </cell>
          <cell r="Q2845">
            <v>16</v>
          </cell>
        </row>
        <row r="2920">
          <cell r="B2920">
            <v>2002</v>
          </cell>
          <cell r="C2920">
            <v>76</v>
          </cell>
          <cell r="D2920" t="str">
            <v>David Carr</v>
          </cell>
          <cell r="F2920">
            <v>233</v>
          </cell>
          <cell r="G2920">
            <v>444</v>
          </cell>
          <cell r="H2920">
            <v>52.5</v>
          </cell>
          <cell r="I2920">
            <v>9</v>
          </cell>
          <cell r="J2920">
            <v>15</v>
          </cell>
          <cell r="K2920">
            <v>76</v>
          </cell>
          <cell r="L2920">
            <v>59</v>
          </cell>
          <cell r="M2920">
            <v>282</v>
          </cell>
          <cell r="N2920">
            <v>3</v>
          </cell>
          <cell r="O2920">
            <v>7</v>
          </cell>
          <cell r="P2920">
            <v>0</v>
          </cell>
          <cell r="Q2920">
            <v>16</v>
          </cell>
        </row>
        <row r="2922">
          <cell r="B2922">
            <v>2002</v>
          </cell>
          <cell r="C2922">
            <v>78</v>
          </cell>
          <cell r="D2922" t="str">
            <v>Drew Brees</v>
          </cell>
          <cell r="F2922">
            <v>320</v>
          </cell>
          <cell r="G2922">
            <v>526</v>
          </cell>
          <cell r="H2922">
            <v>60.8</v>
          </cell>
          <cell r="I2922">
            <v>17</v>
          </cell>
          <cell r="J2922">
            <v>16</v>
          </cell>
          <cell r="K2922">
            <v>24</v>
          </cell>
          <cell r="L2922">
            <v>38</v>
          </cell>
          <cell r="M2922">
            <v>130</v>
          </cell>
          <cell r="N2922">
            <v>1</v>
          </cell>
          <cell r="O2922">
            <v>0</v>
          </cell>
          <cell r="P2922">
            <v>0</v>
          </cell>
          <cell r="Q2922">
            <v>16</v>
          </cell>
        </row>
        <row r="2928">
          <cell r="B2928">
            <v>2002</v>
          </cell>
          <cell r="C2928">
            <v>84</v>
          </cell>
          <cell r="D2928" t="str">
            <v>Michael Vick</v>
          </cell>
          <cell r="F2928">
            <v>231</v>
          </cell>
          <cell r="G2928">
            <v>421</v>
          </cell>
          <cell r="H2928">
            <v>54.9</v>
          </cell>
          <cell r="I2928">
            <v>16</v>
          </cell>
          <cell r="J2928">
            <v>8</v>
          </cell>
          <cell r="K2928">
            <v>33</v>
          </cell>
          <cell r="L2928">
            <v>113</v>
          </cell>
          <cell r="M2928">
            <v>777</v>
          </cell>
          <cell r="N2928">
            <v>8</v>
          </cell>
          <cell r="O2928">
            <v>6</v>
          </cell>
          <cell r="P2928">
            <v>0</v>
          </cell>
          <cell r="Q2928">
            <v>15</v>
          </cell>
        </row>
        <row r="2929">
          <cell r="B2929">
            <v>2002</v>
          </cell>
          <cell r="C2929">
            <v>85</v>
          </cell>
          <cell r="D2929" t="str">
            <v>Peyton Manning</v>
          </cell>
          <cell r="F2929">
            <v>392</v>
          </cell>
          <cell r="G2929">
            <v>591</v>
          </cell>
          <cell r="H2929">
            <v>66.3</v>
          </cell>
          <cell r="I2929">
            <v>27</v>
          </cell>
          <cell r="J2929">
            <v>19</v>
          </cell>
          <cell r="K2929">
            <v>23</v>
          </cell>
          <cell r="L2929">
            <v>38</v>
          </cell>
          <cell r="M2929">
            <v>148</v>
          </cell>
          <cell r="N2929">
            <v>2</v>
          </cell>
          <cell r="O2929">
            <v>2</v>
          </cell>
          <cell r="P2929">
            <v>0</v>
          </cell>
          <cell r="Q2929">
            <v>16</v>
          </cell>
        </row>
        <row r="2935">
          <cell r="B2935">
            <v>2002</v>
          </cell>
          <cell r="C2935">
            <v>91</v>
          </cell>
          <cell r="D2935" t="str">
            <v>Matt Hasselbeck</v>
          </cell>
          <cell r="F2935">
            <v>267</v>
          </cell>
          <cell r="G2935">
            <v>419</v>
          </cell>
          <cell r="H2935">
            <v>63.7</v>
          </cell>
          <cell r="I2935">
            <v>15</v>
          </cell>
          <cell r="J2935">
            <v>10</v>
          </cell>
          <cell r="K2935">
            <v>26</v>
          </cell>
          <cell r="L2935">
            <v>40</v>
          </cell>
          <cell r="M2935">
            <v>202</v>
          </cell>
          <cell r="N2935">
            <v>1</v>
          </cell>
          <cell r="O2935">
            <v>4</v>
          </cell>
          <cell r="P2935">
            <v>0</v>
          </cell>
          <cell r="Q2935">
            <v>13</v>
          </cell>
        </row>
        <row r="2969">
          <cell r="B2969">
            <v>2002</v>
          </cell>
          <cell r="C2969">
            <v>125</v>
          </cell>
          <cell r="D2969" t="str">
            <v>Josh McCown</v>
          </cell>
          <cell r="F2969">
            <v>7</v>
          </cell>
          <cell r="G2969">
            <v>18</v>
          </cell>
          <cell r="H2969">
            <v>38.9</v>
          </cell>
          <cell r="I2969">
            <v>0</v>
          </cell>
          <cell r="J2969">
            <v>2</v>
          </cell>
          <cell r="K2969">
            <v>5</v>
          </cell>
          <cell r="L2969">
            <v>1</v>
          </cell>
          <cell r="M2969">
            <v>20</v>
          </cell>
          <cell r="N2969">
            <v>0</v>
          </cell>
          <cell r="O2969">
            <v>1</v>
          </cell>
          <cell r="P2969">
            <v>-1.4</v>
          </cell>
          <cell r="Q2969">
            <v>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12.591749421299" createdVersion="8" refreshedVersion="8" minRefreshableVersion="3" recordCount="96" xr:uid="{C7DA443B-A8DB-488E-B56A-0E46120A3317}">
  <cacheSource type="worksheet">
    <worksheetSource ref="A2:AN98" sheet="All Data"/>
  </cacheSource>
  <cacheFields count="40">
    <cacheField name="Draft Year" numFmtId="0">
      <sharedItems containsSemiMixedTypes="0" containsString="0" containsNumber="1" containsInteger="1" minValue="2015" maxValue="2019"/>
    </cacheField>
    <cacheField name="Draft Round" numFmtId="0">
      <sharedItems containsSemiMixedTypes="0" containsString="0" containsNumber="1" containsInteger="1" minValue="1" maxValue="8"/>
    </cacheField>
    <cacheField name="Pos" numFmtId="0">
      <sharedItems/>
    </cacheField>
    <cacheField name="Player Name" numFmtId="0">
      <sharedItems/>
    </cacheField>
    <cacheField name="LZ Grade" numFmtId="0">
      <sharedItems containsString="0" containsBlank="1" containsNumber="1" minValue="5.0999999999999996" maxValue="7.1"/>
    </cacheField>
    <cacheField name="LZ Explanation" numFmtId="0">
      <sharedItems/>
    </cacheField>
    <cacheField name="Year 1 G" numFmtId="0">
      <sharedItems containsSemiMixedTypes="0" containsString="0" containsNumber="1" containsInteger="1" minValue="0" maxValue="16"/>
    </cacheField>
    <cacheField name="Year 1 FPTs" numFmtId="0">
      <sharedItems containsSemiMixedTypes="0" containsString="0" containsNumber="1" minValue="-2.2000000000000002" maxValue="297.3"/>
    </cacheField>
    <cacheField name="Year 2 G" numFmtId="0">
      <sharedItems containsSemiMixedTypes="0" containsString="0" containsNumber="1" containsInteger="1" minValue="0" maxValue="16"/>
    </cacheField>
    <cacheField name="Year 2 FPTs" numFmtId="0">
      <sharedItems containsSemiMixedTypes="0" containsString="0" containsNumber="1" minValue="-1.5" maxValue="421.7"/>
    </cacheField>
    <cacheField name="Year 3 G" numFmtId="0">
      <sharedItems containsSemiMixedTypes="0" containsString="0" containsNumber="1" containsInteger="1" minValue="0" maxValue="16"/>
    </cacheField>
    <cacheField name="Year 3 FPTs" numFmtId="0">
      <sharedItems containsSemiMixedTypes="0" containsString="0" containsNumber="1" minValue="-0.6" maxValue="405.7"/>
    </cacheField>
    <cacheField name="Total G" numFmtId="0">
      <sharedItems containsSemiMixedTypes="0" containsString="0" containsNumber="1" containsInteger="1" minValue="0" maxValue="48"/>
    </cacheField>
    <cacheField name="Total FPTs" numFmtId="0">
      <sharedItems containsSemiMixedTypes="0" containsString="0" containsNumber="1" minValue="-2.2000000000000002" maxValue="998.5"/>
    </cacheField>
    <cacheField name="FPTS/G" numFmtId="2">
      <sharedItems containsSemiMixedTypes="0" containsString="0" containsNumber="1" minValue="-1.1000000000000001" maxValue="23.203225806451613"/>
    </cacheField>
    <cacheField name="Tier" numFmtId="0">
      <sharedItems containsSemiMixedTypes="0" containsString="0" containsNumber="1" containsInteger="1" minValue="1" maxValue="10"/>
    </cacheField>
    <cacheField name="College BF Dominator" numFmtId="10">
      <sharedItems containsSemiMixedTypes="0" containsString="0" containsNumber="1" minValue="-0.1777456647398844" maxValue="0.48287951384831135"/>
    </cacheField>
    <cacheField name="College PTDR" numFmtId="2">
      <sharedItems containsSemiMixedTypes="0" containsString="0" containsNumber="1" minValue="2.8907922912205567E-2" maxValue="0.10843373493975904"/>
    </cacheField>
    <cacheField name="College Passer Rating" numFmtId="0">
      <sharedItems containsSemiMixedTypes="0" containsString="0" containsNumber="1" minValue="116.6" maxValue="181.3" count="91">
        <n v="152"/>
        <n v="157.5"/>
        <n v="181.3"/>
        <n v="137.69999999999999"/>
        <n v="142.9"/>
        <n v="153.9"/>
        <n v="163.30000000000001"/>
        <n v="144"/>
        <n v="171.8"/>
        <n v="175.4"/>
        <n v="122.9"/>
        <n v="157.6"/>
        <n v="153.69999999999999"/>
        <n v="174"/>
        <n v="137"/>
        <n v="140.1"/>
        <n v="138.80000000000001"/>
        <n v="147.69999999999999"/>
        <n v="121.4"/>
        <n v="129.80000000000001"/>
        <n v="131.30000000000001"/>
        <n v="159.69999999999999"/>
        <n v="156.4"/>
        <n v="165.2"/>
        <n v="135.80000000000001"/>
        <n v="145.30000000000001"/>
        <n v="137.1"/>
        <n v="146"/>
        <n v="139.80000000000001"/>
        <n v="138.4"/>
        <n v="166"/>
        <n v="151.4"/>
        <n v="147.4"/>
        <n v="133.19999999999999"/>
        <n v="151.42043551088778"/>
        <n v="150.80000000000001"/>
        <n v="154.6"/>
        <n v="144.9"/>
        <n v="159.45020408163268"/>
        <n v="118.1"/>
        <n v="138.69999999999999"/>
        <n v="134.1"/>
        <n v="144.1"/>
        <n v="142.80000000000001"/>
        <n v="144.5"/>
        <n v="134.80000000000001"/>
        <n v="146.19999999999999"/>
        <n v="117.1"/>
        <n v="116.6"/>
        <n v="162.9"/>
        <n v="129.6"/>
        <n v="161"/>
        <n v="150.9"/>
        <n v="137.80000000000001"/>
        <n v="149.30000000000001"/>
        <n v="143.19999999999999"/>
        <n v="141.80000000000001"/>
        <n v="139.1"/>
        <n v="122.5"/>
        <n v="135"/>
        <n v="152.30000000000001"/>
        <n v="151.00073367571534"/>
        <n v="140.46728971962617"/>
        <n v="121.2"/>
        <n v="156.80000000000001"/>
        <n v="124.2"/>
        <n v="129.30000000000001"/>
        <n v="139.5"/>
        <n v="129.9"/>
        <n v="119.6"/>
        <n v="141.77434908389586"/>
        <n v="130.88454935622318"/>
        <n v="157.1"/>
        <n v="126.5"/>
        <n v="155.19999999999999"/>
        <n v="144.6"/>
        <n v="141.5"/>
        <n v="156.59654714475434"/>
        <n v="150.5"/>
        <n v="148.69999999999999"/>
        <n v="143.9"/>
        <n v="140.9"/>
        <n v="155.9331325301205"/>
        <n v="133.9"/>
        <n v="141.6"/>
        <n v="153.19999999999999"/>
        <n v="161.39086294416245"/>
        <n v="122.4"/>
        <n v="121.7"/>
        <n v="128.19999999999999"/>
        <n v="132.19999999999999"/>
      </sharedItems>
    </cacheField>
    <cacheField name="PTD:INT" numFmtId="2">
      <sharedItems containsSemiMixedTypes="0" containsString="0" containsNumber="1" minValue="1.125" maxValue="7.5"/>
    </cacheField>
    <cacheField name="Patt:Ratt" numFmtId="2">
      <sharedItems containsSemiMixedTypes="0" containsString="0" containsNumber="1" minValue="1.3387096774193548" maxValue="26.03921568627451"/>
    </cacheField>
    <cacheField name="Y/A" numFmtId="0">
      <sharedItems containsSemiMixedTypes="0" containsString="0" containsNumber="1" minValue="6.3" maxValue="10.4"/>
    </cacheField>
    <cacheField name="AY/A" numFmtId="0">
      <sharedItems containsSemiMixedTypes="0" containsString="0" containsNumber="1" minValue="5.8" maxValue="11.1" count="50">
        <n v="8.8000000000000007"/>
        <n v="8.6999999999999993"/>
        <n v="11.1"/>
        <n v="7.7"/>
        <n v="8.5"/>
        <n v="9.4"/>
        <n v="8.1"/>
        <n v="10.5"/>
        <n v="10.6"/>
        <n v="6.2"/>
        <n v="9"/>
        <n v="10.3"/>
        <n v="7.5"/>
        <n v="8"/>
        <n v="6.5"/>
        <n v="7"/>
        <n v="7.1"/>
        <n v="9.9"/>
        <n v="8.9"/>
        <n v="9.6999999999999993"/>
        <n v="8.3000000000000007"/>
        <n v="7.3"/>
        <n v="8.1999999999999993"/>
        <n v="7.6"/>
        <n v="8.6"/>
        <n v="6.9"/>
        <n v="8.6683417085427141"/>
        <n v="9.380612244897959"/>
        <n v="5.9"/>
        <n v="7.4"/>
        <n v="7.2"/>
        <n v="5.8"/>
        <n v="9.6"/>
        <n v="9.1"/>
        <n v="6.3"/>
        <n v="8.4"/>
        <n v="8.8664710198092447"/>
        <n v="7.5337487019730007"/>
        <n v="6.4"/>
        <n v="6.6"/>
        <n v="8.056894889103182"/>
        <n v="6.6856223175965663"/>
        <n v="6.8963028169014091"/>
        <n v="7.8"/>
        <n v="9.4063745019920315"/>
        <n v="9.3471385542168655"/>
        <n v="9.3000000000000007"/>
        <n v="7.9"/>
        <n v="6.7"/>
        <n v="9.3045685279187822"/>
      </sharedItems>
    </cacheField>
    <cacheField name="Sack Rate" numFmtId="10">
      <sharedItems containsSemiMixedTypes="0" containsString="0" containsNumber="1" minValue="0" maxValue="9.3103448275862075E-2"/>
    </cacheField>
    <cacheField name="40 Yd Dash" numFmtId="0">
      <sharedItems containsSemiMixedTypes="0" containsString="0" containsNumber="1" minValue="4.3099999999999996" maxValue="5.22"/>
    </cacheField>
    <cacheField name="Hand Size" numFmtId="0">
      <sharedItems containsSemiMixedTypes="0" containsString="0" containsNumber="1" minValue="8.375" maxValue="11.125"/>
    </cacheField>
    <cacheField name="Height" numFmtId="0">
      <sharedItems/>
    </cacheField>
    <cacheField name="Weight" numFmtId="0">
      <sharedItems containsSemiMixedTypes="0" containsString="0" containsNumber="1" containsInteger="1" minValue="187" maxValue="253"/>
    </cacheField>
    <cacheField name="BMI" numFmtId="0">
      <sharedItems containsSemiMixedTypes="0" containsString="0" containsNumber="1" minValue="24.7" maxValue="31.3"/>
    </cacheField>
    <cacheField name="LZ Score" numFmtId="0">
      <sharedItems containsSemiMixedTypes="0" containsString="0" containsNumber="1" containsInteger="1" minValue="0" maxValue="10"/>
    </cacheField>
    <cacheField name="Draft Score" numFmtId="0">
      <sharedItems containsSemiMixedTypes="0" containsString="0" containsNumber="1" containsInteger="1" minValue="0" maxValue="10"/>
    </cacheField>
    <cacheField name="BF Dom Score" numFmtId="0">
      <sharedItems containsSemiMixedTypes="0" containsString="0" containsNumber="1" containsInteger="1" minValue="0" maxValue="10"/>
    </cacheField>
    <cacheField name="PTDR Score" numFmtId="0">
      <sharedItems containsSemiMixedTypes="0" containsString="0" containsNumber="1" containsInteger="1" minValue="0" maxValue="10"/>
    </cacheField>
    <cacheField name="Passer Rate Score" numFmtId="0">
      <sharedItems containsSemiMixedTypes="0" containsString="0" containsNumber="1" containsInteger="1" minValue="1" maxValue="10"/>
    </cacheField>
    <cacheField name="PTD:INT Score" numFmtId="0">
      <sharedItems containsSemiMixedTypes="0" containsString="0" containsNumber="1" containsInteger="1" minValue="1" maxValue="10"/>
    </cacheField>
    <cacheField name="Patt:Ratt Score" numFmtId="0">
      <sharedItems containsSemiMixedTypes="0" containsString="0" containsNumber="1" containsInteger="1" minValue="0" maxValue="10"/>
    </cacheField>
    <cacheField name="Y/A Score" numFmtId="0">
      <sharedItems containsSemiMixedTypes="0" containsString="0" containsNumber="1" containsInteger="1" minValue="0" maxValue="10"/>
    </cacheField>
    <cacheField name="AY/A Score" numFmtId="0">
      <sharedItems containsSemiMixedTypes="0" containsString="0" containsNumber="1" containsInteger="1" minValue="1" maxValue="10"/>
    </cacheField>
    <cacheField name="40yd Score" numFmtId="0">
      <sharedItems containsSemiMixedTypes="0" containsString="0" containsNumber="1" containsInteger="1" minValue="0" maxValue="10"/>
    </cacheField>
    <cacheField name="Hand Size 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017"/>
    <n v="1"/>
    <s v="QB"/>
    <s v="Patrick Mahomes II"/>
    <n v="6.3"/>
    <s v="Will eventually be plus starter"/>
    <n v="1"/>
    <n v="10.4"/>
    <n v="16"/>
    <n v="417"/>
    <n v="14"/>
    <n v="291.89999999999998"/>
    <n v="31"/>
    <n v="719.3"/>
    <n v="23.203225806451613"/>
    <n v="1"/>
    <n v="0.15181458857348185"/>
    <n v="6.8939955522609342E-2"/>
    <x v="0"/>
    <n v="3.2068965517241379"/>
    <n v="4.3798701298701301"/>
    <n v="8.3000000000000007"/>
    <x v="0"/>
    <n v="3.6813518406759206E-2"/>
    <n v="4.8"/>
    <n v="9.25"/>
    <s v="6'2&quot;"/>
    <n v="225"/>
    <n v="28.9"/>
    <n v="6"/>
    <n v="10"/>
    <n v="7"/>
    <n v="8"/>
    <n v="7"/>
    <n v="9"/>
    <n v="8"/>
    <n v="7"/>
    <n v="7"/>
    <n v="9"/>
    <n v="7"/>
  </r>
  <r>
    <n v="2017"/>
    <n v="1"/>
    <s v="QB"/>
    <s v="Deshaun Watson"/>
    <n v="6.8"/>
    <s v="Year 1 Starter"/>
    <n v="7"/>
    <n v="168.8"/>
    <n v="16"/>
    <n v="331.9"/>
    <n v="15"/>
    <n v="332.5"/>
    <n v="38"/>
    <n v="833.2"/>
    <n v="21.926315789473687"/>
    <n v="1"/>
    <n v="0.24810776138550353"/>
    <n v="7.4565037282518648E-2"/>
    <x v="1"/>
    <n v="2.8125"/>
    <n v="2.7747126436781611"/>
    <n v="8.4"/>
    <x v="1"/>
    <n v="2.4360535931790498E-2"/>
    <n v="4.66"/>
    <n v="9.75"/>
    <s v="6'2&quot;"/>
    <n v="221"/>
    <n v="28.4"/>
    <n v="9"/>
    <n v="10"/>
    <n v="9"/>
    <n v="8"/>
    <n v="8"/>
    <n v="8"/>
    <n v="10"/>
    <n v="7"/>
    <n v="7"/>
    <n v="10"/>
    <n v="9"/>
  </r>
  <r>
    <n v="2019"/>
    <n v="1"/>
    <s v="QB"/>
    <s v="Kyler Murray"/>
    <n v="6.8"/>
    <s v="Year 1 Starter"/>
    <n v="16"/>
    <n v="297.3"/>
    <n v="16"/>
    <n v="390.7"/>
    <n v="14"/>
    <n v="310.5"/>
    <n v="46"/>
    <n v="998.5"/>
    <n v="21.706521739130434"/>
    <n v="1"/>
    <n v="0.16967053151188152"/>
    <n v="9.6339113680154145E-2"/>
    <x v="2"/>
    <n v="3.5714285714285716"/>
    <n v="2.5072463768115942"/>
    <n v="10.4"/>
    <x v="2"/>
    <n v="3.5812672176308541E-2"/>
    <n v="4.3099999999999996"/>
    <n v="9.5"/>
    <s v="5'10&quot;"/>
    <n v="207"/>
    <n v="29.7"/>
    <n v="9"/>
    <n v="10"/>
    <n v="7"/>
    <n v="10"/>
    <n v="10"/>
    <n v="9"/>
    <n v="10"/>
    <n v="10"/>
    <n v="10"/>
    <n v="10"/>
    <n v="8"/>
  </r>
  <r>
    <n v="2018"/>
    <n v="1"/>
    <s v="QB"/>
    <s v="Josh Allen"/>
    <n v="6.4"/>
    <s v="Will become good starter within two years"/>
    <n v="12"/>
    <n v="208.1"/>
    <n v="16"/>
    <n v="297.5"/>
    <n v="16"/>
    <n v="405.7"/>
    <n v="44"/>
    <n v="911.3"/>
    <n v="20.711363636363636"/>
    <n v="2"/>
    <n v="0.12059748427672956"/>
    <n v="6.7796610169491525E-2"/>
    <x v="3"/>
    <n v="2.0952380952380953"/>
    <n v="2.7383966244725739"/>
    <n v="7.8"/>
    <x v="3"/>
    <n v="5.5304740406320545E-2"/>
    <n v="4.75"/>
    <n v="10.125"/>
    <s v="6'5&quot;"/>
    <n v="237"/>
    <n v="28.1"/>
    <n v="7"/>
    <n v="10"/>
    <n v="6"/>
    <n v="7"/>
    <n v="4"/>
    <n v="6"/>
    <n v="10"/>
    <n v="5"/>
    <n v="5"/>
    <n v="10"/>
    <n v="10"/>
  </r>
  <r>
    <n v="2018"/>
    <n v="1"/>
    <s v="QB"/>
    <s v="Lamar Jackson"/>
    <n v="6.4"/>
    <s v="Will become good starter within two years"/>
    <n v="16"/>
    <n v="157.80000000000001"/>
    <n v="15"/>
    <n v="421.7"/>
    <n v="15"/>
    <n v="341.7"/>
    <n v="46"/>
    <n v="921.2"/>
    <n v="20.026086956521741"/>
    <n v="2"/>
    <n v="0.48287951384831135"/>
    <n v="6.3535911602209949E-2"/>
    <x v="4"/>
    <n v="2.5555555555555554"/>
    <n v="1.6580152671755726"/>
    <n v="8.3000000000000007"/>
    <x v="4"/>
    <n v="5.8012636415852956E-2"/>
    <n v="4.34"/>
    <n v="9.5"/>
    <s v="6'2&quot;"/>
    <n v="216"/>
    <n v="27.7"/>
    <n v="7"/>
    <n v="10"/>
    <n v="10"/>
    <n v="7"/>
    <n v="5"/>
    <n v="7"/>
    <n v="10"/>
    <n v="7"/>
    <n v="7"/>
    <n v="10"/>
    <n v="8"/>
  </r>
  <r>
    <n v="2016"/>
    <n v="1"/>
    <s v="QB"/>
    <s v="Carson Wentz"/>
    <n v="6.7"/>
    <s v="Year 1 Starter"/>
    <n v="16"/>
    <n v="213.5"/>
    <n v="13"/>
    <n v="283.7"/>
    <n v="11"/>
    <n v="192.9"/>
    <n v="40"/>
    <n v="690.1"/>
    <n v="17.252500000000001"/>
    <n v="3"/>
    <n v="7.2256976172067194E-2"/>
    <n v="7.3529411764705885E-2"/>
    <x v="5"/>
    <n v="3.2142857142857144"/>
    <n v="2.8333333333333335"/>
    <n v="8.4"/>
    <x v="0"/>
    <n v="3.6231884057971016E-2"/>
    <n v="4.7699999999999996"/>
    <n v="10"/>
    <s v="6'5&quot;"/>
    <n v="237"/>
    <n v="28.1"/>
    <n v="8"/>
    <n v="10"/>
    <n v="5"/>
    <n v="8"/>
    <n v="7"/>
    <n v="9"/>
    <n v="9"/>
    <n v="7"/>
    <n v="7"/>
    <n v="10"/>
    <n v="9"/>
  </r>
  <r>
    <n v="2015"/>
    <n v="1"/>
    <s v="QB"/>
    <s v="Jameis Winston"/>
    <n v="7"/>
    <s v="Pro Bowl Talent"/>
    <n v="16"/>
    <n v="275.2"/>
    <n v="16"/>
    <n v="256.5"/>
    <n v="13"/>
    <n v="201.8"/>
    <n v="45"/>
    <n v="733.5"/>
    <n v="16.3"/>
    <n v="3"/>
    <n v="5.9451538622566462E-2"/>
    <n v="7.6380728554641591E-2"/>
    <x v="6"/>
    <n v="2.3214285714285716"/>
    <n v="5.8689655172413797"/>
    <n v="9.4"/>
    <x v="5"/>
    <n v="4.4176706827309238E-2"/>
    <n v="4.97"/>
    <n v="9.375"/>
    <s v="6'4&quot;"/>
    <n v="231"/>
    <n v="28.1"/>
    <n v="10"/>
    <n v="10"/>
    <n v="5"/>
    <n v="9"/>
    <n v="9"/>
    <n v="6"/>
    <n v="7"/>
    <n v="10"/>
    <n v="9"/>
    <n v="5"/>
    <n v="7"/>
  </r>
  <r>
    <n v="2016"/>
    <n v="1"/>
    <s v="QB"/>
    <s v="Jared Goff"/>
    <n v="7"/>
    <s v="Pro Bowl Talent"/>
    <n v="7"/>
    <n v="53.2"/>
    <n v="15"/>
    <n v="255.5"/>
    <n v="16"/>
    <n v="310.3"/>
    <n v="38"/>
    <n v="619"/>
    <n v="16.289473684210527"/>
    <n v="3"/>
    <n v="-2.1868405908306156E-2"/>
    <n v="6.1224489795918366E-2"/>
    <x v="7"/>
    <n v="3.2"/>
    <n v="9.2235294117647051"/>
    <n v="7.8"/>
    <x v="6"/>
    <n v="4.8331415420023012E-2"/>
    <n v="4.82"/>
    <n v="9"/>
    <s v="6'4&quot;"/>
    <n v="215"/>
    <n v="26.2"/>
    <n v="10"/>
    <n v="10"/>
    <n v="3"/>
    <n v="7"/>
    <n v="5"/>
    <n v="8"/>
    <n v="5"/>
    <n v="5"/>
    <n v="6"/>
    <n v="8"/>
    <n v="6"/>
  </r>
  <r>
    <n v="2015"/>
    <n v="1"/>
    <s v="QB"/>
    <s v="Marcus Mariota"/>
    <n v="6.8"/>
    <s v="Year 1 Starter"/>
    <n v="12"/>
    <n v="210.6"/>
    <n v="15"/>
    <n v="260.7"/>
    <n v="15"/>
    <n v="210.4"/>
    <n v="42"/>
    <n v="681.69999999999993"/>
    <n v="16.230952380952381"/>
    <n v="3"/>
    <n v="0.20023272466881489"/>
    <n v="8.9974293059125965E-2"/>
    <x v="8"/>
    <n v="7.5"/>
    <n v="3.4629080118694362"/>
    <n v="9.3000000000000007"/>
    <x v="7"/>
    <n v="4.3882978723404256E-2"/>
    <n v="4.5199999999999996"/>
    <n v="9.875"/>
    <s v="6'4&quot;"/>
    <n v="222"/>
    <n v="27"/>
    <n v="9"/>
    <n v="10"/>
    <n v="8"/>
    <n v="10"/>
    <n v="10"/>
    <n v="10"/>
    <n v="9"/>
    <n v="10"/>
    <n v="10"/>
    <n v="10"/>
    <n v="9"/>
  </r>
  <r>
    <n v="2018"/>
    <n v="1"/>
    <s v="QB"/>
    <s v="Baker Mayfield"/>
    <n v="6.7"/>
    <s v="Year 1 Starter"/>
    <n v="14"/>
    <n v="240"/>
    <n v="16"/>
    <n v="250.3"/>
    <n v="16"/>
    <n v="256.3"/>
    <n v="46"/>
    <n v="746.6"/>
    <n v="16.230434782608697"/>
    <n v="3"/>
    <n v="0.10265402843601895"/>
    <n v="8.7508350033400129E-2"/>
    <x v="9"/>
    <n v="4.3666666666666663"/>
    <n v="3.7054455445544554"/>
    <n v="9.8000000000000007"/>
    <x v="8"/>
    <n v="5.6286165176223042E-2"/>
    <n v="4.84"/>
    <n v="9.25"/>
    <s v="6'1&quot;"/>
    <n v="215"/>
    <n v="28.4"/>
    <n v="8"/>
    <n v="10"/>
    <n v="6"/>
    <n v="10"/>
    <n v="10"/>
    <n v="10"/>
    <n v="8"/>
    <n v="10"/>
    <n v="10"/>
    <n v="8"/>
    <n v="7"/>
  </r>
  <r>
    <n v="2019"/>
    <n v="1"/>
    <s v="QB"/>
    <s v="Daniel Jones"/>
    <n v="6.3"/>
    <s v="Will eventually be plus starter"/>
    <n v="13"/>
    <n v="226.9"/>
    <n v="14"/>
    <n v="190.2"/>
    <n v="11"/>
    <n v="174.1"/>
    <n v="38"/>
    <n v="591.20000000000005"/>
    <n v="15.557894736842107"/>
    <n v="4"/>
    <n v="0.3202614379084967"/>
    <n v="4.0784313725490198E-2"/>
    <x v="10"/>
    <n v="1.7931034482758621"/>
    <n v="3.1403940886699506"/>
    <n v="6.4"/>
    <x v="9"/>
    <n v="5.0565139797739439E-2"/>
    <n v="4.8099999999999996"/>
    <n v="9.75"/>
    <s v="6'5&quot;"/>
    <n v="221"/>
    <n v="26.2"/>
    <n v="6"/>
    <n v="10"/>
    <n v="10"/>
    <n v="4"/>
    <n v="2"/>
    <n v="5"/>
    <n v="9"/>
    <n v="0"/>
    <n v="2"/>
    <n v="9"/>
    <n v="9"/>
  </r>
  <r>
    <n v="2017"/>
    <n v="1"/>
    <s v="QB"/>
    <s v="Mitchell Trubisky"/>
    <n v="7"/>
    <s v="Pro Bowl Talent"/>
    <n v="12"/>
    <n v="134.6"/>
    <n v="14"/>
    <n v="262.89999999999998"/>
    <n v="15"/>
    <n v="212.8"/>
    <n v="41"/>
    <n v="610.29999999999995"/>
    <n v="14.885365853658536"/>
    <n v="4"/>
    <n v="6.2615889316787909E-2"/>
    <n v="7.167832167832168E-2"/>
    <x v="11"/>
    <n v="4.0999999999999996"/>
    <n v="4.7666666666666666"/>
    <n v="8.3000000000000007"/>
    <x v="10"/>
    <n v="3.3236994219653176E-2"/>
    <n v="4.67"/>
    <n v="9.5"/>
    <s v="6'2&quot;"/>
    <n v="222"/>
    <n v="28.5"/>
    <n v="10"/>
    <n v="10"/>
    <n v="5"/>
    <n v="8"/>
    <n v="8"/>
    <n v="10"/>
    <n v="7"/>
    <n v="7"/>
    <n v="8"/>
    <n v="10"/>
    <n v="8"/>
  </r>
  <r>
    <n v="2018"/>
    <n v="1"/>
    <s v="QB"/>
    <s v="Sam Darnold"/>
    <n v="7.1"/>
    <s v="Pro Bowl Talent"/>
    <n v="13"/>
    <n v="168.4"/>
    <n v="13"/>
    <n v="202.1"/>
    <n v="12"/>
    <n v="145"/>
    <n v="38"/>
    <n v="515.5"/>
    <n v="13.565789473684211"/>
    <n v="4"/>
    <n v="6.3846153846153844E-2"/>
    <n v="6.7375886524822695E-2"/>
    <x v="12"/>
    <n v="2.5909090909090908"/>
    <n v="6.1751824817518246"/>
    <n v="8.5"/>
    <x v="1"/>
    <n v="3.5605289928789419E-2"/>
    <n v="4.8499999999999996"/>
    <n v="9.375"/>
    <s v="6'3&quot;"/>
    <n v="221"/>
    <n v="27.6"/>
    <n v="10"/>
    <n v="10"/>
    <n v="5"/>
    <n v="7"/>
    <n v="7"/>
    <n v="7"/>
    <n v="6"/>
    <n v="8"/>
    <n v="7"/>
    <n v="8"/>
    <n v="7"/>
  </r>
  <r>
    <n v="2019"/>
    <n v="1"/>
    <s v="QB"/>
    <s v="Dwayne Haskins"/>
    <n v="6.7"/>
    <s v="Year 1 Starter"/>
    <n v="9"/>
    <n v="83.7"/>
    <n v="7"/>
    <n v="75.2"/>
    <n v="0"/>
    <n v="0"/>
    <n v="16"/>
    <n v="158.9"/>
    <n v="9.9312500000000004"/>
    <n v="6"/>
    <n v="3.3430983973806651E-2"/>
    <n v="8.4745762711864403E-2"/>
    <x v="13"/>
    <n v="6.25"/>
    <n v="5.7281553398058254"/>
    <n v="9.1"/>
    <x v="11"/>
    <n v="3.3189033189033192E-2"/>
    <n v="5.04"/>
    <n v="9.625"/>
    <s v="6'3&quot;"/>
    <n v="231"/>
    <n v="28.9"/>
    <n v="8"/>
    <n v="10"/>
    <n v="4"/>
    <n v="10"/>
    <n v="10"/>
    <n v="10"/>
    <n v="7"/>
    <n v="10"/>
    <n v="10"/>
    <n v="3"/>
    <n v="8"/>
  </r>
  <r>
    <n v="2016"/>
    <n v="1"/>
    <s v="QB"/>
    <s v="Paxton Lynch"/>
    <n v="6.8"/>
    <s v="Year 1 Starter"/>
    <n v="3"/>
    <n v="28.4"/>
    <n v="2"/>
    <n v="15.1"/>
    <n v="0"/>
    <n v="0"/>
    <n v="5"/>
    <n v="43.5"/>
    <n v="8.6999999999999993"/>
    <n v="6"/>
    <n v="0.1061987942494976"/>
    <n v="4.8962655601659751E-2"/>
    <x v="14"/>
    <n v="2.5652173913043477"/>
    <n v="4.1840277777777777"/>
    <n v="7.4"/>
    <x v="12"/>
    <n v="3.8178164768921635E-2"/>
    <n v="4.8600000000000003"/>
    <n v="10.25"/>
    <s v="6'7&quot;"/>
    <n v="244"/>
    <n v="27.5"/>
    <n v="9"/>
    <n v="10"/>
    <n v="6"/>
    <n v="5"/>
    <n v="4"/>
    <n v="7"/>
    <n v="8"/>
    <n v="4"/>
    <n v="4"/>
    <n v="7"/>
    <n v="10"/>
  </r>
  <r>
    <n v="2018"/>
    <n v="1"/>
    <s v="QB"/>
    <s v="Josh Rosen"/>
    <n v="6.7"/>
    <s v="Year 1 Starter"/>
    <n v="14"/>
    <n v="113"/>
    <n v="6"/>
    <n v="23"/>
    <n v="0"/>
    <n v="0"/>
    <n v="20"/>
    <n v="136"/>
    <n v="6.8"/>
    <n v="7"/>
    <n v="-3.2130189860212807E-2"/>
    <n v="5.0427350427350429E-2"/>
    <x v="15"/>
    <n v="2.2692307692307692"/>
    <n v="10.73394495412844"/>
    <n v="8"/>
    <x v="13"/>
    <n v="4.2220484753713837E-2"/>
    <n v="4.92"/>
    <n v="9.875"/>
    <s v="6'4&quot;"/>
    <n v="226"/>
    <n v="27.5"/>
    <n v="8"/>
    <n v="10"/>
    <n v="3"/>
    <n v="5"/>
    <n v="5"/>
    <n v="6"/>
    <n v="4"/>
    <n v="6"/>
    <n v="6"/>
    <n v="6"/>
    <n v="9"/>
  </r>
  <r>
    <n v="2019"/>
    <n v="2"/>
    <s v="QB"/>
    <s v="Drew Lock"/>
    <n v="6.4"/>
    <s v="Will become good starter within two years"/>
    <n v="5"/>
    <n v="71.099999999999994"/>
    <n v="13"/>
    <n v="196.4"/>
    <n v="6"/>
    <n v="53.3"/>
    <n v="24"/>
    <n v="320.8"/>
    <n v="13.366666666666667"/>
    <n v="4"/>
    <n v="4.8647445174217964E-2"/>
    <n v="6.374758531873792E-2"/>
    <x v="16"/>
    <n v="2.5384615384615383"/>
    <n v="7.6881188118811883"/>
    <n v="7.9"/>
    <x v="13"/>
    <n v="3.5327635327635325E-2"/>
    <n v="4.6900000000000004"/>
    <n v="9"/>
    <s v="6'4&quot;"/>
    <n v="228"/>
    <n v="27.8"/>
    <n v="7"/>
    <n v="7"/>
    <n v="4"/>
    <n v="7"/>
    <n v="5"/>
    <n v="7"/>
    <n v="5"/>
    <n v="6"/>
    <n v="6"/>
    <n v="10"/>
    <n v="6"/>
  </r>
  <r>
    <n v="2017"/>
    <n v="2"/>
    <s v="QB"/>
    <s v="Deshone Kizer"/>
    <n v="6.3"/>
    <s v="Will eventually be plus starter"/>
    <n v="15"/>
    <n v="175.9"/>
    <n v="3"/>
    <n v="5.4"/>
    <n v="0"/>
    <n v="0"/>
    <n v="18"/>
    <n v="181.3"/>
    <n v="10.072222222222223"/>
    <n v="6"/>
    <n v="0.21399441940330544"/>
    <n v="6.7625899280575538E-2"/>
    <x v="17"/>
    <n v="2.4736842105263159"/>
    <n v="2.6325757575757578"/>
    <n v="8.4"/>
    <x v="4"/>
    <n v="5.0052137643378521E-2"/>
    <n v="4.83"/>
    <n v="9.875"/>
    <s v="6'4&quot;"/>
    <n v="233"/>
    <n v="28.4"/>
    <n v="6"/>
    <n v="7"/>
    <n v="8"/>
    <n v="7"/>
    <n v="6"/>
    <n v="7"/>
    <n v="10"/>
    <n v="7"/>
    <n v="7"/>
    <n v="8"/>
    <n v="9"/>
  </r>
  <r>
    <n v="2016"/>
    <n v="2"/>
    <s v="QB"/>
    <s v="Christian Hackenberg"/>
    <n v="6.1"/>
    <s v="Good backup with the potential to develop into starter"/>
    <n v="0"/>
    <n v="0"/>
    <n v="0"/>
    <n v="0"/>
    <n v="0"/>
    <n v="0"/>
    <n v="0"/>
    <n v="0"/>
    <n v="0"/>
    <n v="10"/>
    <n v="-4.6926507659491953E-2"/>
    <n v="3.8866396761133605E-2"/>
    <x v="18"/>
    <n v="1.5483870967741935"/>
    <n v="5.9375"/>
    <n v="6.8"/>
    <x v="14"/>
    <n v="7.1379071379071374E-2"/>
    <n v="4.78"/>
    <n v="9"/>
    <s v="6'4&quot;"/>
    <n v="223"/>
    <n v="27.1"/>
    <n v="5"/>
    <n v="7"/>
    <n v="2"/>
    <n v="0"/>
    <n v="2"/>
    <n v="4"/>
    <n v="6"/>
    <n v="2"/>
    <n v="2"/>
    <n v="9"/>
    <n v="6"/>
  </r>
  <r>
    <n v="2017"/>
    <n v="3"/>
    <s v="QB"/>
    <s v="C.J. Beathard"/>
    <n v="5.5"/>
    <s v="Priority undrafted free agent"/>
    <n v="7"/>
    <n v="88.8"/>
    <n v="6"/>
    <n v="75"/>
    <n v="1"/>
    <n v="0"/>
    <n v="14"/>
    <n v="163.80000000000001"/>
    <n v="11.700000000000001"/>
    <n v="5"/>
    <n v="4.6443650535888274E-2"/>
    <n v="5.1150895140664961E-2"/>
    <x v="19"/>
    <n v="2.1052631578947367"/>
    <n v="3.4910714285714284"/>
    <n v="7.1"/>
    <x v="15"/>
    <n v="6.3618290258449298E-2"/>
    <n v="4.6500000000000004"/>
    <n v="9.375"/>
    <s v="6'2&quot;"/>
    <n v="219"/>
    <n v="28.1"/>
    <n v="1"/>
    <n v="5"/>
    <n v="4"/>
    <n v="5"/>
    <n v="3"/>
    <n v="6"/>
    <n v="9"/>
    <n v="3"/>
    <n v="3"/>
    <n v="10"/>
    <n v="7"/>
  </r>
  <r>
    <n v="2016"/>
    <n v="3"/>
    <s v="QB"/>
    <s v="Jacoby Brissett"/>
    <n v="6.1"/>
    <s v="Good backup with the potential to develop into starter"/>
    <n v="3"/>
    <n v="28.3"/>
    <n v="16"/>
    <n v="206"/>
    <n v="4"/>
    <n v="-0.6"/>
    <n v="23"/>
    <n v="233.70000000000002"/>
    <n v="10.160869565217393"/>
    <n v="6"/>
    <n v="9.410537297861242E-2"/>
    <n v="5.4827175208581644E-2"/>
    <x v="20"/>
    <n v="3.0666666666666669"/>
    <n v="2.9646643109540638"/>
    <n v="6.8"/>
    <x v="16"/>
    <n v="6.5953654188948302E-2"/>
    <n v="4.9400000000000004"/>
    <n v="9.75"/>
    <s v="6'4&quot;"/>
    <n v="231"/>
    <n v="28.1"/>
    <n v="5"/>
    <n v="5"/>
    <n v="5"/>
    <n v="6"/>
    <n v="3"/>
    <n v="8"/>
    <n v="9"/>
    <n v="2"/>
    <n v="4"/>
    <n v="6"/>
    <n v="9"/>
  </r>
  <r>
    <n v="2018"/>
    <n v="3"/>
    <s v="QB"/>
    <s v="Mason Rudolph"/>
    <n v="6.2"/>
    <s v="Will eventually be average starter"/>
    <n v="0"/>
    <n v="0"/>
    <n v="10"/>
    <n v="117.8"/>
    <n v="5"/>
    <n v="19.3"/>
    <n v="15"/>
    <n v="137.1"/>
    <n v="9.1399999999999988"/>
    <n v="6"/>
    <n v="3.5074533383439811E-3"/>
    <n v="6.3579820317899105E-2"/>
    <x v="21"/>
    <n v="3.5384615384615383"/>
    <n v="6.431111111111111"/>
    <n v="9.4"/>
    <x v="17"/>
    <n v="5.5622009569377989E-2"/>
    <n v="4.9000000000000004"/>
    <n v="9.125"/>
    <s v="6'5&quot;"/>
    <n v="235"/>
    <n v="27.9"/>
    <n v="5"/>
    <n v="5"/>
    <n v="4"/>
    <n v="7"/>
    <n v="8"/>
    <n v="9"/>
    <n v="6"/>
    <n v="10"/>
    <n v="10"/>
    <n v="6"/>
    <n v="7"/>
  </r>
  <r>
    <n v="2016"/>
    <n v="3"/>
    <s v="QB"/>
    <s v="Cody Kessler"/>
    <n v="5.9"/>
    <s v="Average backup or special-teamer"/>
    <n v="9"/>
    <n v="76.900000000000006"/>
    <n v="3"/>
    <n v="2.9"/>
    <n v="6"/>
    <n v="38.6"/>
    <n v="18"/>
    <n v="118.4"/>
    <n v="6.5777777777777784"/>
    <n v="7"/>
    <n v="-4.8164097914777881E-2"/>
    <n v="6.9785884218873911E-2"/>
    <x v="22"/>
    <n v="4.6315789473684212"/>
    <n v="7.981012658227848"/>
    <n v="8.1999999999999993"/>
    <x v="18"/>
    <n v="7.0472163495419307E-2"/>
    <n v="4.8899999999999997"/>
    <n v="10.875"/>
    <s v="6'1&quot;"/>
    <n v="220"/>
    <n v="29"/>
    <n v="4"/>
    <n v="5"/>
    <n v="2"/>
    <n v="8"/>
    <n v="8"/>
    <n v="10"/>
    <n v="5"/>
    <n v="7"/>
    <n v="8"/>
    <n v="7"/>
    <n v="10"/>
  </r>
  <r>
    <n v="2019"/>
    <n v="3"/>
    <s v="QB"/>
    <s v="Will Grier"/>
    <n v="5.9"/>
    <s v="Average backup or special-teamer"/>
    <n v="2"/>
    <n v="5.4"/>
    <n v="0"/>
    <n v="0"/>
    <n v="0"/>
    <n v="0"/>
    <n v="2"/>
    <n v="5.4"/>
    <n v="2.7"/>
    <n v="9"/>
    <n v="2.6139173436948077E-2"/>
    <n v="8.5714285714285715E-2"/>
    <x v="23"/>
    <n v="3.5217391304347827"/>
    <n v="6.4285714285714288"/>
    <n v="9.1"/>
    <x v="19"/>
    <n v="4.6703296703296704E-2"/>
    <n v="4.84"/>
    <n v="9.375"/>
    <s v="6'2&quot;"/>
    <n v="217"/>
    <n v="27.9"/>
    <n v="4"/>
    <n v="5"/>
    <n v="4"/>
    <n v="10"/>
    <n v="9"/>
    <n v="9"/>
    <n v="6"/>
    <n v="10"/>
    <n v="9"/>
    <n v="8"/>
    <n v="7"/>
  </r>
  <r>
    <n v="2015"/>
    <n v="3"/>
    <s v="QB"/>
    <s v="Sean Mannion"/>
    <n v="5.8"/>
    <s v="Average backup or special-teamer"/>
    <n v="1"/>
    <n v="1.2"/>
    <n v="1"/>
    <n v="-1.3"/>
    <n v="5"/>
    <n v="5.3"/>
    <n v="7"/>
    <n v="5.1999999999999993"/>
    <n v="0.74285714285714277"/>
    <n v="10"/>
    <n v="-0.15158371040723981"/>
    <n v="4.5157780195865069E-2"/>
    <x v="24"/>
    <n v="1.537037037037037"/>
    <n v="13.924242424242424"/>
    <n v="7.4"/>
    <x v="15"/>
    <n v="4.9238578680203045E-2"/>
    <n v="5.14"/>
    <n v="9"/>
    <s v="6'6&quot;"/>
    <n v="229"/>
    <n v="26.5"/>
    <n v="3"/>
    <n v="5"/>
    <n v="0"/>
    <n v="4"/>
    <n v="4"/>
    <n v="4"/>
    <n v="3"/>
    <n v="4"/>
    <n v="3"/>
    <n v="1"/>
    <n v="6"/>
  </r>
  <r>
    <n v="2015"/>
    <n v="3"/>
    <s v="QB"/>
    <s v="Garrett Grayson"/>
    <n v="5.9"/>
    <s v="Average backup or special-teamer"/>
    <n v="0"/>
    <n v="0"/>
    <n v="0"/>
    <n v="0"/>
    <n v="0"/>
    <n v="0"/>
    <n v="0"/>
    <n v="0"/>
    <n v="0"/>
    <n v="10"/>
    <n v="3.3388390750353943E-2"/>
    <n v="5.7502246181491468E-2"/>
    <x v="25"/>
    <n v="2.3703703703703702"/>
    <n v="5.25"/>
    <n v="8.3000000000000007"/>
    <x v="20"/>
    <n v="5.5849056603773588E-2"/>
    <n v="4.75"/>
    <n v="10"/>
    <s v="6'2&quot;"/>
    <n v="213"/>
    <n v="27.3"/>
    <n v="4"/>
    <n v="5"/>
    <n v="4"/>
    <n v="6"/>
    <n v="6"/>
    <n v="6"/>
    <n v="7"/>
    <n v="7"/>
    <n v="6"/>
    <n v="10"/>
    <n v="9"/>
  </r>
  <r>
    <n v="2017"/>
    <n v="3"/>
    <s v="QB"/>
    <s v="Davis Webb"/>
    <n v="5.8"/>
    <s v="Average backup or special-teamer"/>
    <n v="0"/>
    <n v="0"/>
    <n v="0"/>
    <n v="0"/>
    <n v="0"/>
    <n v="0"/>
    <n v="0"/>
    <n v="0"/>
    <n v="0"/>
    <n v="10"/>
    <n v="-1.2968486577616392E-2"/>
    <n v="6.0716898317483538E-2"/>
    <x v="26"/>
    <n v="2.4411764705882355"/>
    <n v="17.753246753246753"/>
    <n v="7.2"/>
    <x v="21"/>
    <n v="1.8698060941828253E-2"/>
    <n v="4.79"/>
    <n v="9.25"/>
    <s v="6'5&quot;"/>
    <n v="229"/>
    <n v="27.2"/>
    <n v="3"/>
    <n v="5"/>
    <n v="3"/>
    <n v="6"/>
    <n v="4"/>
    <n v="7"/>
    <n v="0"/>
    <n v="3"/>
    <n v="4"/>
    <n v="9"/>
    <n v="7"/>
  </r>
  <r>
    <n v="2016"/>
    <n v="4"/>
    <s v="QB"/>
    <s v="Dak Prescott"/>
    <n v="5.9"/>
    <s v="Average backup or special-teamer"/>
    <n v="16"/>
    <n v="287.10000000000002"/>
    <n v="16"/>
    <n v="260.8"/>
    <n v="16"/>
    <n v="285.7"/>
    <n v="48"/>
    <n v="833.60000000000014"/>
    <n v="17.366666666666671"/>
    <n v="3"/>
    <n v="0.27289456592336003"/>
    <n v="5.9880239520958084E-2"/>
    <x v="27"/>
    <n v="3.0434782608695654"/>
    <n v="2.1809701492537314"/>
    <n v="8"/>
    <x v="20"/>
    <n v="3.6363636363636362E-2"/>
    <n v="4.79"/>
    <n v="10.875"/>
    <s v="6'2&quot;"/>
    <n v="226"/>
    <n v="29"/>
    <n v="4"/>
    <n v="3"/>
    <n v="9"/>
    <n v="6"/>
    <n v="6"/>
    <n v="8"/>
    <n v="10"/>
    <n v="6"/>
    <n v="6"/>
    <n v="9"/>
    <n v="10"/>
  </r>
  <r>
    <n v="2016"/>
    <n v="4"/>
    <s v="QB"/>
    <s v="Connor Cook"/>
    <n v="6.3"/>
    <s v="Will eventually be plus starter"/>
    <n v="1"/>
    <n v="6"/>
    <n v="0"/>
    <n v="0"/>
    <n v="0"/>
    <n v="0"/>
    <n v="1"/>
    <n v="6"/>
    <n v="6"/>
    <n v="7"/>
    <n v="2.18848167539267E-2"/>
    <n v="6.0683760683760683E-2"/>
    <x v="28"/>
    <n v="3.2272727272727271"/>
    <n v="6.6477272727272725"/>
    <n v="7.9"/>
    <x v="22"/>
    <n v="3.4175334323922731E-2"/>
    <n v="4.79"/>
    <n v="9.75"/>
    <s v="6'4&quot;"/>
    <n v="217"/>
    <n v="26.4"/>
    <n v="6"/>
    <n v="3"/>
    <n v="4"/>
    <n v="6"/>
    <n v="5"/>
    <n v="9"/>
    <n v="6"/>
    <n v="6"/>
    <n v="6"/>
    <n v="9"/>
    <n v="9"/>
  </r>
  <r>
    <n v="2019"/>
    <n v="4"/>
    <s v="QB"/>
    <s v="Ryan Finley"/>
    <n v="6.2"/>
    <s v="Will eventually be average starter"/>
    <n v="3"/>
    <n v="26.7"/>
    <n v="5"/>
    <n v="21.2"/>
    <n v="0"/>
    <n v="0"/>
    <n v="8"/>
    <n v="47.9"/>
    <n v="5.9874999999999998"/>
    <n v="7"/>
    <n v="3.2753150990311238E-2"/>
    <n v="4.3121149897330596E-2"/>
    <x v="29"/>
    <n v="2.1"/>
    <n v="6.8271028037383177"/>
    <n v="7.6"/>
    <x v="23"/>
    <n v="2.746268656716418E-2"/>
    <n v="4.7300000000000004"/>
    <n v="9.5"/>
    <s v="6'4&quot;"/>
    <n v="213"/>
    <n v="25.9"/>
    <n v="5"/>
    <n v="3"/>
    <n v="4"/>
    <n v="4"/>
    <n v="5"/>
    <n v="6"/>
    <n v="6"/>
    <n v="5"/>
    <n v="5"/>
    <n v="10"/>
    <n v="8"/>
  </r>
  <r>
    <n v="2015"/>
    <n v="4"/>
    <s v="QB"/>
    <s v="Bryce Petty"/>
    <n v="5.8"/>
    <s v="Average backup or special-teamer"/>
    <n v="0"/>
    <n v="0"/>
    <n v="6"/>
    <n v="32.299999999999997"/>
    <n v="4"/>
    <n v="25.4"/>
    <n v="10"/>
    <n v="57.699999999999996"/>
    <n v="5.77"/>
    <n v="7"/>
    <n v="2.7585081204602954E-2"/>
    <n v="7.3372781065088752E-2"/>
    <x v="30"/>
    <n v="6.2"/>
    <n v="4.401041666666667"/>
    <n v="9.6999999999999993"/>
    <x v="8"/>
    <n v="4.0501446480231434E-2"/>
    <n v="4.87"/>
    <n v="10"/>
    <s v="6'3&quot;"/>
    <n v="230"/>
    <n v="28.7"/>
    <n v="3"/>
    <n v="3"/>
    <n v="4"/>
    <n v="8"/>
    <n v="9"/>
    <n v="10"/>
    <n v="8"/>
    <n v="10"/>
    <n v="10"/>
    <n v="7"/>
    <n v="9"/>
  </r>
  <r>
    <n v="2019"/>
    <n v="4"/>
    <s v="QB"/>
    <s v="Jarrett Stidham"/>
    <n v="6.1"/>
    <s v="Good backup with the potential to develop into starter"/>
    <n v="3"/>
    <n v="-0.6"/>
    <n v="5"/>
    <n v="16"/>
    <n v="0"/>
    <n v="0"/>
    <n v="8"/>
    <n v="15.4"/>
    <n v="1.925"/>
    <n v="9"/>
    <n v="2.3628691983122362E-2"/>
    <n v="5.6603773584905662E-2"/>
    <x v="31"/>
    <n v="3.6923076923076925"/>
    <n v="4.0189573459715637"/>
    <n v="8.5"/>
    <x v="10"/>
    <n v="6.3267233238904624E-2"/>
    <n v="4.8099999999999996"/>
    <n v="9.125"/>
    <s v="6'2&quot;"/>
    <n v="218"/>
    <n v="28"/>
    <n v="5"/>
    <n v="3"/>
    <n v="4"/>
    <n v="6"/>
    <n v="7"/>
    <n v="9"/>
    <n v="8"/>
    <n v="8"/>
    <n v="8"/>
    <n v="9"/>
    <n v="7"/>
  </r>
  <r>
    <n v="2016"/>
    <n v="4"/>
    <s v="QB"/>
    <s v="Cardale Jones"/>
    <n v="5.9"/>
    <s v="Average backup or special-teamer"/>
    <n v="1"/>
    <n v="1.7"/>
    <n v="0"/>
    <n v="0"/>
    <n v="0"/>
    <n v="0"/>
    <n v="1"/>
    <n v="1.7"/>
    <n v="1.7"/>
    <n v="9"/>
    <n v="5.3764377831997209E-2"/>
    <n v="5.5762081784386616E-2"/>
    <x v="32"/>
    <n v="2.1428571428571428"/>
    <n v="1.7581699346405228"/>
    <n v="8.6"/>
    <x v="24"/>
    <n v="4.2654028436018961E-2"/>
    <n v="4.8099999999999996"/>
    <n v="9.75"/>
    <s v="6'5&quot;"/>
    <n v="253"/>
    <n v="30"/>
    <n v="4"/>
    <n v="3"/>
    <n v="5"/>
    <n v="6"/>
    <n v="6"/>
    <n v="6"/>
    <n v="10"/>
    <n v="8"/>
    <n v="7"/>
    <n v="9"/>
    <n v="9"/>
  </r>
  <r>
    <n v="2017"/>
    <n v="4"/>
    <s v="QB"/>
    <s v="Joshua Dobbs"/>
    <n v="5.6"/>
    <s v="Candidate for bottom of roster or practice squad"/>
    <n v="0"/>
    <n v="0"/>
    <n v="5"/>
    <n v="0.9"/>
    <n v="1"/>
    <n v="0"/>
    <n v="6"/>
    <n v="0.9"/>
    <n v="0.15"/>
    <n v="10"/>
    <n v="0.22176591375770022"/>
    <n v="5.3053053053053051E-2"/>
    <x v="33"/>
    <n v="1.8275862068965518"/>
    <n v="2.2808219178082192"/>
    <n v="7.1"/>
    <x v="25"/>
    <n v="4.5233124565066112E-2"/>
    <n v="4.6399999999999997"/>
    <n v="9.25"/>
    <s v="6'3&quot;"/>
    <n v="216"/>
    <n v="27"/>
    <n v="2"/>
    <n v="3"/>
    <n v="8"/>
    <n v="5"/>
    <n v="4"/>
    <n v="5"/>
    <n v="10"/>
    <n v="3"/>
    <n v="3"/>
    <n v="10"/>
    <n v="7"/>
  </r>
  <r>
    <n v="2018"/>
    <n v="4"/>
    <s v="QB"/>
    <s v="Kyle Lauletta"/>
    <n v="5.8"/>
    <s v="Average backup or special-teamer"/>
    <n v="2"/>
    <n v="-2.2000000000000002"/>
    <n v="0"/>
    <n v="0"/>
    <n v="0"/>
    <n v="0"/>
    <n v="2"/>
    <n v="-2.2000000000000002"/>
    <n v="-1.1000000000000001"/>
    <n v="10"/>
    <n v="2.8752511980213325E-2"/>
    <n v="6.1139028475711892E-2"/>
    <x v="34"/>
    <n v="2.0857142857142859"/>
    <n v="6.0303030303030303"/>
    <n v="8.7646566164154098"/>
    <x v="26"/>
    <n v="0"/>
    <n v="4.8099999999999996"/>
    <n v="9.75"/>
    <s v="6'3&quot;"/>
    <n v="222"/>
    <n v="27.7"/>
    <n v="3"/>
    <n v="3"/>
    <n v="4"/>
    <n v="6"/>
    <n v="7"/>
    <n v="6"/>
    <n v="6"/>
    <n v="9"/>
    <n v="7"/>
    <n v="9"/>
    <n v="9"/>
  </r>
  <r>
    <n v="2015"/>
    <n v="5"/>
    <s v="QB"/>
    <s v="Brett Hundley"/>
    <n v="6.1"/>
    <s v="Good backup with the potential to develop into starter"/>
    <n v="0"/>
    <n v="0"/>
    <n v="4"/>
    <n v="-1.5"/>
    <n v="11"/>
    <n v="124.1"/>
    <n v="15"/>
    <n v="122.6"/>
    <n v="8.1733333333333338"/>
    <n v="6"/>
    <n v="0.21972078983775625"/>
    <n v="6.0435132957292505E-2"/>
    <x v="35"/>
    <n v="3"/>
    <n v="2.5908141962421714"/>
    <n v="8"/>
    <x v="20"/>
    <n v="7.2674418604651167E-2"/>
    <n v="4.63"/>
    <n v="10.5"/>
    <s v="6'3&quot;"/>
    <n v="226"/>
    <n v="28.2"/>
    <n v="5"/>
    <n v="2"/>
    <n v="8"/>
    <n v="6"/>
    <n v="7"/>
    <n v="8"/>
    <n v="10"/>
    <n v="6"/>
    <n v="6"/>
    <n v="10"/>
    <n v="10"/>
  </r>
  <r>
    <n v="2016"/>
    <n v="5"/>
    <s v="QB"/>
    <s v="Kevin Hogan"/>
    <n v="5.5"/>
    <s v="Priority undrafted free agent"/>
    <n v="4"/>
    <n v="16.7"/>
    <n v="4"/>
    <n v="33.799999999999997"/>
    <n v="0"/>
    <n v="0"/>
    <n v="8"/>
    <n v="50.5"/>
    <n v="6.3125"/>
    <n v="7"/>
    <n v="0.11850094876660341"/>
    <n v="6.7996373526745243E-2"/>
    <x v="36"/>
    <n v="2.5862068965517242"/>
    <n v="3.5015873015873016"/>
    <n v="8.5"/>
    <x v="1"/>
    <n v="4.6544428772919602E-2"/>
    <n v="4.78"/>
    <n v="10.25"/>
    <s v="6'3&quot;"/>
    <n v="218"/>
    <n v="27.2"/>
    <n v="1"/>
    <n v="2"/>
    <n v="6"/>
    <n v="8"/>
    <n v="7"/>
    <n v="7"/>
    <n v="9"/>
    <n v="8"/>
    <n v="7"/>
    <n v="9"/>
    <n v="10"/>
  </r>
  <r>
    <n v="2017"/>
    <n v="5"/>
    <s v="QB"/>
    <s v="Nathan Peterman"/>
    <n v="6.3"/>
    <s v="Will eventually be plus starter"/>
    <n v="4"/>
    <n v="10.4"/>
    <n v="4"/>
    <n v="12.8"/>
    <n v="0"/>
    <n v="0"/>
    <n v="8"/>
    <n v="23.200000000000003"/>
    <n v="2.9000000000000004"/>
    <n v="9"/>
    <n v="5.514705882352941E-2"/>
    <n v="7.0996978851963752E-2"/>
    <x v="37"/>
    <n v="2.7647058823529411"/>
    <n v="3.8488372093023258"/>
    <n v="7.9"/>
    <x v="22"/>
    <n v="4.6762589928057555E-2"/>
    <n v="4.82"/>
    <n v="9.875"/>
    <s v="6'2&quot;"/>
    <n v="226"/>
    <n v="29"/>
    <n v="6"/>
    <n v="2"/>
    <n v="5"/>
    <n v="8"/>
    <n v="6"/>
    <n v="7"/>
    <n v="8"/>
    <n v="6"/>
    <n v="6"/>
    <n v="8"/>
    <n v="9"/>
  </r>
  <r>
    <n v="2019"/>
    <n v="5"/>
    <s v="QB"/>
    <s v="Easton Stick"/>
    <n v="5.4"/>
    <s v="Don't Draft"/>
    <n v="0"/>
    <n v="0"/>
    <n v="1"/>
    <n v="0"/>
    <n v="0"/>
    <n v="0"/>
    <n v="1"/>
    <n v="0"/>
    <n v="0"/>
    <n v="10"/>
    <n v="0.16491273939473169"/>
    <n v="8.9795918367346933E-2"/>
    <x v="38"/>
    <n v="3.1428571428571428"/>
    <n v="2.2950819672131146"/>
    <n v="8.8704081632653065"/>
    <x v="27"/>
    <n v="7.818052594171997E-3"/>
    <n v="4.62"/>
    <n v="9.25"/>
    <s v="6'1&quot;"/>
    <n v="224"/>
    <n v="29.6"/>
    <n v="1"/>
    <n v="2"/>
    <n v="7"/>
    <n v="10"/>
    <n v="8"/>
    <n v="8"/>
    <n v="10"/>
    <n v="9"/>
    <n v="9"/>
    <n v="10"/>
    <n v="7"/>
  </r>
  <r>
    <n v="2019"/>
    <n v="5"/>
    <s v="QB"/>
    <s v="Clayton Thorson"/>
    <n v="5.9"/>
    <s v="Average backup or special-teamer"/>
    <n v="0"/>
    <n v="0"/>
    <n v="0"/>
    <n v="0"/>
    <n v="0"/>
    <n v="0"/>
    <n v="0"/>
    <n v="0"/>
    <n v="0"/>
    <n v="10"/>
    <n v="4.9067949488875523E-2"/>
    <n v="3.5966981132075471E-2"/>
    <x v="39"/>
    <n v="1.3555555555555556"/>
    <n v="4.6850828729281764"/>
    <n v="6.3"/>
    <x v="28"/>
    <n v="6.0738581146744415E-2"/>
    <n v="4.7699999999999996"/>
    <n v="9.75"/>
    <s v="6'4&quot;"/>
    <n v="222"/>
    <n v="27"/>
    <n v="4"/>
    <n v="2"/>
    <n v="5"/>
    <n v="0"/>
    <n v="1"/>
    <n v="3"/>
    <n v="7"/>
    <n v="0"/>
    <n v="1"/>
    <n v="10"/>
    <n v="9"/>
  </r>
  <r>
    <n v="2018"/>
    <n v="5"/>
    <s v="QB"/>
    <s v="Mike White"/>
    <n v="6.1"/>
    <s v="Good backup with the potential to develop into starter"/>
    <n v="0"/>
    <n v="0"/>
    <n v="0"/>
    <n v="0"/>
    <n v="1"/>
    <n v="0"/>
    <n v="1"/>
    <n v="0"/>
    <n v="0"/>
    <n v="10"/>
    <n v="-8.1611390866469874E-2"/>
    <n v="5.3122756640344583E-2"/>
    <x v="4"/>
    <n v="2.3870967741935485"/>
    <n v="10.242647058823529"/>
    <n v="8.1"/>
    <x v="6"/>
    <n v="5.8207979071288427E-2"/>
    <n v="5.09"/>
    <n v="9.5"/>
    <s v="6'5&quot;"/>
    <n v="224"/>
    <n v="26.6"/>
    <n v="5"/>
    <n v="2"/>
    <n v="2"/>
    <n v="5"/>
    <n v="5"/>
    <n v="7"/>
    <n v="4"/>
    <n v="6"/>
    <n v="6"/>
    <n v="2"/>
    <n v="8"/>
  </r>
  <r>
    <n v="2019"/>
    <n v="6"/>
    <s v="QB"/>
    <s v="Gardner Minshew II"/>
    <n v="5.6"/>
    <s v="Candidate for bottom of roster or practice squad"/>
    <n v="14"/>
    <n v="235.3"/>
    <n v="9"/>
    <n v="165"/>
    <n v="3"/>
    <n v="34.6"/>
    <n v="26"/>
    <n v="434.90000000000003"/>
    <n v="16.726923076923079"/>
    <n v="3"/>
    <n v="1.1051143664867643E-2"/>
    <n v="5.3082191780821915E-2"/>
    <x v="40"/>
    <n v="3.1"/>
    <n v="12.166666666666666"/>
    <n v="7.1"/>
    <x v="29"/>
    <n v="2.3734177215189875E-2"/>
    <n v="4.97"/>
    <n v="10.125"/>
    <s v="6'1&quot;"/>
    <n v="225"/>
    <n v="29.7"/>
    <n v="2"/>
    <n v="1"/>
    <n v="4"/>
    <n v="5"/>
    <n v="5"/>
    <n v="8"/>
    <n v="4"/>
    <n v="3"/>
    <n v="4"/>
    <n v="5"/>
    <n v="10"/>
  </r>
  <r>
    <n v="2016"/>
    <n v="6"/>
    <s v="QB"/>
    <s v="Jeff Driskel"/>
    <n v="5.6"/>
    <s v="Candidate for bottom of roster or practice squad"/>
    <n v="0"/>
    <n v="0"/>
    <n v="0"/>
    <n v="0"/>
    <n v="9"/>
    <n v="85.1"/>
    <n v="9"/>
    <n v="85.1"/>
    <n v="9.4555555555555557"/>
    <n v="6"/>
    <n v="9.3686746987951805E-2"/>
    <n v="0.05"/>
    <x v="41"/>
    <n v="1.7857142857142858"/>
    <n v="3.2051282051282053"/>
    <n v="7.4"/>
    <x v="30"/>
    <n v="5.6402439024390245E-2"/>
    <n v="4.5599999999999996"/>
    <n v="9.75"/>
    <s v="6'4&quot;"/>
    <n v="234"/>
    <n v="28.5"/>
    <n v="2"/>
    <n v="1"/>
    <n v="5"/>
    <n v="5"/>
    <n v="4"/>
    <n v="5"/>
    <n v="9"/>
    <n v="4"/>
    <n v="4"/>
    <n v="10"/>
    <n v="9"/>
  </r>
  <r>
    <n v="2016"/>
    <n v="6"/>
    <s v="QB"/>
    <s v="Nate Sudfeld"/>
    <n v="5.8"/>
    <s v="Average backup or special-teamer"/>
    <n v="0"/>
    <n v="0"/>
    <n v="1"/>
    <n v="7.6"/>
    <n v="2"/>
    <n v="4.7"/>
    <n v="3"/>
    <n v="12.3"/>
    <n v="4.1000000000000005"/>
    <n v="8"/>
    <n v="1.3345465574764938E-2"/>
    <n v="6.2054933875890131E-2"/>
    <x v="42"/>
    <n v="3.05"/>
    <n v="7.2814814814814817"/>
    <n v="8"/>
    <x v="20"/>
    <n v="3.3094812164579608E-2"/>
    <n v="5.0199999999999996"/>
    <n v="9.875"/>
    <s v="6'6&quot;"/>
    <n v="234"/>
    <n v="27"/>
    <n v="3"/>
    <n v="1"/>
    <n v="4"/>
    <n v="7"/>
    <n v="5"/>
    <n v="8"/>
    <n v="6"/>
    <n v="6"/>
    <n v="6"/>
    <n v="4"/>
    <n v="9"/>
  </r>
  <r>
    <n v="2018"/>
    <n v="6"/>
    <s v="QB"/>
    <s v="Luke Falk"/>
    <n v="6.1"/>
    <s v="Good backup with the potential to develop into starter"/>
    <n v="0"/>
    <n v="0"/>
    <n v="3"/>
    <n v="11.6"/>
    <n v="0"/>
    <n v="0"/>
    <n v="3"/>
    <n v="11.6"/>
    <n v="3.8666666666666667"/>
    <n v="8"/>
    <n v="-0.10080645161290322"/>
    <n v="5.7935735150925025E-2"/>
    <x v="43"/>
    <n v="3.0512820512820511"/>
    <n v="8.1832669322709162"/>
    <n v="7.1"/>
    <x v="29"/>
    <n v="5.2928416485900215E-2"/>
    <n v="4.87"/>
    <n v="9.25"/>
    <s v="6'4&quot;"/>
    <n v="215"/>
    <n v="26.2"/>
    <n v="5"/>
    <n v="1"/>
    <n v="1"/>
    <n v="6"/>
    <n v="5"/>
    <n v="8"/>
    <n v="5"/>
    <n v="3"/>
    <n v="4"/>
    <n v="7"/>
    <n v="7"/>
  </r>
  <r>
    <n v="2019"/>
    <n v="6"/>
    <s v="QB"/>
    <s v="Trace Mcsorley"/>
    <n v="5.4"/>
    <s v="Don't Draft"/>
    <n v="1"/>
    <n v="0.1"/>
    <n v="2"/>
    <n v="9.3000000000000007"/>
    <n v="1"/>
    <n v="0"/>
    <n v="4"/>
    <n v="9.4"/>
    <n v="2.35"/>
    <n v="9"/>
    <n v="0.19140536882472367"/>
    <n v="6.3374485596707816E-2"/>
    <x v="44"/>
    <n v="3.08"/>
    <n v="2.5687103594080338"/>
    <n v="8.1"/>
    <x v="4"/>
    <n v="4.6208530805687202E-2"/>
    <n v="4.57"/>
    <n v="9.125"/>
    <s v="6'0&quot;"/>
    <n v="202"/>
    <n v="27.4"/>
    <n v="1"/>
    <n v="1"/>
    <n v="8"/>
    <n v="7"/>
    <n v="6"/>
    <n v="8"/>
    <n v="10"/>
    <n v="6"/>
    <n v="7"/>
    <n v="10"/>
    <n v="7"/>
  </r>
  <r>
    <n v="2016"/>
    <n v="6"/>
    <s v="QB"/>
    <s v="Brandon Allen"/>
    <n v="5.9"/>
    <s v="Average backup or special-teamer"/>
    <n v="0"/>
    <n v="0"/>
    <n v="0"/>
    <n v="0"/>
    <n v="1"/>
    <n v="0"/>
    <n v="1"/>
    <n v="0"/>
    <n v="0"/>
    <n v="10"/>
    <n v="1.4581323040634716E-2"/>
    <n v="6.2992125984251968E-2"/>
    <x v="45"/>
    <n v="2.4615384615384617"/>
    <n v="7.5820895522388057"/>
    <n v="7.3"/>
    <x v="12"/>
    <n v="3.2173913043478261E-2"/>
    <n v="4.84"/>
    <n v="8.875"/>
    <s v="6'1&quot;"/>
    <n v="217"/>
    <n v="28.6"/>
    <n v="4"/>
    <n v="1"/>
    <n v="4"/>
    <n v="7"/>
    <n v="4"/>
    <n v="7"/>
    <n v="6"/>
    <n v="4"/>
    <n v="4"/>
    <n v="8"/>
    <n v="0"/>
  </r>
  <r>
    <n v="2017"/>
    <n v="6"/>
    <s v="QB"/>
    <s v="Brad Kaaya"/>
    <n v="6.1"/>
    <s v="Good backup with the potential to develop into starter"/>
    <n v="0"/>
    <n v="0"/>
    <n v="0"/>
    <n v="0"/>
    <n v="0"/>
    <n v="0"/>
    <n v="0"/>
    <n v="0"/>
    <n v="0"/>
    <n v="10"/>
    <n v="-6.5802932151380833E-2"/>
    <n v="5.808080808080808E-2"/>
    <x v="46"/>
    <n v="2.875"/>
    <n v="12.638297872340425"/>
    <n v="8.4"/>
    <x v="24"/>
    <n v="4.7581903276131043E-2"/>
    <n v="4.84"/>
    <n v="9.75"/>
    <s v="6'4&quot;"/>
    <n v="214"/>
    <n v="26"/>
    <n v="5"/>
    <n v="1"/>
    <n v="2"/>
    <n v="6"/>
    <n v="6"/>
    <n v="8"/>
    <n v="3"/>
    <n v="7"/>
    <n v="7"/>
    <n v="8"/>
    <n v="9"/>
  </r>
  <r>
    <n v="2018"/>
    <n v="6"/>
    <s v="QB"/>
    <s v="Tanner Lee"/>
    <n v="5.4"/>
    <s v="Don't Draft"/>
    <n v="0"/>
    <n v="0"/>
    <n v="0"/>
    <n v="0"/>
    <n v="0"/>
    <n v="0"/>
    <n v="0"/>
    <n v="0"/>
    <n v="0"/>
    <n v="10"/>
    <n v="-8.6779661016949158E-2"/>
    <n v="4.4230769230769233E-2"/>
    <x v="47"/>
    <n v="1.2432432432432432"/>
    <n v="11.685393258426966"/>
    <n v="6.5"/>
    <x v="31"/>
    <n v="5.2258635961027457E-2"/>
    <n v="4.9800000000000004"/>
    <n v="10"/>
    <s v="6'4&quot;"/>
    <n v="218"/>
    <n v="26.5"/>
    <n v="1"/>
    <n v="1"/>
    <n v="2"/>
    <n v="4"/>
    <n v="1"/>
    <n v="2"/>
    <n v="4"/>
    <n v="1"/>
    <n v="1"/>
    <n v="5"/>
    <n v="9"/>
  </r>
  <r>
    <n v="2016"/>
    <n v="6"/>
    <s v="QB"/>
    <s v="Jake Rudock"/>
    <n v="5.8"/>
    <s v="Average backup or special-teamer"/>
    <n v="0"/>
    <n v="0"/>
    <n v="3"/>
    <n v="-1"/>
    <n v="0"/>
    <n v="0"/>
    <n v="3"/>
    <n v="-1"/>
    <n v="-0.33333333333333331"/>
    <n v="10"/>
    <n v="8.5158150851581502E-2"/>
    <n v="0.05"/>
    <x v="41"/>
    <n v="2"/>
    <n v="5.625"/>
    <n v="7.3"/>
    <x v="16"/>
    <n v="3.8522012578616351E-2"/>
    <n v="4.93"/>
    <n v="9.75"/>
    <s v="6'3&quot;"/>
    <n v="207"/>
    <n v="25.9"/>
    <n v="3"/>
    <n v="1"/>
    <n v="5"/>
    <n v="5"/>
    <n v="4"/>
    <n v="5"/>
    <n v="7"/>
    <n v="4"/>
    <n v="4"/>
    <n v="6"/>
    <n v="9"/>
  </r>
  <r>
    <n v="2015"/>
    <n v="7"/>
    <s v="QB"/>
    <s v="Trevor Siemian"/>
    <m/>
    <s v="Don't Draft"/>
    <n v="1"/>
    <n v="-0.1"/>
    <n v="14"/>
    <n v="191.6"/>
    <n v="11"/>
    <n v="126.2"/>
    <n v="26"/>
    <n v="317.7"/>
    <n v="12.219230769230769"/>
    <n v="5"/>
    <n v="-2.6118555530320236E-3"/>
    <n v="2.8907922912205567E-2"/>
    <x v="48"/>
    <n v="1.125"/>
    <n v="6.577464788732394"/>
    <n v="6.4"/>
    <x v="31"/>
    <n v="5.2973977695167283E-2"/>
    <n v="4.9400000000000004"/>
    <n v="9.875"/>
    <s v="6'3&quot;"/>
    <n v="210"/>
    <n v="26.2"/>
    <n v="3"/>
    <n v="1"/>
    <n v="3"/>
    <n v="0"/>
    <n v="1"/>
    <n v="1"/>
    <n v="6"/>
    <n v="0"/>
    <n v="1"/>
    <n v="6"/>
    <n v="9"/>
  </r>
  <r>
    <n v="2018"/>
    <n v="7"/>
    <s v="QB"/>
    <s v="Logan Woodside"/>
    <n v="5.4"/>
    <s v="Don't Draft"/>
    <n v="0"/>
    <n v="0"/>
    <n v="0"/>
    <n v="0"/>
    <n v="6"/>
    <n v="1.3"/>
    <n v="6"/>
    <n v="1.3"/>
    <n v="0.21666666666666667"/>
    <n v="10"/>
    <n v="6.2384800793988376E-3"/>
    <n v="7.9759862778730706E-2"/>
    <x v="49"/>
    <n v="3.72"/>
    <n v="7.9863013698630141"/>
    <n v="9"/>
    <x v="32"/>
    <n v="3.4298780487804881E-2"/>
    <n v="4.79"/>
    <n v="9.75"/>
    <s v="6'1&quot;"/>
    <n v="213"/>
    <n v="28.1"/>
    <n v="1"/>
    <n v="1"/>
    <n v="4"/>
    <n v="9"/>
    <n v="9"/>
    <n v="10"/>
    <n v="5"/>
    <n v="9"/>
    <n v="9"/>
    <n v="9"/>
    <n v="9"/>
  </r>
  <r>
    <n v="2018"/>
    <n v="7"/>
    <s v="QB"/>
    <s v="Danny Etling"/>
    <n v="5.0999999999999996"/>
    <s v="Don't Draft"/>
    <n v="0"/>
    <n v="0"/>
    <n v="0"/>
    <n v="0"/>
    <n v="0"/>
    <n v="0"/>
    <n v="0"/>
    <n v="0"/>
    <n v="0"/>
    <n v="10"/>
    <n v="8.551184949914489E-3"/>
    <n v="4.4193216855087356E-2"/>
    <x v="50"/>
    <n v="2.263157894736842"/>
    <n v="4.8407960199004973"/>
    <n v="7.3"/>
    <x v="21"/>
    <n v="7.3253833049403749E-2"/>
    <n v="4.76"/>
    <n v="9.375"/>
    <s v="6'2&quot;"/>
    <n v="222"/>
    <n v="28.5"/>
    <n v="0"/>
    <n v="1"/>
    <n v="4"/>
    <n v="4"/>
    <n v="3"/>
    <n v="6"/>
    <n v="7"/>
    <n v="4"/>
    <n v="4"/>
    <n v="10"/>
    <n v="7"/>
  </r>
  <r>
    <n v="2016"/>
    <n v="7"/>
    <s v="QB"/>
    <s v="Brandon Doughty"/>
    <n v="5.6"/>
    <s v="Candidate for bottom of roster or practice squad"/>
    <n v="0"/>
    <n v="0"/>
    <n v="0"/>
    <n v="0"/>
    <n v="0"/>
    <n v="0"/>
    <n v="0"/>
    <n v="0"/>
    <n v="0"/>
    <n v="10"/>
    <n v="-2.5673362760111701E-2"/>
    <n v="7.4446680080482899E-2"/>
    <x v="51"/>
    <n v="3.2647058823529411"/>
    <n v="14.617647058823529"/>
    <n v="8.6"/>
    <x v="33"/>
    <n v="1.3182674199623353E-2"/>
    <n v="5.22"/>
    <n v="9.25"/>
    <s v="6'3&quot;"/>
    <n v="213"/>
    <n v="26.6"/>
    <n v="2"/>
    <n v="1"/>
    <n v="3"/>
    <n v="8"/>
    <n v="8"/>
    <n v="9"/>
    <n v="3"/>
    <n v="8"/>
    <n v="8"/>
    <n v="0"/>
    <n v="7"/>
  </r>
  <r>
    <n v="2017"/>
    <n v="7"/>
    <s v="QB"/>
    <s v="Chad Kelly"/>
    <n v="5.9"/>
    <s v="Average backup or special-teamer"/>
    <n v="0"/>
    <n v="0"/>
    <n v="1"/>
    <n v="-0.1"/>
    <n v="1"/>
    <n v="0"/>
    <n v="2"/>
    <n v="-0.1"/>
    <n v="-0.05"/>
    <n v="10"/>
    <n v="0.1486884991463604"/>
    <n v="6.2266500622665005E-2"/>
    <x v="52"/>
    <n v="2.3809523809523809"/>
    <n v="3.9556650246305418"/>
    <n v="8.5"/>
    <x v="24"/>
    <n v="3.4791252485089463E-2"/>
    <n v="4.7699999999999996"/>
    <n v="9.125"/>
    <s v="6'2&quot;"/>
    <n v="216"/>
    <n v="27.7"/>
    <n v="4"/>
    <n v="1"/>
    <n v="7"/>
    <n v="7"/>
    <n v="7"/>
    <n v="6"/>
    <n v="8"/>
    <n v="8"/>
    <n v="7"/>
    <n v="10"/>
    <n v="7"/>
  </r>
  <r>
    <n v="2017"/>
    <n v="8"/>
    <s v="QB"/>
    <s v="Nick Mullens"/>
    <n v="5.0999999999999996"/>
    <s v="Don't Draft"/>
    <n v="0"/>
    <n v="0"/>
    <n v="8"/>
    <n v="123.5"/>
    <n v="2"/>
    <n v="-0.3"/>
    <n v="10"/>
    <n v="123.2"/>
    <n v="12.32"/>
    <n v="5"/>
    <n v="-3.0859662013225569E-2"/>
    <n v="5.6274256144890039E-2"/>
    <x v="53"/>
    <n v="1.8913043478260869"/>
    <n v="8.4480874316939882"/>
    <n v="7.8"/>
    <x v="12"/>
    <n v="5.1474840948525162E-2"/>
    <n v="4.9000000000000004"/>
    <n v="9.125"/>
    <s v="6'1&quot;"/>
    <n v="187"/>
    <n v="24.7"/>
    <n v="0"/>
    <n v="0"/>
    <n v="3"/>
    <n v="6"/>
    <n v="4"/>
    <n v="5"/>
    <n v="5"/>
    <n v="5"/>
    <n v="4"/>
    <n v="6"/>
    <n v="7"/>
  </r>
  <r>
    <n v="2019"/>
    <n v="8"/>
    <s v="QB"/>
    <s v="Brett Rypien"/>
    <n v="5.6"/>
    <s v="Candidate for bottom of roster or practice squad"/>
    <n v="0"/>
    <n v="0"/>
    <n v="3"/>
    <n v="15.3"/>
    <n v="1"/>
    <n v="0"/>
    <n v="4"/>
    <n v="15.3"/>
    <n v="3.8250000000000002"/>
    <n v="8"/>
    <n v="-1.1405568601140557E-2"/>
    <n v="5.5658627087198514E-2"/>
    <x v="54"/>
    <n v="3.103448275862069"/>
    <n v="7.6635071090047395"/>
    <n v="8.4"/>
    <x v="1"/>
    <n v="4.9781181619256015E-2"/>
    <n v="4.91"/>
    <n v="9"/>
    <s v="6'2&quot;"/>
    <n v="210"/>
    <n v="27"/>
    <n v="2"/>
    <n v="0"/>
    <n v="3"/>
    <n v="6"/>
    <n v="6"/>
    <n v="8"/>
    <n v="5"/>
    <n v="7"/>
    <n v="7"/>
    <n v="6"/>
    <n v="6"/>
  </r>
  <r>
    <n v="2016"/>
    <n v="8"/>
    <s v="QB"/>
    <s v="Trevone Boykin"/>
    <n v="5.5"/>
    <s v="Priority undrafted free agent"/>
    <n v="5"/>
    <n v="7.9"/>
    <n v="0"/>
    <n v="0"/>
    <n v="0"/>
    <n v="0"/>
    <n v="5"/>
    <n v="7.9"/>
    <n v="1.58"/>
    <n v="9"/>
    <n v="0.23050961862976713"/>
    <n v="6.3468634686346864E-2"/>
    <x v="55"/>
    <n v="2.3243243243243241"/>
    <n v="2.6725838264299804"/>
    <n v="7.9"/>
    <x v="13"/>
    <n v="3.9205155746509131E-2"/>
    <n v="4.7699999999999996"/>
    <n v="9.375"/>
    <s v="6'0&quot;"/>
    <n v="212"/>
    <n v="28.7"/>
    <n v="1"/>
    <n v="0"/>
    <n v="8"/>
    <n v="7"/>
    <n v="5"/>
    <n v="6"/>
    <n v="10"/>
    <n v="6"/>
    <n v="6"/>
    <n v="10"/>
    <n v="7"/>
  </r>
  <r>
    <n v="2015"/>
    <n v="8"/>
    <s v="QB"/>
    <s v="Taylor Heinicke"/>
    <n v="5.6"/>
    <s v="Candidate for bottom of roster or practice squad"/>
    <n v="0"/>
    <n v="0"/>
    <n v="0"/>
    <n v="0"/>
    <n v="1"/>
    <n v="0.6"/>
    <n v="1"/>
    <n v="0.6"/>
    <n v="0.6"/>
    <n v="10"/>
    <n v="0.13133764832793959"/>
    <n v="6.6808059384941679E-2"/>
    <x v="56"/>
    <n v="2.625"/>
    <n v="5.4508670520231215"/>
    <n v="7.6"/>
    <x v="21"/>
    <n v="4.2114695340501794E-2"/>
    <n v="4.67"/>
    <n v="9.25"/>
    <s v="6'1&quot;"/>
    <n v="213"/>
    <n v="28.1"/>
    <n v="2"/>
    <n v="0"/>
    <n v="6"/>
    <n v="7"/>
    <n v="5"/>
    <n v="7"/>
    <n v="7"/>
    <n v="5"/>
    <n v="4"/>
    <n v="10"/>
    <n v="7"/>
  </r>
  <r>
    <n v="2017"/>
    <n v="8"/>
    <s v="QB"/>
    <s v="Cooper Rush"/>
    <n v="5.5"/>
    <s v="Priority undrafted free agent"/>
    <n v="2"/>
    <n v="1.4"/>
    <n v="1"/>
    <n v="0"/>
    <n v="2"/>
    <n v="0"/>
    <n v="5"/>
    <n v="1.4"/>
    <n v="0.27999999999999997"/>
    <n v="10"/>
    <n v="-1.8365758754863813E-2"/>
    <n v="5.461165048543689E-2"/>
    <x v="57"/>
    <n v="1.6363636363636365"/>
    <n v="7.6651162790697676"/>
    <n v="7.8"/>
    <x v="29"/>
    <n v="6.3338701019860444E-2"/>
    <n v="4.93"/>
    <n v="9.125"/>
    <s v="6'3&quot;"/>
    <n v="228"/>
    <n v="28.5"/>
    <n v="1"/>
    <n v="0"/>
    <n v="3"/>
    <n v="6"/>
    <n v="5"/>
    <n v="4"/>
    <n v="5"/>
    <n v="5"/>
    <n v="4"/>
    <n v="6"/>
    <n v="7"/>
  </r>
  <r>
    <n v="2019"/>
    <n v="8"/>
    <s v="QB"/>
    <s v="Nick Fitzgerald"/>
    <n v="5.4"/>
    <s v="Don't Draft"/>
    <n v="0"/>
    <n v="0"/>
    <n v="0"/>
    <n v="0"/>
    <n v="0"/>
    <n v="0"/>
    <n v="0"/>
    <n v="0"/>
    <n v="0"/>
    <n v="10"/>
    <n v="0.32645488279482304"/>
    <n v="5.8386411889596604E-2"/>
    <x v="58"/>
    <n v="1.8333333333333333"/>
    <n v="1.5673876871880199"/>
    <n v="6.6"/>
    <x v="34"/>
    <n v="0"/>
    <n v="4.6399999999999997"/>
    <n v="9.75"/>
    <s v="6'5&quot;"/>
    <n v="226"/>
    <n v="26.8"/>
    <n v="1"/>
    <n v="0"/>
    <n v="10"/>
    <n v="6"/>
    <n v="2"/>
    <n v="5"/>
    <n v="10"/>
    <n v="1"/>
    <n v="2"/>
    <n v="10"/>
    <n v="9"/>
  </r>
  <r>
    <n v="2015"/>
    <n v="8"/>
    <s v="QB"/>
    <s v="Cody Fajardo"/>
    <n v="5.5"/>
    <s v="Priority undrafted free agent"/>
    <n v="0"/>
    <n v="0"/>
    <n v="0"/>
    <n v="0"/>
    <n v="0"/>
    <n v="0"/>
    <n v="0"/>
    <n v="0"/>
    <n v="0"/>
    <n v="10"/>
    <n v="0.30121107266435987"/>
    <n v="4.2284866468842733E-2"/>
    <x v="59"/>
    <n v="1.9655172413793103"/>
    <n v="3.7134986225895319"/>
    <n v="7.2"/>
    <x v="15"/>
    <n v="3.9742840444184691E-2"/>
    <n v="4.63"/>
    <n v="9.5"/>
    <s v="6'1&quot;"/>
    <n v="223"/>
    <n v="29.4"/>
    <n v="1"/>
    <n v="0"/>
    <n v="10"/>
    <n v="4"/>
    <n v="4"/>
    <n v="5"/>
    <n v="8"/>
    <n v="3"/>
    <n v="3"/>
    <n v="10"/>
    <n v="8"/>
  </r>
  <r>
    <n v="2018"/>
    <n v="8"/>
    <s v="QB"/>
    <s v="JT Barrett"/>
    <n v="5.4"/>
    <s v="Don't Draft"/>
    <n v="0"/>
    <n v="0"/>
    <n v="0"/>
    <n v="0"/>
    <n v="0"/>
    <n v="0"/>
    <n v="0"/>
    <n v="0"/>
    <n v="0"/>
    <n v="10"/>
    <n v="0.23734361361652603"/>
    <n v="8.5879438480594553E-2"/>
    <x v="60"/>
    <n v="3.4666666666666668"/>
    <n v="1.8460365853658536"/>
    <n v="7.8"/>
    <x v="35"/>
    <n v="4.0171397964649171E-2"/>
    <n v="4.7"/>
    <n v="9.875"/>
    <s v="6'1&quot;"/>
    <n v="224"/>
    <n v="29.6"/>
    <n v="1"/>
    <n v="0"/>
    <n v="9"/>
    <n v="10"/>
    <n v="7"/>
    <n v="9"/>
    <n v="10"/>
    <n v="5"/>
    <n v="6"/>
    <n v="10"/>
    <n v="9"/>
  </r>
  <r>
    <n v="2019"/>
    <n v="8"/>
    <s v="QB"/>
    <s v="Taryn Christion"/>
    <n v="5.4"/>
    <s v="Don't Draft"/>
    <n v="0"/>
    <n v="0"/>
    <n v="0"/>
    <n v="0"/>
    <n v="0"/>
    <n v="0"/>
    <n v="0"/>
    <n v="0"/>
    <n v="0"/>
    <n v="10"/>
    <n v="0.16764412968905609"/>
    <n v="7.630227439471754E-2"/>
    <x v="61"/>
    <n v="3.0588235294117645"/>
    <n v="3.340686274509804"/>
    <n v="8.4629493763756418"/>
    <x v="36"/>
    <n v="7.9051383399209481E-3"/>
    <n v="4.49"/>
    <n v="9.25"/>
    <s v="6'2&quot;"/>
    <n v="225"/>
    <n v="28.9"/>
    <n v="1"/>
    <n v="0"/>
    <n v="7"/>
    <n v="9"/>
    <n v="7"/>
    <n v="8"/>
    <n v="9"/>
    <n v="7"/>
    <n v="7"/>
    <n v="10"/>
    <n v="7"/>
  </r>
  <r>
    <n v="2017"/>
    <n v="8"/>
    <s v="QB"/>
    <s v="Alek Torgersen"/>
    <n v="5.5"/>
    <s v="Priority undrafted free agent"/>
    <n v="0"/>
    <n v="0"/>
    <n v="0"/>
    <n v="0"/>
    <n v="0"/>
    <n v="0"/>
    <n v="0"/>
    <n v="0"/>
    <n v="0"/>
    <n v="10"/>
    <n v="0.15678184631253222"/>
    <n v="5.3997923156801658E-2"/>
    <x v="62"/>
    <n v="2.8888888888888888"/>
    <n v="3.018808777429467"/>
    <n v="7.2949117341640708"/>
    <x v="37"/>
    <n v="0"/>
    <n v="4.96"/>
    <n v="9.25"/>
    <s v="6'2&quot;"/>
    <n v="229"/>
    <n v="29.4"/>
    <n v="1"/>
    <n v="0"/>
    <n v="7"/>
    <n v="5"/>
    <n v="5"/>
    <n v="8"/>
    <n v="9"/>
    <n v="4"/>
    <n v="5"/>
    <n v="5"/>
    <n v="7"/>
  </r>
  <r>
    <n v="2017"/>
    <n v="8"/>
    <s v="QB"/>
    <s v="Mitch Leidner"/>
    <n v="5.0999999999999996"/>
    <s v="Don't Draft"/>
    <n v="0"/>
    <n v="0"/>
    <n v="0"/>
    <n v="0"/>
    <n v="0"/>
    <n v="0"/>
    <n v="0"/>
    <n v="0"/>
    <n v="0"/>
    <n v="10"/>
    <n v="0.15574539014480676"/>
    <n v="3.4985422740524783E-2"/>
    <x v="63"/>
    <n v="1.125"/>
    <n v="2.3071748878923768"/>
    <n v="7.1"/>
    <x v="38"/>
    <n v="4.4067796610169491E-2"/>
    <n v="4.93"/>
    <n v="10"/>
    <s v="6'3&quot;"/>
    <n v="226"/>
    <n v="28.2"/>
    <n v="0"/>
    <n v="0"/>
    <n v="7"/>
    <n v="0"/>
    <n v="2"/>
    <n v="1"/>
    <n v="10"/>
    <n v="3"/>
    <n v="2"/>
    <n v="6"/>
    <n v="9"/>
  </r>
  <r>
    <n v="2019"/>
    <n v="8"/>
    <s v="QB"/>
    <s v="Jordan Ta'amu"/>
    <n v="5.4"/>
    <s v="Don't Draft"/>
    <n v="0"/>
    <n v="0"/>
    <n v="0"/>
    <n v="0"/>
    <n v="0"/>
    <n v="0"/>
    <n v="0"/>
    <n v="0"/>
    <n v="0"/>
    <n v="10"/>
    <n v="0.14177852348993289"/>
    <n v="5.0761421319796954E-2"/>
    <x v="64"/>
    <n v="2.5"/>
    <n v="3.4161849710982657"/>
    <n v="9.5"/>
    <x v="32"/>
    <n v="5.4973821989528798E-2"/>
    <n v="4.7699999999999996"/>
    <n v="9.875"/>
    <s v="6'3&quot;"/>
    <n v="221"/>
    <n v="27.6"/>
    <n v="1"/>
    <n v="0"/>
    <n v="7"/>
    <n v="5"/>
    <n v="8"/>
    <n v="7"/>
    <n v="9"/>
    <n v="10"/>
    <n v="9"/>
    <n v="10"/>
    <n v="9"/>
  </r>
  <r>
    <n v="2017"/>
    <n v="8"/>
    <s v="QB"/>
    <s v="Trevor Knight"/>
    <n v="5.0999999999999996"/>
    <s v="Don't Draft"/>
    <n v="0"/>
    <n v="0"/>
    <n v="0"/>
    <n v="0"/>
    <n v="0"/>
    <n v="0"/>
    <n v="0"/>
    <n v="0"/>
    <n v="0"/>
    <n v="10"/>
    <n v="0.12279233280321419"/>
    <n v="5.1643192488262914E-2"/>
    <x v="65"/>
    <n v="1.6923076923076923"/>
    <n v="3.3675889328063242"/>
    <n v="6.9"/>
    <x v="14"/>
    <n v="0"/>
    <n v="4.54"/>
    <n v="9.875"/>
    <s v="6'1&quot;"/>
    <n v="219"/>
    <n v="28.9"/>
    <n v="0"/>
    <n v="0"/>
    <n v="6"/>
    <n v="5"/>
    <n v="2"/>
    <n v="4"/>
    <n v="9"/>
    <n v="2"/>
    <n v="2"/>
    <n v="10"/>
    <n v="9"/>
  </r>
  <r>
    <n v="2019"/>
    <n v="8"/>
    <s v="QB"/>
    <s v="Tyree Jackson"/>
    <n v="5.8"/>
    <s v="Average backup or special-teamer"/>
    <n v="0"/>
    <n v="0"/>
    <n v="0"/>
    <n v="0"/>
    <n v="0"/>
    <n v="0"/>
    <n v="0"/>
    <n v="0"/>
    <n v="0"/>
    <n v="10"/>
    <n v="0.12249190938511327"/>
    <n v="5.1308900523560207E-2"/>
    <x v="66"/>
    <n v="2.0416666666666665"/>
    <n v="4.7512437810945274"/>
    <n v="7.3"/>
    <x v="30"/>
    <n v="3.0276816608996539E-2"/>
    <n v="4.59"/>
    <n v="10.25"/>
    <s v="6'7&quot;"/>
    <n v="249"/>
    <n v="28"/>
    <n v="3"/>
    <n v="0"/>
    <n v="6"/>
    <n v="5"/>
    <n v="3"/>
    <n v="5"/>
    <n v="7"/>
    <n v="4"/>
    <n v="4"/>
    <n v="10"/>
    <n v="10"/>
  </r>
  <r>
    <n v="2019"/>
    <n v="8"/>
    <s v="QB"/>
    <s v="Manny Wilkins"/>
    <n v="5.8"/>
    <s v="Average backup or special-teamer"/>
    <n v="0"/>
    <n v="0"/>
    <n v="0"/>
    <n v="0"/>
    <n v="0"/>
    <n v="0"/>
    <n v="0"/>
    <n v="0"/>
    <n v="0"/>
    <n v="10"/>
    <n v="0.12084063047285463"/>
    <n v="4.66786355475763E-2"/>
    <x v="67"/>
    <n v="2.2608695652173911"/>
    <n v="2.8935064935064934"/>
    <n v="7.7"/>
    <x v="3"/>
    <n v="6.0040026684456307E-2"/>
    <n v="4.84"/>
    <n v="9.625"/>
    <s v="6'2&quot;"/>
    <n v="193"/>
    <n v="24.8"/>
    <n v="3"/>
    <n v="0"/>
    <n v="6"/>
    <n v="4"/>
    <n v="5"/>
    <n v="6"/>
    <n v="9"/>
    <n v="5"/>
    <n v="5"/>
    <n v="8"/>
    <n v="8"/>
  </r>
  <r>
    <n v="2017"/>
    <n v="8"/>
    <s v="QB"/>
    <s v="Sefo Liufau"/>
    <n v="5.0999999999999996"/>
    <s v="Don't Draft"/>
    <n v="0"/>
    <n v="0"/>
    <n v="0"/>
    <n v="0"/>
    <n v="0"/>
    <n v="0"/>
    <n v="0"/>
    <n v="0"/>
    <n v="0"/>
    <n v="10"/>
    <n v="0.11820600532117066"/>
    <n v="4.2492917847025496E-2"/>
    <x v="68"/>
    <n v="1.7142857142857142"/>
    <n v="3.6963350785340312"/>
    <n v="6.9"/>
    <x v="39"/>
    <n v="4.1248606465997768E-2"/>
    <n v="5.08"/>
    <n v="10.75"/>
    <s v="6'3&quot;"/>
    <n v="232"/>
    <n v="29"/>
    <n v="0"/>
    <n v="0"/>
    <n v="6"/>
    <n v="4"/>
    <n v="3"/>
    <n v="4"/>
    <n v="8"/>
    <n v="2"/>
    <n v="2"/>
    <n v="2"/>
    <n v="10"/>
  </r>
  <r>
    <n v="2015"/>
    <n v="8"/>
    <s v="QB"/>
    <s v="Anthony Boone"/>
    <n v="5.4"/>
    <s v="Don't Draft"/>
    <n v="0"/>
    <n v="0"/>
    <n v="0"/>
    <n v="0"/>
    <n v="0"/>
    <n v="0"/>
    <n v="0"/>
    <n v="0"/>
    <n v="0"/>
    <n v="10"/>
    <n v="0.10508340995665309"/>
    <n v="4.1170097508125676E-2"/>
    <x v="69"/>
    <n v="1.5833333333333333"/>
    <n v="4.0130434782608697"/>
    <n v="6.3"/>
    <x v="28"/>
    <n v="2.0815264527320035E-2"/>
    <n v="5.03"/>
    <n v="9.625"/>
    <s v="6'0&quot;"/>
    <n v="231"/>
    <n v="31.3"/>
    <n v="1"/>
    <n v="0"/>
    <n v="6"/>
    <n v="4"/>
    <n v="1"/>
    <n v="4"/>
    <n v="8"/>
    <n v="0"/>
    <n v="1"/>
    <n v="4"/>
    <n v="8"/>
  </r>
  <r>
    <n v="2016"/>
    <n v="8"/>
    <s v="QB"/>
    <s v="Josh Woodrum"/>
    <n v="5.0999999999999996"/>
    <s v="Don't Draft"/>
    <n v="0"/>
    <n v="0"/>
    <n v="0"/>
    <n v="0"/>
    <n v="0"/>
    <n v="0"/>
    <n v="0"/>
    <n v="0"/>
    <n v="0"/>
    <n v="10"/>
    <n v="8.8259611409673422E-2"/>
    <n v="4.8216007714561235E-2"/>
    <x v="70"/>
    <n v="2.3809523809523809"/>
    <n v="5.7932960893854748"/>
    <n v="8.0038572806171651"/>
    <x v="40"/>
    <n v="4.0296052631578948E-2"/>
    <n v="4.8"/>
    <n v="9.25"/>
    <s v="6'3&quot;"/>
    <n v="231"/>
    <n v="28.9"/>
    <n v="0"/>
    <n v="0"/>
    <n v="5"/>
    <n v="5"/>
    <n v="5"/>
    <n v="6"/>
    <n v="7"/>
    <n v="6"/>
    <n v="6"/>
    <n v="9"/>
    <n v="7"/>
  </r>
  <r>
    <n v="2015"/>
    <n v="8"/>
    <s v="QB"/>
    <s v="Jerry Lovelocke"/>
    <m/>
    <s v="Don't Draft"/>
    <n v="0"/>
    <n v="0"/>
    <n v="0"/>
    <n v="0"/>
    <n v="0"/>
    <n v="0"/>
    <n v="0"/>
    <n v="0"/>
    <n v="0"/>
    <n v="10"/>
    <n v="8.5844057532172599E-2"/>
    <n v="4.7210300429184553E-2"/>
    <x v="71"/>
    <n v="2"/>
    <n v="5.2655367231638417"/>
    <n v="6.8036480686695278"/>
    <x v="41"/>
    <n v="0"/>
    <n v="4.99"/>
    <n v="10.5"/>
    <s v="6'4&quot;"/>
    <n v="248"/>
    <n v="30.2"/>
    <n v="3"/>
    <n v="0"/>
    <n v="5"/>
    <n v="4"/>
    <n v="3"/>
    <n v="5"/>
    <n v="7"/>
    <n v="2"/>
    <n v="3"/>
    <n v="4"/>
    <n v="10"/>
  </r>
  <r>
    <n v="2017"/>
    <n v="8"/>
    <s v="QB"/>
    <s v="Zach Terrell"/>
    <n v="5.4"/>
    <s v="Don't Draft"/>
    <n v="0"/>
    <n v="0"/>
    <n v="0"/>
    <n v="0"/>
    <n v="0"/>
    <n v="0"/>
    <n v="0"/>
    <n v="0"/>
    <n v="0"/>
    <n v="10"/>
    <n v="6.5559902717563706E-2"/>
    <n v="6.9214131218457098E-2"/>
    <x v="72"/>
    <n v="3.096774193548387"/>
    <n v="5.0072202166064983"/>
    <n v="8.6999999999999993"/>
    <x v="33"/>
    <n v="5.1682692307692304E-2"/>
    <n v="5.01"/>
    <n v="10.75"/>
    <s v="6'1&quot;"/>
    <n v="209"/>
    <n v="27.6"/>
    <n v="1"/>
    <n v="0"/>
    <n v="5"/>
    <n v="8"/>
    <n v="8"/>
    <n v="8"/>
    <n v="7"/>
    <n v="8"/>
    <n v="8"/>
    <n v="4"/>
    <n v="10"/>
  </r>
  <r>
    <n v="2019"/>
    <n v="8"/>
    <s v="QB"/>
    <s v="Jacob Dolegala"/>
    <n v="5.8"/>
    <s v="Average backup or special-teamer"/>
    <n v="0"/>
    <n v="0"/>
    <n v="0"/>
    <n v="0"/>
    <n v="0"/>
    <n v="0"/>
    <n v="0"/>
    <n v="0"/>
    <n v="0"/>
    <n v="10"/>
    <n v="6.3527758257203096E-2"/>
    <n v="4.2253521126760563E-2"/>
    <x v="73"/>
    <n v="1.6551724137931034"/>
    <n v="4.8755364806866952"/>
    <n v="7.2"/>
    <x v="42"/>
    <n v="2.3374726077428781E-2"/>
    <n v="5.09"/>
    <n v="11.125"/>
    <s v="6'7&quot;"/>
    <n v="242"/>
    <n v="27.3"/>
    <n v="3"/>
    <n v="0"/>
    <n v="5"/>
    <n v="4"/>
    <n v="2"/>
    <n v="4"/>
    <n v="7"/>
    <n v="3"/>
    <n v="3"/>
    <n v="2"/>
    <n v="10"/>
  </r>
  <r>
    <n v="2015"/>
    <n v="8"/>
    <s v="QB"/>
    <s v="Blake Sims"/>
    <n v="5.6"/>
    <s v="Candidate for bottom of roster or practice squad"/>
    <n v="0"/>
    <n v="0"/>
    <n v="0"/>
    <n v="0"/>
    <n v="0"/>
    <n v="0"/>
    <n v="0"/>
    <n v="0"/>
    <n v="0"/>
    <n v="10"/>
    <n v="6.1171366594360087E-2"/>
    <n v="6.9767441860465115E-2"/>
    <x v="74"/>
    <n v="3"/>
    <n v="2.8666666666666667"/>
    <n v="8.6999999999999993"/>
    <x v="10"/>
    <n v="9.3103448275862075E-2"/>
    <n v="4.57"/>
    <n v="9"/>
    <s v="5'11&quot;"/>
    <n v="218"/>
    <n v="30.4"/>
    <n v="2"/>
    <n v="0"/>
    <n v="5"/>
    <n v="8"/>
    <n v="7"/>
    <n v="8"/>
    <n v="9"/>
    <n v="8"/>
    <n v="8"/>
    <n v="10"/>
    <n v="6"/>
  </r>
  <r>
    <n v="2015"/>
    <n v="8"/>
    <s v="QB"/>
    <s v="Shane Carden"/>
    <n v="5.6"/>
    <s v="Candidate for bottom of roster or practice squad"/>
    <n v="0"/>
    <n v="0"/>
    <n v="0"/>
    <n v="0"/>
    <n v="0"/>
    <n v="0"/>
    <n v="0"/>
    <n v="0"/>
    <n v="0"/>
    <n v="10"/>
    <n v="4.4581497797356831E-2"/>
    <n v="5.446485117162761E-2"/>
    <x v="75"/>
    <n v="2.8666666666666667"/>
    <n v="5.8265682656826572"/>
    <n v="7.6"/>
    <x v="43"/>
    <n v="4.8648648648648651E-2"/>
    <n v="4.9400000000000004"/>
    <n v="9.75"/>
    <s v="6'2&quot;"/>
    <n v="218"/>
    <n v="28"/>
    <n v="2"/>
    <n v="0"/>
    <n v="4"/>
    <n v="6"/>
    <n v="6"/>
    <n v="8"/>
    <n v="7"/>
    <n v="5"/>
    <n v="5"/>
    <n v="6"/>
    <n v="9"/>
  </r>
  <r>
    <n v="2015"/>
    <n v="8"/>
    <s v="QB"/>
    <s v="Bryan Bennett"/>
    <m/>
    <s v="Don't Draft"/>
    <n v="0"/>
    <n v="0"/>
    <n v="0"/>
    <n v="0"/>
    <n v="0"/>
    <n v="0"/>
    <n v="0"/>
    <n v="0"/>
    <n v="0"/>
    <n v="10"/>
    <n v="4.4044889586098708E-2"/>
    <n v="0.10843373493975904"/>
    <x v="76"/>
    <n v="3"/>
    <n v="1.3387096774193548"/>
    <n v="7"/>
    <x v="12"/>
    <n v="3.4482758620689655E-2"/>
    <n v="4.8099999999999996"/>
    <n v="9.5"/>
    <s v="6'2&quot;"/>
    <n v="211"/>
    <n v="27.1"/>
    <n v="3"/>
    <n v="0"/>
    <n v="4"/>
    <n v="10"/>
    <n v="5"/>
    <n v="8"/>
    <n v="10"/>
    <n v="3"/>
    <n v="4"/>
    <n v="9"/>
    <n v="8"/>
  </r>
  <r>
    <n v="2019"/>
    <n v="8"/>
    <s v="QB"/>
    <s v="Layton Rabb"/>
    <n v="5.4"/>
    <s v="Don't Draft"/>
    <n v="0"/>
    <n v="0"/>
    <n v="0"/>
    <n v="0"/>
    <n v="0"/>
    <n v="0"/>
    <n v="0"/>
    <n v="0"/>
    <n v="0"/>
    <n v="10"/>
    <n v="3.5661401776900296E-2"/>
    <n v="8.3665338645418322E-2"/>
    <x v="77"/>
    <n v="4.8461538461538458"/>
    <n v="8.5568181818181817"/>
    <n v="8.5099601593625493"/>
    <x v="44"/>
    <n v="0"/>
    <n v="4.79"/>
    <n v="9.25"/>
    <s v="6'4&quot;"/>
    <n v="215"/>
    <n v="26.2"/>
    <n v="1"/>
    <n v="0"/>
    <n v="4"/>
    <n v="10"/>
    <n v="8"/>
    <n v="10"/>
    <n v="5"/>
    <n v="8"/>
    <n v="9"/>
    <n v="9"/>
    <n v="7"/>
  </r>
  <r>
    <n v="2019"/>
    <n v="8"/>
    <s v="QB"/>
    <s v="Jake Browning"/>
    <n v="5.4"/>
    <s v="Don't Draft"/>
    <n v="0"/>
    <n v="0"/>
    <n v="0"/>
    <n v="0"/>
    <n v="0"/>
    <n v="0"/>
    <n v="0"/>
    <n v="0"/>
    <n v="0"/>
    <n v="10"/>
    <n v="2.5015378306335861E-2"/>
    <n v="6.3342318059299185E-2"/>
    <x v="78"/>
    <n v="2.7647058823529411"/>
    <n v="5.4760147601476019"/>
    <n v="8.3000000000000007"/>
    <x v="4"/>
    <n v="3.9886039886039889E-3"/>
    <n v="4.74"/>
    <n v="9"/>
    <s v="6'2&quot;"/>
    <n v="211"/>
    <n v="27.1"/>
    <n v="1"/>
    <n v="0"/>
    <n v="4"/>
    <n v="7"/>
    <n v="7"/>
    <n v="7"/>
    <n v="7"/>
    <n v="7"/>
    <n v="7"/>
    <n v="10"/>
    <n v="6"/>
  </r>
  <r>
    <n v="2018"/>
    <n v="8"/>
    <s v="QB"/>
    <s v="Nick Stevens"/>
    <n v="5.0999999999999996"/>
    <s v="Don't Draft"/>
    <n v="0"/>
    <n v="0"/>
    <n v="0"/>
    <n v="0"/>
    <n v="0"/>
    <n v="0"/>
    <n v="0"/>
    <n v="0"/>
    <n v="0"/>
    <n v="10"/>
    <n v="1.945216355696705E-2"/>
    <n v="6.7895247332686717E-2"/>
    <x v="79"/>
    <n v="2.5925925925925926"/>
    <n v="8.965217391304348"/>
    <n v="8.3000000000000007"/>
    <x v="4"/>
    <n v="2.8795811518324606E-2"/>
    <n v="5.12"/>
    <n v="9.875"/>
    <s v="6'3&quot;"/>
    <n v="208"/>
    <n v="26"/>
    <n v="0"/>
    <n v="0"/>
    <n v="4"/>
    <n v="7"/>
    <n v="6"/>
    <n v="7"/>
    <n v="5"/>
    <n v="7"/>
    <n v="7"/>
    <n v="2"/>
    <n v="9"/>
  </r>
  <r>
    <n v="2016"/>
    <n v="8"/>
    <s v="QB"/>
    <s v="Jake Coker"/>
    <n v="5.9"/>
    <s v="Average backup or special-teamer"/>
    <n v="0"/>
    <n v="0"/>
    <n v="0"/>
    <n v="0"/>
    <n v="0"/>
    <n v="0"/>
    <n v="0"/>
    <n v="0"/>
    <n v="0"/>
    <n v="10"/>
    <n v="8.2630401101738676E-3"/>
    <n v="5.2738336713995942E-2"/>
    <x v="80"/>
    <n v="2.8888888888888888"/>
    <n v="5.4175824175824179"/>
    <n v="7.7"/>
    <x v="13"/>
    <n v="5.650684931506849E-2"/>
    <n v="5.13"/>
    <n v="9.5"/>
    <s v="6'5&quot;"/>
    <n v="236"/>
    <n v="28"/>
    <n v="4"/>
    <n v="0"/>
    <n v="4"/>
    <n v="5"/>
    <n v="5"/>
    <n v="8"/>
    <n v="7"/>
    <n v="5"/>
    <n v="6"/>
    <n v="1"/>
    <n v="8"/>
  </r>
  <r>
    <n v="2015"/>
    <n v="8"/>
    <s v="QB"/>
    <s v="Hutson Mason"/>
    <n v="5.4"/>
    <s v="Don't Draft"/>
    <n v="0"/>
    <n v="0"/>
    <n v="0"/>
    <n v="0"/>
    <n v="0"/>
    <n v="0"/>
    <n v="0"/>
    <n v="0"/>
    <n v="0"/>
    <n v="10"/>
    <n v="-5.1488003295232208E-4"/>
    <n v="6.6820276497695855E-2"/>
    <x v="31"/>
    <n v="4.1428571428571432"/>
    <n v="5.9452054794520546"/>
    <n v="8"/>
    <x v="1"/>
    <n v="5.3254437869822487E-2"/>
    <n v="4.79"/>
    <n v="9.5"/>
    <s v="6'1.75&quot;"/>
    <n v="207"/>
    <n v="26.8"/>
    <n v="1"/>
    <n v="0"/>
    <n v="3"/>
    <n v="7"/>
    <n v="7"/>
    <n v="10"/>
    <n v="6"/>
    <n v="6"/>
    <n v="7"/>
    <n v="9"/>
    <n v="8"/>
  </r>
  <r>
    <n v="2015"/>
    <n v="8"/>
    <s v="QB"/>
    <s v="Dylan Thompson"/>
    <n v="5.0999999999999996"/>
    <s v="Don't Draft"/>
    <n v="0"/>
    <n v="0"/>
    <n v="0"/>
    <n v="0"/>
    <n v="0"/>
    <n v="0"/>
    <n v="0"/>
    <n v="0"/>
    <n v="0"/>
    <n v="10"/>
    <n v="-6.6889632107023408E-4"/>
    <n v="5.9790732436472344E-2"/>
    <x v="81"/>
    <n v="2.5"/>
    <n v="5.4836065573770494"/>
    <n v="8.1"/>
    <x v="22"/>
    <n v="5.1833122629582805E-2"/>
    <n v="4.79"/>
    <n v="9.125"/>
    <s v="6'2&quot;"/>
    <n v="217"/>
    <n v="27.9"/>
    <n v="0"/>
    <n v="0"/>
    <n v="3"/>
    <n v="6"/>
    <n v="5"/>
    <n v="7"/>
    <n v="7"/>
    <n v="6"/>
    <n v="6"/>
    <n v="9"/>
    <n v="7"/>
  </r>
  <r>
    <n v="2018"/>
    <n v="8"/>
    <s v="QB"/>
    <s v="Jeremiah Briscoe"/>
    <n v="5.4"/>
    <s v="Don't Draft"/>
    <n v="0"/>
    <n v="0"/>
    <n v="0"/>
    <n v="0"/>
    <n v="0"/>
    <n v="0"/>
    <n v="0"/>
    <n v="0"/>
    <n v="0"/>
    <n v="10"/>
    <n v="-4.6683231684361117E-3"/>
    <n v="8.7349397590361449E-2"/>
    <x v="82"/>
    <n v="3.7419354838709675"/>
    <n v="26.03921568627451"/>
    <n v="8.6506024096385534"/>
    <x v="45"/>
    <n v="4.1334300217548949E-2"/>
    <n v="4.87"/>
    <n v="9.125"/>
    <s v="6'2&quot;"/>
    <n v="225"/>
    <n v="28.9"/>
    <n v="1"/>
    <n v="0"/>
    <n v="3"/>
    <n v="10"/>
    <n v="8"/>
    <n v="10"/>
    <n v="0"/>
    <n v="8"/>
    <n v="9"/>
    <n v="7"/>
    <n v="7"/>
  </r>
  <r>
    <n v="2018"/>
    <n v="8"/>
    <s v="QB"/>
    <s v="Riley Ferguson"/>
    <n v="5.6"/>
    <s v="Candidate for bottom of roster or practice squad"/>
    <n v="0"/>
    <n v="0"/>
    <n v="0"/>
    <n v="0"/>
    <n v="0"/>
    <n v="0"/>
    <n v="0"/>
    <n v="0"/>
    <n v="0"/>
    <n v="10"/>
    <n v="-1.0360457586876754E-2"/>
    <n v="7.6335877862595422E-2"/>
    <x v="72"/>
    <n v="3.6842105263157894"/>
    <n v="7.3360000000000003"/>
    <n v="8.6999999999999993"/>
    <x v="46"/>
    <n v="5.1823416506717852E-2"/>
    <n v="4.9800000000000004"/>
    <n v="9.625"/>
    <s v="6'3&quot;"/>
    <n v="212"/>
    <n v="26.5"/>
    <n v="2"/>
    <n v="0"/>
    <n v="3"/>
    <n v="9"/>
    <n v="8"/>
    <n v="9"/>
    <n v="6"/>
    <n v="8"/>
    <n v="8"/>
    <n v="5"/>
    <n v="8"/>
  </r>
  <r>
    <n v="2018"/>
    <n v="8"/>
    <s v="QB"/>
    <s v="Chase Litton"/>
    <n v="5.4"/>
    <s v="Don't Draft"/>
    <n v="0"/>
    <n v="0"/>
    <n v="0"/>
    <n v="0"/>
    <n v="0"/>
    <n v="0"/>
    <n v="0"/>
    <n v="0"/>
    <n v="0"/>
    <n v="10"/>
    <n v="-1.4481850667669738E-2"/>
    <n v="6.0100166944908183E-2"/>
    <x v="83"/>
    <n v="2.3225806451612905"/>
    <n v="10.239316239316238"/>
    <n v="7"/>
    <x v="15"/>
    <n v="3.8022813688212927E-2"/>
    <n v="4.9000000000000004"/>
    <n v="9.375"/>
    <s v="6'5&quot;"/>
    <n v="230"/>
    <n v="27.3"/>
    <n v="1"/>
    <n v="0"/>
    <n v="3"/>
    <n v="6"/>
    <n v="4"/>
    <n v="6"/>
    <n v="4"/>
    <n v="3"/>
    <n v="3"/>
    <n v="6"/>
    <n v="7"/>
  </r>
  <r>
    <n v="2018"/>
    <n v="8"/>
    <s v="QB"/>
    <s v="Austin Allen"/>
    <n v="5.4"/>
    <s v="Don't Draft"/>
    <n v="0"/>
    <n v="0"/>
    <n v="0"/>
    <n v="0"/>
    <n v="0"/>
    <n v="0"/>
    <n v="0"/>
    <n v="0"/>
    <n v="0"/>
    <n v="10"/>
    <n v="-1.4864440489898462E-2"/>
    <n v="5.9308072487644151E-2"/>
    <x v="84"/>
    <n v="1.7142857142857142"/>
    <n v="5.568807339449541"/>
    <n v="8.3000000000000007"/>
    <x v="47"/>
    <n v="7.6815642458100561E-2"/>
    <n v="4.8099999999999996"/>
    <n v="9"/>
    <s v="6'0&quot;"/>
    <n v="210"/>
    <n v="28.5"/>
    <n v="1"/>
    <n v="0"/>
    <n v="3"/>
    <n v="6"/>
    <n v="5"/>
    <n v="4"/>
    <n v="7"/>
    <n v="7"/>
    <n v="5"/>
    <n v="9"/>
    <n v="6"/>
  </r>
  <r>
    <n v="2018"/>
    <n v="8"/>
    <s v="QB"/>
    <s v="Nic Shimonek"/>
    <n v="5.4"/>
    <s v="Don't Draft"/>
    <n v="0"/>
    <n v="0"/>
    <n v="0"/>
    <n v="0"/>
    <n v="0"/>
    <n v="0"/>
    <n v="0"/>
    <n v="0"/>
    <n v="0"/>
    <n v="10"/>
    <n v="-1.7439769866954332E-2"/>
    <n v="7.0524412296564198E-2"/>
    <x v="85"/>
    <n v="3.5454545454545454"/>
    <n v="8.640625"/>
    <n v="8"/>
    <x v="24"/>
    <n v="4.0518638573743923E-2"/>
    <n v="4.88"/>
    <n v="9.25"/>
    <s v="6'3&quot;"/>
    <n v="220"/>
    <n v="27.5"/>
    <n v="1"/>
    <n v="0"/>
    <n v="3"/>
    <n v="8"/>
    <n v="7"/>
    <n v="9"/>
    <n v="5"/>
    <n v="6"/>
    <n v="7"/>
    <n v="7"/>
    <n v="7"/>
  </r>
  <r>
    <n v="2016"/>
    <n v="8"/>
    <s v="QB"/>
    <s v="Joel Stave"/>
    <n v="5.5"/>
    <s v="Priority undrafted free agent"/>
    <n v="0"/>
    <n v="0"/>
    <n v="0"/>
    <n v="0"/>
    <n v="0"/>
    <n v="0"/>
    <n v="0"/>
    <n v="0"/>
    <n v="0"/>
    <n v="10"/>
    <n v="-1.9800506178353432E-2"/>
    <n v="4.6556741028128033E-2"/>
    <x v="19"/>
    <n v="1.2972972972972974"/>
    <n v="10.107843137254902"/>
    <n v="7.4"/>
    <x v="48"/>
    <n v="5.0308914386584289E-2"/>
    <n v="4.8"/>
    <n v="10.75"/>
    <s v="6'5&quot;"/>
    <n v="236"/>
    <n v="28"/>
    <n v="1"/>
    <n v="0"/>
    <n v="3"/>
    <n v="4"/>
    <n v="3"/>
    <n v="2"/>
    <n v="4"/>
    <n v="4"/>
    <n v="3"/>
    <n v="9"/>
    <n v="10"/>
  </r>
  <r>
    <n v="2018"/>
    <n v="8"/>
    <s v="QB"/>
    <s v="Luis Perez"/>
    <n v="5.4"/>
    <s v="Don't Draft"/>
    <n v="0"/>
    <n v="0"/>
    <n v="0"/>
    <n v="0"/>
    <n v="0"/>
    <n v="0"/>
    <n v="0"/>
    <n v="0"/>
    <n v="0"/>
    <n v="10"/>
    <n v="-2.6810477657935285E-2"/>
    <n v="7.9187817258883242E-2"/>
    <x v="86"/>
    <n v="4.875"/>
    <n v="17.589285714285715"/>
    <n v="8.4517766497461935"/>
    <x v="49"/>
    <n v="0"/>
    <n v="5.0199999999999996"/>
    <n v="9.75"/>
    <s v="6'2&quot;"/>
    <n v="215"/>
    <n v="27.6"/>
    <n v="1"/>
    <n v="0"/>
    <n v="3"/>
    <n v="9"/>
    <n v="9"/>
    <n v="10"/>
    <n v="0"/>
    <n v="7"/>
    <n v="8"/>
    <n v="4"/>
    <n v="9"/>
  </r>
  <r>
    <n v="2018"/>
    <n v="8"/>
    <s v="QB"/>
    <s v="Kurt Benkert"/>
    <n v="5.5"/>
    <s v="Priority undrafted free agent"/>
    <n v="0"/>
    <n v="0"/>
    <n v="0"/>
    <n v="0"/>
    <n v="0"/>
    <n v="0"/>
    <n v="0"/>
    <n v="0"/>
    <n v="0"/>
    <n v="10"/>
    <n v="-2.8675369141878879E-2"/>
    <n v="4.9729729729729728E-2"/>
    <x v="87"/>
    <n v="2.1904761904761907"/>
    <n v="7.115384615384615"/>
    <n v="6.3"/>
    <x v="34"/>
    <n v="5.8767772511848344E-2"/>
    <n v="4.95"/>
    <n v="9.5"/>
    <s v="6'3&quot;"/>
    <n v="218"/>
    <n v="27.2"/>
    <n v="1"/>
    <n v="0"/>
    <n v="3"/>
    <n v="5"/>
    <n v="2"/>
    <n v="6"/>
    <n v="6"/>
    <n v="0"/>
    <n v="2"/>
    <n v="5"/>
    <n v="8"/>
  </r>
  <r>
    <n v="2017"/>
    <n v="8"/>
    <s v="QB"/>
    <s v="Wes Lunt"/>
    <n v="5.0999999999999996"/>
    <s v="Don't Draft"/>
    <n v="0"/>
    <n v="0"/>
    <n v="0"/>
    <n v="0"/>
    <n v="0"/>
    <n v="0"/>
    <n v="0"/>
    <n v="0"/>
    <n v="0"/>
    <n v="10"/>
    <n v="-4.0195689541187359E-2"/>
    <n v="3.870967741935484E-2"/>
    <x v="88"/>
    <n v="2.2105263157894739"/>
    <n v="17.78688524590164"/>
    <n v="6.5"/>
    <x v="38"/>
    <n v="3.9267015706806283E-2"/>
    <n v="4.92"/>
    <n v="9.25"/>
    <s v="6'4&quot;"/>
    <n v="225"/>
    <n v="27.4"/>
    <n v="0"/>
    <n v="0"/>
    <n v="3"/>
    <n v="0"/>
    <n v="2"/>
    <n v="6"/>
    <n v="0"/>
    <n v="1"/>
    <n v="2"/>
    <n v="6"/>
    <n v="7"/>
  </r>
  <r>
    <n v="2019"/>
    <n v="8"/>
    <s v="QB"/>
    <s v="Kyle Shurmur"/>
    <n v="5.5"/>
    <s v="Priority undrafted free agent"/>
    <n v="0"/>
    <n v="0"/>
    <n v="0"/>
    <n v="0"/>
    <n v="0"/>
    <n v="0"/>
    <n v="0"/>
    <n v="0"/>
    <n v="0"/>
    <n v="10"/>
    <n v="-4.3711450791096812E-2"/>
    <n v="5.0632911392405063E-2"/>
    <x v="89"/>
    <n v="2.2068965517241379"/>
    <n v="9.2262773722627731"/>
    <n v="7"/>
    <x v="15"/>
    <n v="5.7815845824411134E-2"/>
    <n v="4.91"/>
    <n v="8.875"/>
    <s v="6'4&quot;"/>
    <n v="230"/>
    <n v="28"/>
    <n v="1"/>
    <n v="0"/>
    <n v="2"/>
    <n v="5"/>
    <n v="3"/>
    <n v="6"/>
    <n v="5"/>
    <n v="3"/>
    <n v="3"/>
    <n v="6"/>
    <n v="0"/>
  </r>
  <r>
    <n v="2015"/>
    <n v="8"/>
    <s v="QB"/>
    <s v="Connor Halliday"/>
    <n v="5.6"/>
    <s v="Candidate for bottom of roster or practice squad"/>
    <n v="0"/>
    <n v="0"/>
    <n v="0"/>
    <n v="0"/>
    <n v="0"/>
    <n v="0"/>
    <n v="0"/>
    <n v="0"/>
    <n v="0"/>
    <n v="10"/>
    <n v="-0.1777456647398844"/>
    <n v="5.5079559363525092E-2"/>
    <x v="90"/>
    <n v="1.8"/>
    <n v="14.589285714285714"/>
    <n v="6.9"/>
    <x v="39"/>
    <n v="4.2382588774341354E-2"/>
    <n v="4.87"/>
    <n v="8.375"/>
    <s v="6'3&quot;"/>
    <n v="204"/>
    <n v="25.5"/>
    <n v="2"/>
    <n v="0"/>
    <n v="0"/>
    <n v="6"/>
    <n v="3"/>
    <n v="5"/>
    <n v="3"/>
    <n v="2"/>
    <n v="2"/>
    <n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F28C4-FE64-42D3-B9BB-B4BA0CFE551B}" name="PivotTable1" cacheId="44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3" firstHeaderRow="1" firstDataRow="1" firstDataCol="1"/>
  <pivotFields count="40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2">
        <item x="2"/>
        <item x="9"/>
        <item x="13"/>
        <item x="8"/>
        <item x="30"/>
        <item x="23"/>
        <item x="6"/>
        <item x="49"/>
        <item x="86"/>
        <item x="51"/>
        <item x="21"/>
        <item x="38"/>
        <item x="11"/>
        <item x="1"/>
        <item x="72"/>
        <item x="64"/>
        <item x="77"/>
        <item x="22"/>
        <item x="82"/>
        <item x="74"/>
        <item x="36"/>
        <item x="5"/>
        <item x="12"/>
        <item x="85"/>
        <item x="60"/>
        <item x="0"/>
        <item x="34"/>
        <item x="31"/>
        <item x="61"/>
        <item x="52"/>
        <item x="35"/>
        <item x="78"/>
        <item x="54"/>
        <item x="79"/>
        <item x="17"/>
        <item x="32"/>
        <item x="46"/>
        <item x="27"/>
        <item x="25"/>
        <item x="37"/>
        <item x="75"/>
        <item x="44"/>
        <item x="42"/>
        <item x="7"/>
        <item x="80"/>
        <item x="55"/>
        <item x="4"/>
        <item x="43"/>
        <item x="56"/>
        <item x="70"/>
        <item x="84"/>
        <item x="76"/>
        <item x="81"/>
        <item x="62"/>
        <item x="15"/>
        <item x="28"/>
        <item x="67"/>
        <item x="57"/>
        <item x="16"/>
        <item x="40"/>
        <item x="29"/>
        <item x="53"/>
        <item x="3"/>
        <item x="26"/>
        <item x="14"/>
        <item x="24"/>
        <item x="59"/>
        <item x="45"/>
        <item x="41"/>
        <item x="83"/>
        <item x="33"/>
        <item x="90"/>
        <item x="20"/>
        <item x="71"/>
        <item x="68"/>
        <item x="19"/>
        <item x="50"/>
        <item x="66"/>
        <item x="89"/>
        <item x="73"/>
        <item x="65"/>
        <item x="10"/>
        <item x="58"/>
        <item x="87"/>
        <item x="88"/>
        <item x="18"/>
        <item x="63"/>
        <item x="69"/>
        <item x="39"/>
        <item x="47"/>
        <item x="4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1">
        <item x="2"/>
        <item x="8"/>
        <item x="7"/>
        <item x="11"/>
        <item x="17"/>
        <item x="19"/>
        <item x="32"/>
        <item x="44"/>
        <item x="5"/>
        <item x="27"/>
        <item x="45"/>
        <item x="49"/>
        <item x="46"/>
        <item x="33"/>
        <item x="10"/>
        <item x="18"/>
        <item x="36"/>
        <item x="0"/>
        <item x="1"/>
        <item x="26"/>
        <item x="24"/>
        <item x="4"/>
        <item x="35"/>
        <item x="20"/>
        <item x="22"/>
        <item x="6"/>
        <item x="40"/>
        <item x="13"/>
        <item x="47"/>
        <item x="43"/>
        <item x="3"/>
        <item x="23"/>
        <item x="37"/>
        <item x="12"/>
        <item x="29"/>
        <item x="21"/>
        <item x="30"/>
        <item x="16"/>
        <item x="15"/>
        <item x="25"/>
        <item x="42"/>
        <item x="48"/>
        <item x="41"/>
        <item x="39"/>
        <item x="14"/>
        <item x="38"/>
        <item x="34"/>
        <item x="9"/>
        <item x="28"/>
        <item x="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LZ Grad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12C580-CE8F-4A62-858C-7631D58B2036}" name="Table2" displayName="Table2" ref="A2:AN158" totalsRowShown="0">
  <autoFilter ref="A2:AN158" xr:uid="{976BC51F-F22A-446D-AE7A-B5776C463E54}"/>
  <sortState xmlns:xlrd2="http://schemas.microsoft.com/office/spreadsheetml/2017/richdata2" ref="A3:AC98">
    <sortCondition ref="B2:B98"/>
  </sortState>
  <tableColumns count="40">
    <tableColumn id="1" xr3:uid="{C59D323D-4B27-4F20-93A4-B779206A28E2}" name="Draft Year"/>
    <tableColumn id="2" xr3:uid="{FBDB56D8-AC31-40C8-95C7-392E9DFAC299}" name="Draft Round"/>
    <tableColumn id="3" xr3:uid="{52AFAB5F-ABFF-469A-BF38-5676AF95841C}" name="Pos"/>
    <tableColumn id="4" xr3:uid="{3D2C2005-1A68-4880-B87C-D012A2A29E68}" name="Player Name"/>
    <tableColumn id="6" xr3:uid="{5C6A40E4-2FE4-4566-BAA3-D350A97EEE03}" name="LZ Grade"/>
    <tableColumn id="7" xr3:uid="{DA4FD747-6C85-4AFF-84AA-71CBC93C1201}" name="LZ Explanation"/>
    <tableColumn id="8" xr3:uid="{74EE95CC-0F63-47FE-9B4B-2ED6A5936806}" name="Year 1 G" dataDxfId="34">
      <calculatedColumnFormula>SUMIFS('NFL QB Data By Year'!$Q:$Q,'NFL QB Data By Year'!$D:$D,Table2[[#This Row],[Player Name]],'NFL QB Data By Year'!$B:$B,Table2[[#This Row],[Draft Year]]+G$1)</calculatedColumnFormula>
    </tableColumn>
    <tableColumn id="9" xr3:uid="{8D5658EF-A4CD-44B8-B7C9-2A23232300D2}" name="Year 1 FPTs" dataDxfId="33">
      <calculatedColumnFormula>SUMIFS('NFL QB Data By Year'!$P:$P,'NFL QB Data By Year'!$D:$D,Table2[[#This Row],[Player Name]],'NFL QB Data By Year'!$B:$B,Table2[[#This Row],[Draft Year]]+H$1)</calculatedColumnFormula>
    </tableColumn>
    <tableColumn id="10" xr3:uid="{3303AF6A-3F05-47FF-9316-AF5BB39C335E}" name="Year 2 G" dataDxfId="32">
      <calculatedColumnFormula>SUMIFS('NFL QB Data By Year'!$Q:$Q,'NFL QB Data By Year'!$D:$D,Table2[[#This Row],[Player Name]],'NFL QB Data By Year'!$B:$B,Table2[[#This Row],[Draft Year]]+I$1)</calculatedColumnFormula>
    </tableColumn>
    <tableColumn id="11" xr3:uid="{D04A99BA-8E9C-4E37-9F3B-86FF11C72A72}" name="Year 2 FPTs" dataDxfId="31">
      <calculatedColumnFormula>SUMIFS('NFL QB Data By Year'!$P:$P,'NFL QB Data By Year'!$D:$D,Table2[[#This Row],[Player Name]],'NFL QB Data By Year'!$B:$B,Table2[[#This Row],[Draft Year]]+J$1)</calculatedColumnFormula>
    </tableColumn>
    <tableColumn id="12" xr3:uid="{5A3B4D94-B354-44C0-9F6F-BE60522FB1CA}" name="Year 3 G" dataDxfId="30">
      <calculatedColumnFormula>SUMIFS('NFL QB Data By Year'!$Q:$Q,'NFL QB Data By Year'!$D:$D,Table2[[#This Row],[Player Name]],'NFL QB Data By Year'!$B:$B,Table2[[#This Row],[Draft Year]]+K$1)</calculatedColumnFormula>
    </tableColumn>
    <tableColumn id="13" xr3:uid="{87149616-0EA1-4181-8621-3C4C9D082047}" name="Year 3 FPTs" dataDxfId="29">
      <calculatedColumnFormula>SUMIFS('NFL QB Data By Year'!$P:$P,'NFL QB Data By Year'!$D:$D,Table2[[#This Row],[Player Name]],'NFL QB Data By Year'!$B:$B,Table2[[#This Row],[Draft Year]]+L$1)</calculatedColumnFormula>
    </tableColumn>
    <tableColumn id="14" xr3:uid="{978604FC-85C5-4404-9C40-A47AB83AB6D3}" name="Total G" dataDxfId="28">
      <calculatedColumnFormula>Table2[[#This Row],[Year 1 G]]+Table2[[#This Row],[Year 2 G]]+Table2[[#This Row],[Year 3 G]]</calculatedColumnFormula>
    </tableColumn>
    <tableColumn id="15" xr3:uid="{6BC86EA7-0E7A-48EA-9B84-B84CF799BC56}" name="Total FPTs" dataDxfId="27">
      <calculatedColumnFormula>Table2[[#This Row],[Year 1 FPTs]]+Table2[[#This Row],[Year 2 FPTs]]+Table2[[#This Row],[Year 3 FPTs]]</calculatedColumnFormula>
    </tableColumn>
    <tableColumn id="16" xr3:uid="{66C20CC1-C239-4EE8-9332-0C9EB7AA80B7}" name="FPTS/G" dataDxfId="26">
      <calculatedColumnFormula>IFERROR(Table2[[#This Row],[Total FPTs]]/Table2[[#This Row],[Total G]],0)</calculatedColumnFormula>
    </tableColumn>
    <tableColumn id="17" xr3:uid="{C5479C6B-D2A5-4FC1-ACF4-B020F686B8BF}" name="Tier" dataDxfId="25"/>
    <tableColumn id="18" xr3:uid="{1F58154F-FE1A-4F27-9246-ABC76268F70C}" name="College BF Dominator" dataDxfId="24" dataCellStyle="Percent">
      <calculatedColumnFormula xml:space="preserve"> IFERROR(SUMIFS('College Data By Year'!J:J,'College Data By Year'!A:A,Table2[[#This Row],[Player Name]])/SUMIFS('College Data By Year'!L:L,'College Data By Year'!A:A,Table2[[#This Row],[Player Name]]),"")</calculatedColumnFormula>
    </tableColumn>
    <tableColumn id="20" xr3:uid="{7F51A3A0-2BA1-484C-B2EF-1862F60F9588}" name="College PTDR" dataDxfId="23" dataCellStyle="Percent">
      <calculatedColumnFormula xml:space="preserve"> IFERROR(SUMIFS('College Data By Year'!D:D,'College Data By Year'!A:A,Table2[[#This Row],[Player Name]])/SUMIFS('College Data By Year'!B:B,'College Data By Year'!A:A,Table2[[#This Row],[Player Name]]),"")</calculatedColumnFormula>
    </tableColumn>
    <tableColumn id="22" xr3:uid="{224D1946-750A-455D-87D1-3FB6C84827D1}" name="College Passer Rating" dataDxfId="22">
      <calculatedColumnFormula>IF(SUMIFS('College Data By Year'!H:H,'College Data By Year'!A:A,Table2[[#This Row],[Player Name]])=0,"",SUMIFS('College Data By Year'!H:H,'College Data By Year'!A:A,Table2[[#This Row],[Player Name]]))</calculatedColumnFormula>
    </tableColumn>
    <tableColumn id="24" xr3:uid="{0D7265E9-5415-4E22-B239-B1D9C4D29A5D}" name="PTD:INT" dataDxfId="21">
      <calculatedColumnFormula>IFERROR(SUMIFS('College Data By Year'!D:D,'College Data By Year'!A:A,Table2[[#This Row],[Player Name]])/SUMIFS('College Data By Year'!E:E,'College Data By Year'!A:A,Table2[[#This Row],[Player Name]]),"")</calculatedColumnFormula>
    </tableColumn>
    <tableColumn id="28" xr3:uid="{A430BD7C-3BB8-4EC3-9389-F65819A93291}" name="Patt:Ratt" dataDxfId="20">
      <calculatedColumnFormula>IFERROR(SUMIFS('College Data By Year'!B:B,'College Data By Year'!A:A,Table2[[#This Row],[Player Name]])/SUMIFS('College Data By Year'!I:I,'College Data By Year'!A:A,Table2[[#This Row],[Player Name]]),"")</calculatedColumnFormula>
    </tableColumn>
    <tableColumn id="25" xr3:uid="{1696D940-9504-4D48-944A-7869BBB0090C}" name="Y/A" dataDxfId="19">
      <calculatedColumnFormula>IF(SUMIFS('College Data By Year'!F:F,'College Data By Year'!A:A,Table2[[#This Row],[Player Name]])=0,"",SUMIFS('College Data By Year'!F:F,'College Data By Year'!A:A,Table2[[#This Row],[Player Name]]))</calculatedColumnFormula>
    </tableColumn>
    <tableColumn id="26" xr3:uid="{AB83632A-E3E5-4636-84B0-E68EEBD8A33B}" name="AY/A" dataDxfId="18">
      <calculatedColumnFormula>IF(SUMIFS('College Data By Year'!G:G,'College Data By Year'!A:A,Table2[[#This Row],[Player Name]])=0,"",SUMIFS('College Data By Year'!G:G,'College Data By Year'!A:A,Table2[[#This Row],[Player Name]]))</calculatedColumnFormula>
    </tableColumn>
    <tableColumn id="27" xr3:uid="{E789A828-4E0A-460E-9DD6-82CA3113ABA8}" name="Sack Rate" dataDxfId="17">
      <calculatedColumnFormula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calculatedColumnFormula>
    </tableColumn>
    <tableColumn id="21" xr3:uid="{3E20DE0E-03A3-418A-BD2E-A0586AFFE070}" name="40 Yd Dash" dataDxfId="16"/>
    <tableColumn id="23" xr3:uid="{93BDD9C9-5469-492F-A2AB-CEF7BD32E280}" name="Hand Size" dataDxfId="15"/>
    <tableColumn id="29" xr3:uid="{059F62A7-FE13-40C4-A4B6-EDA5F954B5A0}" name="Height" dataDxfId="14"/>
    <tableColumn id="30" xr3:uid="{D7CE9B59-2053-453C-84E4-D88FAE197EBA}" name="Weight" dataDxfId="13"/>
    <tableColumn id="31" xr3:uid="{09656196-9AF1-4030-B630-EDFD909BBD9D}" name="BMI" dataDxfId="12"/>
    <tableColumn id="5" xr3:uid="{678126CE-8652-4BEC-B9A6-2F1DE5EB32CF}" name="LZ Score" dataDxfId="11">
      <calculatedColumnFormula>ROUND(IF(Table2[[#This Row],[LZ Grade]]=0,10/(9.297*7-49.141)*(9.297*5.723-49.141),IF(Table2[[#This Row],[LZ Grade]]&lt;5.285,0,IF(Table2[[#This Row],[LZ Grade]]&gt;=7,10,10/(9.297*7-49.141)*(9.297*Table2[[#This Row],[LZ Grade]]-49.141)))),0)</calculatedColumnFormula>
    </tableColumn>
    <tableColumn id="19" xr3:uid="{730F91FC-5FD7-430A-8901-541DC58316F0}" name="Draft Score" dataDxfId="10">
      <calculatedColumnFormula>ROUND(IF(Table2[[#This Row],[Draft Round]]=1,10,IF(Table2[[#This Row],[Draft Round]]=8,0,10/(20.884*EXP(-0.381*1))*(20.884*EXP(-0.381*Table2[[#This Row],[Draft Round]])))),0)</calculatedColumnFormula>
    </tableColumn>
    <tableColumn id="32" xr3:uid="{8712DB0B-C02A-4720-AF32-768291F85C72}" name="BF Dom Score" dataDxfId="9">
      <calculatedColumnFormula>ROUND(IF(Table2[[#This Row],[College BF Dominator]]&gt;0.3,10,IF(Table2[[#This Row],[College BF Dominator]]&lt;-0.156,0,10/(20.818*0.3+3.2667)*(20.818*Table2[[#This Row],[College BF Dominator]]+3.2667))),0)</calculatedColumnFormula>
    </tableColumn>
    <tableColumn id="33" xr3:uid="{515F74AD-76DC-4546-88D1-97E21A101755}" name="PTDR Score" dataDxfId="8">
      <calculatedColumnFormula>ROUND(IF(Table2[[#This Row],[College PTDR]]&gt;0.085,10,IF(Table2[[#This Row],[College PTDR]]&lt;0.04,0,10/(105.24*0.085-1.7837)*(105.24*Table2[[#This Row],[College PTDR]]-1.7837))),0)</calculatedColumnFormula>
    </tableColumn>
    <tableColumn id="34" xr3:uid="{76A2911F-052E-4B46-8A2B-703C9976072D}" name="Passer Rate Score" dataDxfId="7">
      <calculatedColumnFormula>ROUND(IF(Table2[[#This Row],[College Passer Rating]]&gt;170,10,IF(Table2[[#This Row],[College Passer Rating]]&lt;112.475,0,10/(0.1495*170-16.815)*(0.1495*Table2[[#This Row],[College Passer Rating]]-16.815))),0)</calculatedColumnFormula>
    </tableColumn>
    <tableColumn id="35" xr3:uid="{5FA6888B-D5B3-49CD-A757-8E25EFB0D894}" name="PTD:INT Score" dataDxfId="6">
      <calculatedColumnFormula>ROUND(IF(Table2[[#This Row],[PTD:INT]]&gt;4,10,IF(Table2[[#This Row],[PTD:INT]]&lt;1,0,10/(4.7442*LN(4)+0.4256)*(4.7442*LN(Table2[[#This Row],[PTD:INT]])+0.4256))),0)</calculatedColumnFormula>
    </tableColumn>
    <tableColumn id="36" xr3:uid="{D484B6DC-4D8C-473D-93AD-3A418EAD89A5}" name="Patt:Ratt Score" dataDxfId="5">
      <calculatedColumnFormula>ROUND(IF(Table2[[#This Row],[Patt:Ratt]]&lt;2.5,10,IF(Table2[[#This Row],[Patt:Ratt]]&gt;15,0,10/(-2.684*LN(2.5)+9.0869)*(-2.684*LN(Table2[[#This Row],[Patt:Ratt]])+9.0869))),0)</calculatedColumnFormula>
    </tableColumn>
    <tableColumn id="37" xr3:uid="{279B2172-76C8-426C-9D7E-DE98C16ADDB5}" name="Y/A Score" dataDxfId="4">
      <calculatedColumnFormula>ROUND(IF(Table2[[#This Row],[Y/A]]&gt;9.2,10,IF(Table2[[#This Row],[Y/A]]&lt;6.26,0,10/(2.2619*9.2-14.16)*(2.2619*Table2[[#This Row],[Y/A]]-14.16))),0)</calculatedColumnFormula>
    </tableColumn>
    <tableColumn id="38" xr3:uid="{A14748FA-5F9D-4896-A236-C105EE6450BF}" name="AY/A Score" dataDxfId="3">
      <calculatedColumnFormula>ROUND(IF(Table2[[#This Row],[AY/A]]&gt;10,10,IF(Table2[[#This Row],[AY/A]]&lt;5.51,0,10/(1.6571*10-9.1312)*(1.6571*Table2[[#This Row],[AY/A]]-9.1312))),0)</calculatedColumnFormula>
    </tableColumn>
    <tableColumn id="39" xr3:uid="{D5BC3A2F-1F28-405D-9736-4AE55F5C2AC7}" name="40yd Score" dataDxfId="2">
      <calculatedColumnFormula>ROUND(IF(Table2[[#This Row],[40 Yd Dash]]&lt;4.75,10,IF(Table2[[#This Row],[40 Yd Dash]]&gt;5.191,0,10/(-66.95*LN(4.75)+110.26)*(-66.95*LN(Table2[[#This Row],[40 Yd Dash]])+110.26))),0)</calculatedColumnFormula>
    </tableColumn>
    <tableColumn id="40" xr3:uid="{FB10B583-9373-4FC5-AEC3-522BD532AD9E}" name="Hand Size Score" dataDxfId="1">
      <calculatedColumnFormula>ROUND(IF(Table2[[#This Row],[Hand Size]]&gt;10.25,10,IF(Table2[[#This Row],[Hand Size]]&lt;9,0,10/(15.49*LN(10.25)-30.577)*(15.49*LN(Table2[[#This Row],[Hand Size]])-30.577))),0)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C8C77-E895-4DF8-8E41-D5F09229DA34}" name="Table1" displayName="Table1" ref="B3:Q1829" totalsRowShown="0">
  <autoFilter ref="B3:Q1829" xr:uid="{B61C8C77-E895-4DF8-8E41-D5F09229DA34}">
    <filterColumn colId="0">
      <filters>
        <filter val="2015"/>
        <filter val="2016"/>
        <filter val="2017"/>
        <filter val="2018"/>
        <filter val="2019"/>
      </filters>
    </filterColumn>
  </autoFilter>
  <tableColumns count="16">
    <tableColumn id="1" xr3:uid="{3369F220-3473-41DD-B44F-9BB5BB50E2DE}" name="Year">
      <calculatedColumnFormula>'[1]Processed Data'!B4</calculatedColumnFormula>
    </tableColumn>
    <tableColumn id="2" xr3:uid="{6A3BDF57-6DE3-4435-A2F1-41D37BBE3959}" name="Pos Rank">
      <calculatedColumnFormula>'[1]Processed Data'!C4</calculatedColumnFormula>
    </tableColumn>
    <tableColumn id="3" xr3:uid="{27759899-7148-4971-9AF8-0A9C00849369}" name="Player">
      <calculatedColumnFormula>'[1]Processed Data'!D4</calculatedColumnFormula>
    </tableColumn>
    <tableColumn id="16" xr3:uid="{DD1C9F23-780E-4065-9827-0EBA40A1DFE7}" name="Year2" dataDxfId="0">
      <calculatedColumnFormula>Table1[[#This Row],[Year]]</calculatedColumnFormula>
    </tableColumn>
    <tableColumn id="4" xr3:uid="{1579A4E9-06BF-418C-895A-7E8065F355E2}" name="Cmp">
      <calculatedColumnFormula>'[1]Processed Data'!F4</calculatedColumnFormula>
    </tableColumn>
    <tableColumn id="5" xr3:uid="{62BC7504-B8E4-45B1-A679-4CE9629F5810}" name="P Att">
      <calculatedColumnFormula>'[1]Processed Data'!G4</calculatedColumnFormula>
    </tableColumn>
    <tableColumn id="6" xr3:uid="{D02FB05F-3303-4F42-8433-60074DF2DB39}" name="Cmp Pct">
      <calculatedColumnFormula>'[1]Processed Data'!H4</calculatedColumnFormula>
    </tableColumn>
    <tableColumn id="7" xr3:uid="{23A163A1-9267-44DA-B112-E5AAA73E5FC1}" name="P TD">
      <calculatedColumnFormula>'[1]Processed Data'!I4</calculatedColumnFormula>
    </tableColumn>
    <tableColumn id="8" xr3:uid="{B51116EE-A864-414E-AD72-894662C55721}" name="INT">
      <calculatedColumnFormula>'[1]Processed Data'!J4</calculatedColumnFormula>
    </tableColumn>
    <tableColumn id="9" xr3:uid="{0EC228B2-43FF-46A1-8667-C94489235F15}" name="Sacks">
      <calculatedColumnFormula>'[1]Processed Data'!K4</calculatedColumnFormula>
    </tableColumn>
    <tableColumn id="10" xr3:uid="{A739CD44-B9D3-4489-A23D-69770AF1B456}" name="Ru Att">
      <calculatedColumnFormula>'[1]Processed Data'!L4</calculatedColumnFormula>
    </tableColumn>
    <tableColumn id="11" xr3:uid="{4BA91471-DDBE-411F-97DA-FEA09705FC14}" name="Ru Yds">
      <calculatedColumnFormula>'[1]Processed Data'!M4</calculatedColumnFormula>
    </tableColumn>
    <tableColumn id="12" xr3:uid="{E53DE446-ADE8-4403-9782-2479885B1393}" name="R TD">
      <calculatedColumnFormula>'[1]Processed Data'!N4</calculatedColumnFormula>
    </tableColumn>
    <tableColumn id="13" xr3:uid="{8EBD2D7C-A583-46BA-B234-95F6703480A3}" name="FL">
      <calculatedColumnFormula>'[1]Processed Data'!O4</calculatedColumnFormula>
    </tableColumn>
    <tableColumn id="14" xr3:uid="{275D67E8-CDC9-4C1C-A337-CAEC73569B0B}" name="FPTs">
      <calculatedColumnFormula>'[1]Processed Data'!P4</calculatedColumnFormula>
    </tableColumn>
    <tableColumn id="15" xr3:uid="{3048E2C0-B9FA-4AE1-8A19-384C72B9DF8A}" name="G">
      <calculatedColumnFormula>'[1]Processed Data'!Q4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A9A7-D963-46B1-B9AE-DC834BA3D257}">
  <dimension ref="A1:A3"/>
  <sheetViews>
    <sheetView tabSelected="1" workbookViewId="0">
      <selection activeCell="A4" sqref="A4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FA69-4E54-480D-B344-25E06CE5CE6B}">
  <dimension ref="A1:R157"/>
  <sheetViews>
    <sheetView workbookViewId="0">
      <selection activeCell="E1" sqref="E1"/>
    </sheetView>
  </sheetViews>
  <sheetFormatPr defaultRowHeight="15"/>
  <cols>
    <col min="1" max="1" width="16.7109375" bestFit="1" customWidth="1"/>
    <col min="2" max="2" width="8.28515625" bestFit="1" customWidth="1"/>
    <col min="3" max="3" width="8.28515625" customWidth="1"/>
    <col min="5" max="5" width="20" bestFit="1" customWidth="1"/>
    <col min="6" max="6" width="11.140625" bestFit="1" customWidth="1"/>
    <col min="7" max="7" width="9.7109375" bestFit="1" customWidth="1"/>
    <col min="8" max="8" width="10.7109375" bestFit="1" customWidth="1"/>
    <col min="9" max="9" width="13.140625" bestFit="1" customWidth="1"/>
    <col min="10" max="10" width="15.7109375" bestFit="1" customWidth="1"/>
    <col min="11" max="11" width="13.42578125" bestFit="1" customWidth="1"/>
    <col min="12" max="12" width="19" bestFit="1" customWidth="1"/>
    <col min="13" max="13" width="15.85546875" bestFit="1" customWidth="1"/>
    <col min="14" max="14" width="16.7109375" bestFit="1" customWidth="1"/>
    <col min="15" max="15" width="11.85546875" bestFit="1" customWidth="1"/>
    <col min="16" max="16" width="13.140625" bestFit="1" customWidth="1"/>
    <col min="17" max="17" width="13" bestFit="1" customWidth="1"/>
    <col min="18" max="18" width="17.42578125" bestFit="1" customWidth="1"/>
  </cols>
  <sheetData>
    <row r="1" spans="1:18">
      <c r="A1" t="s">
        <v>3</v>
      </c>
      <c r="B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>
      <c r="A2" t="s">
        <v>8</v>
      </c>
      <c r="B2" s="9">
        <v>0.29005346799999998</v>
      </c>
      <c r="C2" s="9"/>
      <c r="E2" t="s">
        <v>19</v>
      </c>
      <c r="F2" s="7">
        <f>$B$2*H2+$B$3*I2+$B$4*J2+$B$5*K2+$B$6*L2+$B$7*M2+$B$8*N2+$B$9*O2+$B$10*P2+$B$11*Q2+$B$12*R2</f>
        <v>9.5804861399999997</v>
      </c>
      <c r="G2" s="7">
        <v>16.23</v>
      </c>
      <c r="H2">
        <v>9</v>
      </c>
      <c r="I2">
        <v>10</v>
      </c>
      <c r="J2">
        <v>8</v>
      </c>
      <c r="K2">
        <v>10</v>
      </c>
      <c r="L2">
        <v>10</v>
      </c>
      <c r="M2">
        <v>10</v>
      </c>
      <c r="N2">
        <v>9</v>
      </c>
      <c r="O2">
        <v>10</v>
      </c>
      <c r="P2">
        <v>10</v>
      </c>
      <c r="Q2">
        <v>10</v>
      </c>
      <c r="R2">
        <v>9</v>
      </c>
    </row>
    <row r="3" spans="1:18">
      <c r="A3" t="s">
        <v>9</v>
      </c>
      <c r="B3" s="9">
        <v>0.34511395099999997</v>
      </c>
      <c r="C3" s="9"/>
      <c r="E3" t="s">
        <v>20</v>
      </c>
      <c r="F3" s="7">
        <f>$B$2*H3+$B$3*I3+$B$4*J3+$B$5*K3+$B$6*L3+$B$7*M3+$B$8*N3+$B$9*O3+$B$10*P3+$B$11*Q3+$B$12*R3</f>
        <v>9.512722308999999</v>
      </c>
      <c r="G3" s="7">
        <v>21.71</v>
      </c>
      <c r="H3">
        <v>9</v>
      </c>
      <c r="I3">
        <v>10</v>
      </c>
      <c r="J3">
        <v>7</v>
      </c>
      <c r="K3">
        <v>10</v>
      </c>
      <c r="L3">
        <v>10</v>
      </c>
      <c r="M3">
        <v>9</v>
      </c>
      <c r="N3">
        <v>10</v>
      </c>
      <c r="O3">
        <v>10</v>
      </c>
      <c r="P3">
        <v>10</v>
      </c>
      <c r="Q3">
        <v>10</v>
      </c>
      <c r="R3">
        <v>8</v>
      </c>
    </row>
    <row r="4" spans="1:18">
      <c r="A4" t="s">
        <v>10</v>
      </c>
      <c r="B4" s="9">
        <v>4.1447044000000002E-2</v>
      </c>
      <c r="C4" s="9"/>
      <c r="E4" t="s">
        <v>21</v>
      </c>
      <c r="F4" s="7">
        <f>$B$2*H4+$B$3*I4+$B$4*J4+$B$5*K4+$B$6*L4+$B$7*M4+$B$8*N4+$B$9*O4+$B$10*P4+$B$11*Q4+$B$12*R4</f>
        <v>9.2662015100000001</v>
      </c>
      <c r="G4" s="7">
        <v>14.89</v>
      </c>
      <c r="H4">
        <v>10</v>
      </c>
      <c r="I4">
        <v>10</v>
      </c>
      <c r="J4">
        <v>5</v>
      </c>
      <c r="K4">
        <v>8</v>
      </c>
      <c r="L4">
        <v>8</v>
      </c>
      <c r="M4">
        <v>10</v>
      </c>
      <c r="N4">
        <v>7</v>
      </c>
      <c r="O4">
        <v>7</v>
      </c>
      <c r="P4">
        <v>8</v>
      </c>
      <c r="Q4">
        <v>10</v>
      </c>
      <c r="R4">
        <v>8</v>
      </c>
    </row>
    <row r="5" spans="1:18">
      <c r="A5" t="s">
        <v>11</v>
      </c>
      <c r="B5" s="9">
        <v>1.9908233000000001E-2</v>
      </c>
      <c r="C5" s="9"/>
      <c r="E5" t="s">
        <v>22</v>
      </c>
      <c r="F5" s="7">
        <f>$B$2*H5+$B$3*I5+$B$4*J5+$B$5*K5+$B$6*L5+$B$7*M5+$B$8*N5+$B$9*O5+$B$10*P5+$B$11*Q5+$B$12*R5</f>
        <v>9.1323423469999998</v>
      </c>
      <c r="G5" s="7">
        <v>21.93</v>
      </c>
      <c r="H5">
        <v>9</v>
      </c>
      <c r="I5">
        <v>10</v>
      </c>
      <c r="J5">
        <v>9</v>
      </c>
      <c r="K5">
        <v>8</v>
      </c>
      <c r="L5">
        <v>8</v>
      </c>
      <c r="M5">
        <v>8</v>
      </c>
      <c r="N5">
        <v>10</v>
      </c>
      <c r="O5">
        <v>7</v>
      </c>
      <c r="P5">
        <v>7</v>
      </c>
      <c r="Q5">
        <v>10</v>
      </c>
      <c r="R5">
        <v>9</v>
      </c>
    </row>
    <row r="6" spans="1:18">
      <c r="A6" t="s">
        <v>12</v>
      </c>
      <c r="B6" s="9">
        <v>3.7692919999999998E-2</v>
      </c>
      <c r="C6" s="9"/>
      <c r="E6" t="s">
        <v>23</v>
      </c>
      <c r="F6" s="7">
        <f>$B$2*H6+$B$3*I6+$B$4*J6+$B$5*K6+$B$6*L6+$B$7*M6+$B$8*N6+$B$9*O6+$B$10*P6+$B$11*Q6+$B$12*R6</f>
        <v>9.0522922910000005</v>
      </c>
      <c r="G6" s="7">
        <v>16.3</v>
      </c>
      <c r="H6">
        <v>10</v>
      </c>
      <c r="I6">
        <v>10</v>
      </c>
      <c r="J6">
        <v>5</v>
      </c>
      <c r="K6">
        <v>9</v>
      </c>
      <c r="L6">
        <v>9</v>
      </c>
      <c r="M6">
        <v>6</v>
      </c>
      <c r="N6">
        <v>7</v>
      </c>
      <c r="O6">
        <v>10</v>
      </c>
      <c r="P6">
        <v>9</v>
      </c>
      <c r="Q6">
        <v>5</v>
      </c>
      <c r="R6">
        <v>7</v>
      </c>
    </row>
    <row r="7" spans="1:18">
      <c r="A7" t="s">
        <v>13</v>
      </c>
      <c r="B7" s="9">
        <v>2.3055629000000001E-2</v>
      </c>
      <c r="C7" s="9"/>
      <c r="E7" t="s">
        <v>24</v>
      </c>
      <c r="F7" s="7">
        <f>$B$2*H7+$B$3*I7+$B$4*J7+$B$5*K7+$B$6*L7+$B$7*M7+$B$8*N7+$B$9*O7+$B$10*P7+$B$11*Q7+$B$12*R7</f>
        <v>8.9770202109999993</v>
      </c>
      <c r="G7" s="7">
        <v>16.23</v>
      </c>
      <c r="H7">
        <v>8</v>
      </c>
      <c r="I7">
        <v>10</v>
      </c>
      <c r="J7">
        <v>6</v>
      </c>
      <c r="K7">
        <v>10</v>
      </c>
      <c r="L7">
        <v>10</v>
      </c>
      <c r="M7">
        <v>10</v>
      </c>
      <c r="N7">
        <v>8</v>
      </c>
      <c r="O7">
        <v>10</v>
      </c>
      <c r="P7">
        <v>10</v>
      </c>
      <c r="Q7">
        <v>8</v>
      </c>
      <c r="R7">
        <v>7</v>
      </c>
    </row>
    <row r="8" spans="1:18">
      <c r="A8" t="s">
        <v>14</v>
      </c>
      <c r="B8" s="9">
        <v>2.1652573000000001E-2</v>
      </c>
      <c r="C8" s="9"/>
      <c r="E8" t="s">
        <v>25</v>
      </c>
      <c r="F8" s="7">
        <f>$B$2*H8+$B$3*I8+$B$4*J8+$B$5*K8+$B$6*L8+$B$7*M8+$B$8*N8+$B$9*O8+$B$10*P8+$B$11*Q8+$B$12*R8</f>
        <v>8.9437639840000003</v>
      </c>
      <c r="G8" s="7">
        <v>13.57</v>
      </c>
      <c r="H8">
        <v>10</v>
      </c>
      <c r="I8">
        <v>10</v>
      </c>
      <c r="J8">
        <v>5</v>
      </c>
      <c r="K8">
        <v>7</v>
      </c>
      <c r="L8">
        <v>7</v>
      </c>
      <c r="M8">
        <v>7</v>
      </c>
      <c r="N8">
        <v>6</v>
      </c>
      <c r="O8">
        <v>8</v>
      </c>
      <c r="P8">
        <v>7</v>
      </c>
      <c r="Q8">
        <v>8</v>
      </c>
      <c r="R8">
        <v>7</v>
      </c>
    </row>
    <row r="9" spans="1:18">
      <c r="A9" t="s">
        <v>15</v>
      </c>
      <c r="B9" s="9">
        <v>6.3289218999999994E-2</v>
      </c>
      <c r="C9" s="9"/>
      <c r="E9" t="s">
        <v>26</v>
      </c>
      <c r="F9" s="7">
        <f>$B$2*H9+$B$3*I9+$B$4*J9+$B$5*K9+$B$6*L9+$B$7*M9+$B$8*N9+$B$9*O9+$B$10*P9+$B$11*Q9+$B$12*R9</f>
        <v>8.6402108389999999</v>
      </c>
      <c r="G9" s="7">
        <v>17.25</v>
      </c>
      <c r="H9">
        <v>8</v>
      </c>
      <c r="I9">
        <v>10</v>
      </c>
      <c r="J9">
        <v>5</v>
      </c>
      <c r="K9">
        <v>8</v>
      </c>
      <c r="L9">
        <v>7</v>
      </c>
      <c r="M9">
        <v>9</v>
      </c>
      <c r="N9">
        <v>9</v>
      </c>
      <c r="O9">
        <v>7</v>
      </c>
      <c r="P9">
        <v>7</v>
      </c>
      <c r="Q9">
        <v>10</v>
      </c>
      <c r="R9">
        <v>9</v>
      </c>
    </row>
    <row r="10" spans="1:18">
      <c r="A10" t="s">
        <v>16</v>
      </c>
      <c r="B10" s="9">
        <v>5.3354063E-2</v>
      </c>
      <c r="C10" s="9"/>
      <c r="E10" t="s">
        <v>27</v>
      </c>
      <c r="F10" s="7">
        <f>$B$2*H10+$B$3*I10+$B$4*J10+$B$5*K10+$B$6*L10+$B$7*M10+$B$8*N10+$B$9*O10+$B$10*P10+$B$11*Q10+$B$12*R10</f>
        <v>8.5187516610000014</v>
      </c>
      <c r="G10" s="7">
        <v>16.29</v>
      </c>
      <c r="H10">
        <v>10</v>
      </c>
      <c r="I10">
        <v>10</v>
      </c>
      <c r="J10">
        <v>3</v>
      </c>
      <c r="K10">
        <v>7</v>
      </c>
      <c r="L10">
        <v>5</v>
      </c>
      <c r="M10">
        <v>8</v>
      </c>
      <c r="N10">
        <v>5</v>
      </c>
      <c r="O10">
        <v>5</v>
      </c>
      <c r="P10">
        <v>6</v>
      </c>
      <c r="Q10">
        <v>8</v>
      </c>
      <c r="R10">
        <v>6</v>
      </c>
    </row>
    <row r="11" spans="1:18">
      <c r="A11" t="s">
        <v>17</v>
      </c>
      <c r="B11" s="9">
        <v>7.9519169000000001E-2</v>
      </c>
      <c r="C11" s="9"/>
      <c r="E11" t="s">
        <v>28</v>
      </c>
      <c r="F11" s="7">
        <f>$B$2*H11+$B$3*I11+$B$4*J11+$B$5*K11+$B$6*L11+$B$7*M11+$B$8*N11+$B$9*O11+$B$10*P11+$B$11*Q11+$B$12*R11</f>
        <v>8.4997914360000006</v>
      </c>
      <c r="G11" s="7">
        <v>9.93</v>
      </c>
      <c r="H11">
        <v>8</v>
      </c>
      <c r="I11">
        <v>10</v>
      </c>
      <c r="J11">
        <v>4</v>
      </c>
      <c r="K11">
        <v>10</v>
      </c>
      <c r="L11">
        <v>10</v>
      </c>
      <c r="M11">
        <v>10</v>
      </c>
      <c r="N11">
        <v>7</v>
      </c>
      <c r="O11">
        <v>10</v>
      </c>
      <c r="P11">
        <v>10</v>
      </c>
      <c r="Q11">
        <v>3</v>
      </c>
      <c r="R11">
        <v>8</v>
      </c>
    </row>
    <row r="12" spans="1:18">
      <c r="A12" t="s">
        <v>18</v>
      </c>
      <c r="B12" s="9">
        <v>2.4913731000000001E-2</v>
      </c>
      <c r="C12" s="9"/>
      <c r="E12" t="s">
        <v>29</v>
      </c>
      <c r="F12" s="7">
        <f>$B$2*H12+$B$3*I12+$B$4*J12+$B$5*K12+$B$6*L12+$B$7*M12+$B$8*N12+$B$9*O12+$B$10*P12+$B$11*Q12+$B$12*R12</f>
        <v>8.4127261019999988</v>
      </c>
      <c r="G12" s="7">
        <v>20.03</v>
      </c>
      <c r="H12">
        <v>7</v>
      </c>
      <c r="I12">
        <v>10</v>
      </c>
      <c r="J12">
        <v>10</v>
      </c>
      <c r="K12">
        <v>7</v>
      </c>
      <c r="L12">
        <v>5</v>
      </c>
      <c r="M12">
        <v>7</v>
      </c>
      <c r="N12">
        <v>10</v>
      </c>
      <c r="O12">
        <v>7</v>
      </c>
      <c r="P12">
        <v>7</v>
      </c>
      <c r="Q12">
        <v>10</v>
      </c>
      <c r="R12">
        <v>8</v>
      </c>
    </row>
    <row r="13" spans="1:18">
      <c r="E13" t="s">
        <v>30</v>
      </c>
      <c r="F13" s="7">
        <f>$B$2*H13+$B$3*I13+$B$4*J13+$B$5*K13+$B$6*L13+$B$7*M13+$B$8*N13+$B$9*O13+$B$10*P13+$B$11*Q13+$B$12*R13</f>
        <v>8.1675704390000003</v>
      </c>
      <c r="G13" s="7">
        <v>8.6999999999999993</v>
      </c>
      <c r="H13">
        <v>9</v>
      </c>
      <c r="I13">
        <v>10</v>
      </c>
      <c r="J13">
        <v>6</v>
      </c>
      <c r="K13">
        <v>5</v>
      </c>
      <c r="L13">
        <v>4</v>
      </c>
      <c r="M13">
        <v>7</v>
      </c>
      <c r="N13">
        <v>8</v>
      </c>
      <c r="O13">
        <v>4</v>
      </c>
      <c r="P13">
        <v>4</v>
      </c>
      <c r="Q13">
        <v>7</v>
      </c>
      <c r="R13">
        <v>10</v>
      </c>
    </row>
    <row r="14" spans="1:18">
      <c r="E14" t="s">
        <v>31</v>
      </c>
      <c r="F14" s="7">
        <f>$B$2*H14+$B$3*I14+$B$4*J14+$B$5*K14+$B$6*L14+$B$7*M14+$B$8*N14+$B$9*O14+$B$10*P14+$B$11*Q14+$B$12*R14</f>
        <v>8.0027302749999993</v>
      </c>
      <c r="G14" s="7">
        <v>20.71</v>
      </c>
      <c r="H14">
        <v>7</v>
      </c>
      <c r="I14">
        <v>10</v>
      </c>
      <c r="J14">
        <v>6</v>
      </c>
      <c r="K14">
        <v>7</v>
      </c>
      <c r="L14">
        <v>4</v>
      </c>
      <c r="M14">
        <v>6</v>
      </c>
      <c r="N14">
        <v>10</v>
      </c>
      <c r="O14">
        <v>5</v>
      </c>
      <c r="P14">
        <v>5</v>
      </c>
      <c r="Q14">
        <v>10</v>
      </c>
      <c r="R14">
        <v>10</v>
      </c>
    </row>
    <row r="15" spans="1:18">
      <c r="A15" t="s">
        <v>32</v>
      </c>
      <c r="B15" t="s">
        <v>33</v>
      </c>
      <c r="C15" t="s">
        <v>34</v>
      </c>
      <c r="E15" t="s">
        <v>35</v>
      </c>
      <c r="F15" s="7">
        <f>$B$2*H15+$B$3*I15+$B$4*J15+$B$5*K15+$B$6*L15+$B$7*M15+$B$8*N15+$B$9*O15+$B$10*P15+$B$11*Q15+$B$12*R15</f>
        <v>7.9919987869999991</v>
      </c>
      <c r="G15" s="7">
        <v>23.2</v>
      </c>
      <c r="H15">
        <v>6</v>
      </c>
      <c r="I15">
        <v>10</v>
      </c>
      <c r="J15">
        <v>7</v>
      </c>
      <c r="K15">
        <v>8</v>
      </c>
      <c r="L15">
        <v>7</v>
      </c>
      <c r="M15">
        <v>9</v>
      </c>
      <c r="N15">
        <v>8</v>
      </c>
      <c r="O15">
        <v>7</v>
      </c>
      <c r="P15">
        <v>7</v>
      </c>
      <c r="Q15">
        <v>9</v>
      </c>
      <c r="R15">
        <v>7</v>
      </c>
    </row>
    <row r="16" spans="1:18">
      <c r="A16" s="17">
        <f>2/5</f>
        <v>0.4</v>
      </c>
      <c r="B16" s="17">
        <f>5/5</f>
        <v>1</v>
      </c>
      <c r="C16" s="13" t="s">
        <v>36</v>
      </c>
      <c r="E16" t="s">
        <v>37</v>
      </c>
      <c r="F16" s="7">
        <f>$B$2*H16+$B$3*I16+$B$4*J16+$B$5*K16+$B$6*L16+$B$7*M16+$B$8*N16+$B$9*O16+$B$10*P16+$B$11*Q16+$B$12*R16</f>
        <v>7.8100565019999983</v>
      </c>
      <c r="G16" s="7">
        <v>6.8</v>
      </c>
      <c r="H16">
        <v>8</v>
      </c>
      <c r="I16">
        <v>10</v>
      </c>
      <c r="J16">
        <v>3</v>
      </c>
      <c r="K16">
        <v>5</v>
      </c>
      <c r="L16">
        <v>5</v>
      </c>
      <c r="M16">
        <v>6</v>
      </c>
      <c r="N16">
        <v>4</v>
      </c>
      <c r="O16">
        <v>6</v>
      </c>
      <c r="P16">
        <v>6</v>
      </c>
      <c r="Q16">
        <v>6</v>
      </c>
      <c r="R16">
        <v>9</v>
      </c>
    </row>
    <row r="17" spans="1:18">
      <c r="A17" s="17">
        <f>2/8</f>
        <v>0.25</v>
      </c>
      <c r="B17" s="17">
        <f>6/8</f>
        <v>0.75</v>
      </c>
      <c r="C17" s="13" t="s">
        <v>38</v>
      </c>
      <c r="E17" t="s">
        <v>39</v>
      </c>
      <c r="F17" s="7">
        <f>$B$2*H17+$B$3*I17+$B$4*J17+$B$5*K17+$B$6*L17+$B$7*M17+$B$8*N17+$B$9*O17+$B$10*P17+$B$11*Q17+$B$12*R17</f>
        <v>7.1177050579999994</v>
      </c>
      <c r="G17" s="7">
        <v>15.56</v>
      </c>
      <c r="H17">
        <v>6</v>
      </c>
      <c r="I17">
        <v>10</v>
      </c>
      <c r="J17">
        <v>10</v>
      </c>
      <c r="K17">
        <v>4</v>
      </c>
      <c r="L17">
        <v>2</v>
      </c>
      <c r="M17">
        <v>5</v>
      </c>
      <c r="N17">
        <v>9</v>
      </c>
      <c r="O17">
        <v>0</v>
      </c>
      <c r="P17">
        <v>2</v>
      </c>
      <c r="Q17">
        <v>9</v>
      </c>
      <c r="R17">
        <v>9</v>
      </c>
    </row>
    <row r="18" spans="1:18">
      <c r="A18" s="17">
        <f>1/3</f>
        <v>0.33333333333333331</v>
      </c>
      <c r="B18" s="17">
        <f>2/3</f>
        <v>0.66666666666666663</v>
      </c>
      <c r="C18" s="13" t="s">
        <v>40</v>
      </c>
      <c r="E18" t="s">
        <v>41</v>
      </c>
      <c r="F18" s="7">
        <f>$B$2*H18+$B$3*I18+$B$4*J18+$B$5*K18+$B$6*L18+$B$7*M18+$B$8*N18+$B$9*O18+$B$10*P18+$B$11*Q18+$B$12*R18</f>
        <v>6.9080050059999998</v>
      </c>
      <c r="G18" s="7">
        <v>10.07</v>
      </c>
      <c r="H18">
        <v>6</v>
      </c>
      <c r="I18">
        <v>7</v>
      </c>
      <c r="J18">
        <v>8</v>
      </c>
      <c r="K18">
        <v>7</v>
      </c>
      <c r="L18">
        <v>6</v>
      </c>
      <c r="M18">
        <v>7</v>
      </c>
      <c r="N18">
        <v>10</v>
      </c>
      <c r="O18">
        <v>7</v>
      </c>
      <c r="P18">
        <v>7</v>
      </c>
      <c r="Q18">
        <v>8</v>
      </c>
      <c r="R18">
        <v>9</v>
      </c>
    </row>
    <row r="19" spans="1:18">
      <c r="A19" s="17">
        <f>0/2</f>
        <v>0</v>
      </c>
      <c r="B19" s="17">
        <f>1/2</f>
        <v>0.5</v>
      </c>
      <c r="C19" s="13" t="s">
        <v>42</v>
      </c>
      <c r="E19" t="s">
        <v>43</v>
      </c>
      <c r="F19" s="7">
        <f>$B$2*H19+$B$3*I19+$B$4*J19+$B$5*K19+$B$6*L19+$B$7*M19+$B$8*N19+$B$9*O19+$B$10*P19+$B$11*Q19+$B$12*R19</f>
        <v>6.8539683760000001</v>
      </c>
      <c r="G19" s="7">
        <v>13.37</v>
      </c>
      <c r="H19">
        <v>7</v>
      </c>
      <c r="I19">
        <v>7</v>
      </c>
      <c r="J19">
        <v>4</v>
      </c>
      <c r="K19">
        <v>7</v>
      </c>
      <c r="L19">
        <v>5</v>
      </c>
      <c r="M19">
        <v>7</v>
      </c>
      <c r="N19">
        <v>5</v>
      </c>
      <c r="O19">
        <v>6</v>
      </c>
      <c r="P19">
        <v>6</v>
      </c>
      <c r="Q19">
        <v>10</v>
      </c>
      <c r="R19">
        <v>6</v>
      </c>
    </row>
    <row r="20" spans="1:18">
      <c r="A20" s="17">
        <f>0/9</f>
        <v>0</v>
      </c>
      <c r="B20" s="17">
        <f>0/9</f>
        <v>0</v>
      </c>
      <c r="C20" s="13" t="s">
        <v>44</v>
      </c>
      <c r="E20" t="s">
        <v>45</v>
      </c>
      <c r="F20" s="7">
        <f>$B$2*H20+$B$3*I20+$B$4*J20+$B$5*K20+$B$6*L20+$B$7*M20+$B$8*N20+$B$9*O20+$B$10*P20+$B$11*Q20+$B$12*R20</f>
        <v>5.9378863119999998</v>
      </c>
      <c r="G20" s="7">
        <v>9.14</v>
      </c>
      <c r="H20">
        <v>5</v>
      </c>
      <c r="I20">
        <v>5</v>
      </c>
      <c r="J20">
        <v>4</v>
      </c>
      <c r="K20">
        <v>7</v>
      </c>
      <c r="L20">
        <v>8</v>
      </c>
      <c r="M20">
        <v>9</v>
      </c>
      <c r="N20">
        <v>6</v>
      </c>
      <c r="O20">
        <v>10</v>
      </c>
      <c r="P20">
        <v>10</v>
      </c>
      <c r="Q20">
        <v>6</v>
      </c>
      <c r="R20">
        <v>7</v>
      </c>
    </row>
    <row r="21" spans="1:18">
      <c r="A21" s="17">
        <f>1/11</f>
        <v>9.0909090909090912E-2</v>
      </c>
      <c r="B21" s="17">
        <f>1/11</f>
        <v>9.0909090909090912E-2</v>
      </c>
      <c r="C21" s="13" t="s">
        <v>46</v>
      </c>
      <c r="E21" t="s">
        <v>47</v>
      </c>
      <c r="F21" s="7">
        <f>$B$2*H21+$B$3*I21+$B$4*J21+$B$5*K21+$B$6*L21+$B$7*M21+$B$8*N21+$B$9*O21+$B$10*P21+$B$11*Q21+$B$12*R21</f>
        <v>5.8509347379999994</v>
      </c>
      <c r="G21" s="7">
        <v>2.7</v>
      </c>
      <c r="H21">
        <v>4</v>
      </c>
      <c r="I21">
        <v>5</v>
      </c>
      <c r="J21">
        <v>4</v>
      </c>
      <c r="K21">
        <v>10</v>
      </c>
      <c r="L21">
        <v>9</v>
      </c>
      <c r="M21">
        <v>9</v>
      </c>
      <c r="N21">
        <v>6</v>
      </c>
      <c r="O21">
        <v>10</v>
      </c>
      <c r="P21">
        <v>9</v>
      </c>
      <c r="Q21">
        <v>8</v>
      </c>
      <c r="R21">
        <v>7</v>
      </c>
    </row>
    <row r="22" spans="1:18">
      <c r="A22" s="17">
        <f>0/21</f>
        <v>0</v>
      </c>
      <c r="B22" s="17">
        <f>0/21</f>
        <v>0</v>
      </c>
      <c r="C22" s="13" t="s">
        <v>48</v>
      </c>
      <c r="E22" t="s">
        <v>49</v>
      </c>
      <c r="F22" s="7">
        <f>$B$2*H22+$B$3*I22+$B$4*J22+$B$5*K22+$B$6*L22+$B$7*M22+$B$8*N22+$B$9*O22+$B$10*P22+$B$11*Q22+$B$12*R22</f>
        <v>5.4696446860000005</v>
      </c>
      <c r="G22" s="7">
        <v>0</v>
      </c>
      <c r="H22">
        <v>4</v>
      </c>
      <c r="I22">
        <v>5</v>
      </c>
      <c r="J22">
        <v>4</v>
      </c>
      <c r="K22">
        <v>6</v>
      </c>
      <c r="L22">
        <v>6</v>
      </c>
      <c r="M22">
        <v>6</v>
      </c>
      <c r="N22">
        <v>7</v>
      </c>
      <c r="O22">
        <v>7</v>
      </c>
      <c r="P22">
        <v>6</v>
      </c>
      <c r="Q22">
        <v>10</v>
      </c>
      <c r="R22">
        <v>9</v>
      </c>
    </row>
    <row r="23" spans="1:18">
      <c r="A23" s="17">
        <f>0/26</f>
        <v>0</v>
      </c>
      <c r="B23" s="17">
        <f>1/26</f>
        <v>3.8461538461538464E-2</v>
      </c>
      <c r="C23" s="13" t="s">
        <v>50</v>
      </c>
      <c r="E23" t="s">
        <v>51</v>
      </c>
      <c r="F23" s="7">
        <f>$B$2*H23+$B$3*I23+$B$4*J23+$B$5*K23+$B$6*L23+$B$7*M23+$B$8*N23+$B$9*O23+$B$10*P23+$B$11*Q23+$B$12*R23</f>
        <v>5.4439346239999997</v>
      </c>
      <c r="G23" s="7">
        <v>6.58</v>
      </c>
      <c r="H23">
        <v>4</v>
      </c>
      <c r="I23">
        <v>5</v>
      </c>
      <c r="J23">
        <v>2</v>
      </c>
      <c r="K23">
        <v>8</v>
      </c>
      <c r="L23">
        <v>8</v>
      </c>
      <c r="M23">
        <v>10</v>
      </c>
      <c r="N23">
        <v>5</v>
      </c>
      <c r="O23">
        <v>7</v>
      </c>
      <c r="P23">
        <v>8</v>
      </c>
      <c r="Q23">
        <v>7</v>
      </c>
      <c r="R23">
        <v>10</v>
      </c>
    </row>
    <row r="24" spans="1:18">
      <c r="A24" s="17">
        <f>0/11</f>
        <v>0</v>
      </c>
      <c r="B24" s="17">
        <f>0/11</f>
        <v>0</v>
      </c>
      <c r="C24" s="13" t="s">
        <v>52</v>
      </c>
      <c r="E24" t="s">
        <v>53</v>
      </c>
      <c r="F24" s="7">
        <f>$B$2*H24+$B$3*I24+$B$4*J24+$B$5*K24+$B$6*L24+$B$7*M24+$B$8*N24+$B$9*O24+$B$10*P24+$B$11*Q24+$B$12*R24</f>
        <v>5.3449243499999994</v>
      </c>
      <c r="G24" s="7">
        <v>0</v>
      </c>
      <c r="H24">
        <v>5</v>
      </c>
      <c r="I24">
        <v>7</v>
      </c>
      <c r="J24">
        <v>2</v>
      </c>
      <c r="K24">
        <v>0</v>
      </c>
      <c r="L24">
        <v>2</v>
      </c>
      <c r="M24">
        <v>4</v>
      </c>
      <c r="N24">
        <v>6</v>
      </c>
      <c r="O24">
        <v>2</v>
      </c>
      <c r="P24">
        <v>2</v>
      </c>
      <c r="Q24">
        <v>9</v>
      </c>
      <c r="R24">
        <v>6</v>
      </c>
    </row>
    <row r="25" spans="1:18">
      <c r="A25" s="17">
        <v>0</v>
      </c>
      <c r="B25" s="17">
        <v>0</v>
      </c>
      <c r="C25" s="13" t="s">
        <v>54</v>
      </c>
      <c r="E25" t="s">
        <v>55</v>
      </c>
      <c r="F25" s="7">
        <f>$B$2*H25+$B$3*I25+$B$4*J25+$B$5*K25+$B$6*L25+$B$7*M25+$B$8*N25+$B$9*O25+$B$10*P25+$B$11*Q25+$B$12*R25</f>
        <v>5.2386333459999994</v>
      </c>
      <c r="G25" s="7">
        <v>1.93</v>
      </c>
      <c r="H25">
        <v>5</v>
      </c>
      <c r="I25">
        <v>3</v>
      </c>
      <c r="J25">
        <v>4</v>
      </c>
      <c r="K25">
        <v>6</v>
      </c>
      <c r="L25">
        <v>7</v>
      </c>
      <c r="M25">
        <v>9</v>
      </c>
      <c r="N25">
        <v>8</v>
      </c>
      <c r="O25">
        <v>8</v>
      </c>
      <c r="P25">
        <v>8</v>
      </c>
      <c r="Q25">
        <v>9</v>
      </c>
      <c r="R25">
        <v>7</v>
      </c>
    </row>
    <row r="26" spans="1:18">
      <c r="E26" t="s">
        <v>56</v>
      </c>
      <c r="F26" s="7">
        <f>$B$2*H26+$B$3*I26+$B$4*J26+$B$5*K26+$B$6*L26+$B$7*M26+$B$8*N26+$B$9*O26+$B$10*P26+$B$11*Q26+$B$12*R26</f>
        <v>5.226536726</v>
      </c>
      <c r="G26" s="7">
        <v>6</v>
      </c>
      <c r="H26">
        <v>6</v>
      </c>
      <c r="I26">
        <v>3</v>
      </c>
      <c r="J26">
        <v>4</v>
      </c>
      <c r="K26">
        <v>6</v>
      </c>
      <c r="L26">
        <v>5</v>
      </c>
      <c r="M26">
        <v>9</v>
      </c>
      <c r="N26">
        <v>6</v>
      </c>
      <c r="O26">
        <v>6</v>
      </c>
      <c r="P26">
        <v>6</v>
      </c>
      <c r="Q26">
        <v>9</v>
      </c>
      <c r="R26">
        <v>9</v>
      </c>
    </row>
    <row r="27" spans="1:18">
      <c r="A27" t="s">
        <v>32</v>
      </c>
      <c r="B27" t="s">
        <v>33</v>
      </c>
      <c r="C27" t="s">
        <v>34</v>
      </c>
      <c r="E27" t="s">
        <v>57</v>
      </c>
      <c r="F27" s="7">
        <f>$B$2*H27+$B$3*I27+$B$4*J27+$B$5*K27+$B$6*L27+$B$7*M27+$B$8*N27+$B$9*O27+$B$10*P27+$B$11*Q27+$B$12*R27</f>
        <v>5.0362519450000001</v>
      </c>
      <c r="G27" s="7">
        <v>10.16</v>
      </c>
      <c r="H27">
        <v>5</v>
      </c>
      <c r="I27">
        <v>5</v>
      </c>
      <c r="J27">
        <v>5</v>
      </c>
      <c r="K27">
        <v>6</v>
      </c>
      <c r="L27">
        <v>3</v>
      </c>
      <c r="M27">
        <v>8</v>
      </c>
      <c r="N27">
        <v>9</v>
      </c>
      <c r="O27">
        <v>2</v>
      </c>
      <c r="P27">
        <v>4</v>
      </c>
      <c r="Q27">
        <v>6</v>
      </c>
      <c r="R27">
        <v>9</v>
      </c>
    </row>
    <row r="28" spans="1:18">
      <c r="A28" s="17">
        <f>5/16</f>
        <v>0.3125</v>
      </c>
      <c r="B28" s="17">
        <f>13/16</f>
        <v>0.8125</v>
      </c>
      <c r="C28" s="13" t="s">
        <v>58</v>
      </c>
      <c r="E28" t="s">
        <v>59</v>
      </c>
      <c r="F28" s="7">
        <f>$B$2*H28+$B$3*I28+$B$4*J28+$B$5*K28+$B$6*L28+$B$7*M28+$B$8*N28+$B$9*O28+$B$10*P28+$B$11*Q28+$B$12*R28</f>
        <v>5.000530886</v>
      </c>
      <c r="G28" s="7">
        <v>8.17</v>
      </c>
      <c r="H28">
        <v>5</v>
      </c>
      <c r="I28">
        <v>2</v>
      </c>
      <c r="J28">
        <v>8</v>
      </c>
      <c r="K28">
        <v>6</v>
      </c>
      <c r="L28">
        <v>7</v>
      </c>
      <c r="M28">
        <v>8</v>
      </c>
      <c r="N28">
        <v>10</v>
      </c>
      <c r="O28">
        <v>6</v>
      </c>
      <c r="P28">
        <v>6</v>
      </c>
      <c r="Q28">
        <v>10</v>
      </c>
      <c r="R28">
        <v>10</v>
      </c>
    </row>
    <row r="29" spans="1:18">
      <c r="A29" s="17">
        <f>1/22</f>
        <v>4.5454545454545456E-2</v>
      </c>
      <c r="B29" s="17">
        <f>2/22</f>
        <v>9.0909090909090912E-2</v>
      </c>
      <c r="C29" s="13" t="s">
        <v>60</v>
      </c>
      <c r="E29" t="s">
        <v>61</v>
      </c>
      <c r="F29" s="7">
        <f>$B$2*H29+$B$3*I29+$B$4*J29+$B$5*K29+$B$6*L29+$B$7*M29+$B$8*N29+$B$9*O29+$B$10*P29+$B$11*Q29+$B$12*R29</f>
        <v>4.9798263240000002</v>
      </c>
      <c r="G29" s="7">
        <v>17.37</v>
      </c>
      <c r="H29">
        <v>4</v>
      </c>
      <c r="I29">
        <v>3</v>
      </c>
      <c r="J29">
        <v>9</v>
      </c>
      <c r="K29">
        <v>6</v>
      </c>
      <c r="L29">
        <v>6</v>
      </c>
      <c r="M29">
        <v>8</v>
      </c>
      <c r="N29">
        <v>10</v>
      </c>
      <c r="O29">
        <v>6</v>
      </c>
      <c r="P29">
        <v>6</v>
      </c>
      <c r="Q29">
        <v>9</v>
      </c>
      <c r="R29">
        <v>10</v>
      </c>
    </row>
    <row r="30" spans="1:18">
      <c r="A30" s="17">
        <f>0/58</f>
        <v>0</v>
      </c>
      <c r="B30" s="17">
        <f>1/58</f>
        <v>1.7241379310344827E-2</v>
      </c>
      <c r="C30" s="13" t="s">
        <v>62</v>
      </c>
      <c r="E30" t="s">
        <v>63</v>
      </c>
      <c r="F30" s="7">
        <f>$B$2*H30+$B$3*I30+$B$4*J30+$B$5*K30+$B$6*L30+$B$7*M30+$B$8*N30+$B$9*O30+$B$10*P30+$B$11*Q30+$B$12*R30</f>
        <v>4.9229456599999999</v>
      </c>
      <c r="G30" s="7">
        <v>1.7</v>
      </c>
      <c r="H30">
        <v>4</v>
      </c>
      <c r="I30">
        <v>3</v>
      </c>
      <c r="J30">
        <v>5</v>
      </c>
      <c r="K30">
        <v>6</v>
      </c>
      <c r="L30">
        <v>6</v>
      </c>
      <c r="M30">
        <v>6</v>
      </c>
      <c r="N30">
        <v>10</v>
      </c>
      <c r="O30">
        <v>8</v>
      </c>
      <c r="P30">
        <v>7</v>
      </c>
      <c r="Q30">
        <v>9</v>
      </c>
      <c r="R30">
        <v>9</v>
      </c>
    </row>
    <row r="31" spans="1:18">
      <c r="E31" t="s">
        <v>64</v>
      </c>
      <c r="F31" s="7">
        <f>$B$2*H31+$B$3*I31+$B$4*J31+$B$5*K31+$B$6*L31+$B$7*M31+$B$8*N31+$B$9*O31+$B$10*P31+$B$11*Q31+$B$12*R31</f>
        <v>4.9208600330000003</v>
      </c>
      <c r="G31" s="7">
        <v>5.77</v>
      </c>
      <c r="H31">
        <v>3</v>
      </c>
      <c r="I31">
        <v>3</v>
      </c>
      <c r="J31">
        <v>4</v>
      </c>
      <c r="K31">
        <v>8</v>
      </c>
      <c r="L31">
        <v>9</v>
      </c>
      <c r="M31">
        <v>10</v>
      </c>
      <c r="N31">
        <v>8</v>
      </c>
      <c r="O31">
        <v>10</v>
      </c>
      <c r="P31">
        <v>10</v>
      </c>
      <c r="Q31">
        <v>7</v>
      </c>
      <c r="R31">
        <v>9</v>
      </c>
    </row>
    <row r="32" spans="1:18">
      <c r="E32" t="s">
        <v>65</v>
      </c>
      <c r="F32" s="7">
        <f>$B$2*H32+$B$3*I32+$B$4*J32+$B$5*K32+$B$6*L32+$B$7*M32+$B$8*N32+$B$9*O32+$B$10*P32+$B$11*Q32+$B$12*R32</f>
        <v>4.9180539239999996</v>
      </c>
      <c r="G32" s="7">
        <v>2.9</v>
      </c>
      <c r="H32">
        <v>6</v>
      </c>
      <c r="I32">
        <v>2</v>
      </c>
      <c r="J32">
        <v>5</v>
      </c>
      <c r="K32">
        <v>8</v>
      </c>
      <c r="L32">
        <v>6</v>
      </c>
      <c r="M32">
        <v>7</v>
      </c>
      <c r="N32">
        <v>8</v>
      </c>
      <c r="O32">
        <v>6</v>
      </c>
      <c r="P32">
        <v>6</v>
      </c>
      <c r="Q32">
        <v>8</v>
      </c>
      <c r="R32">
        <v>9</v>
      </c>
    </row>
    <row r="33" spans="5:18">
      <c r="E33" t="s">
        <v>66</v>
      </c>
      <c r="F33" s="7">
        <f>$B$2*H33+$B$3*I33+$B$4*J33+$B$5*K33+$B$6*L33+$B$7*M33+$B$8*N33+$B$9*O33+$B$10*P33+$B$11*Q33+$B$12*R33</f>
        <v>4.765462061</v>
      </c>
      <c r="G33" s="7">
        <v>5.99</v>
      </c>
      <c r="H33">
        <v>5</v>
      </c>
      <c r="I33">
        <v>3</v>
      </c>
      <c r="J33">
        <v>4</v>
      </c>
      <c r="K33">
        <v>4</v>
      </c>
      <c r="L33">
        <v>5</v>
      </c>
      <c r="M33">
        <v>6</v>
      </c>
      <c r="N33">
        <v>6</v>
      </c>
      <c r="O33">
        <v>5</v>
      </c>
      <c r="P33">
        <v>5</v>
      </c>
      <c r="Q33">
        <v>10</v>
      </c>
      <c r="R33">
        <v>8</v>
      </c>
    </row>
    <row r="34" spans="5:18">
      <c r="E34" t="s">
        <v>67</v>
      </c>
      <c r="F34" s="7">
        <f>$B$2*H34+$B$3*I34+$B$4*J34+$B$5*K34+$B$6*L34+$B$7*M34+$B$8*N34+$B$9*O34+$B$10*P34+$B$11*Q34+$B$12*R34</f>
        <v>4.6058169949999996</v>
      </c>
      <c r="G34" s="7">
        <v>-1.1000000000000001</v>
      </c>
      <c r="H34">
        <v>3</v>
      </c>
      <c r="I34">
        <v>3</v>
      </c>
      <c r="J34">
        <v>4</v>
      </c>
      <c r="K34">
        <v>6</v>
      </c>
      <c r="L34">
        <v>7</v>
      </c>
      <c r="M34">
        <v>6</v>
      </c>
      <c r="N34">
        <v>6</v>
      </c>
      <c r="O34">
        <v>9</v>
      </c>
      <c r="P34">
        <v>7</v>
      </c>
      <c r="Q34">
        <v>9</v>
      </c>
      <c r="R34">
        <v>9</v>
      </c>
    </row>
    <row r="35" spans="5:18">
      <c r="E35" t="s">
        <v>68</v>
      </c>
      <c r="F35" s="7">
        <f>$B$2*H35+$B$3*I35+$B$4*J35+$B$5*K35+$B$6*L35+$B$7*M35+$B$8*N35+$B$9*O35+$B$10*P35+$B$11*Q35+$B$12*R35</f>
        <v>4.4450343189999995</v>
      </c>
      <c r="G35" s="7">
        <v>0</v>
      </c>
      <c r="H35">
        <v>3</v>
      </c>
      <c r="I35">
        <v>5</v>
      </c>
      <c r="J35">
        <v>3</v>
      </c>
      <c r="K35">
        <v>6</v>
      </c>
      <c r="L35">
        <v>4</v>
      </c>
      <c r="M35">
        <v>7</v>
      </c>
      <c r="N35">
        <v>0</v>
      </c>
      <c r="O35">
        <v>3</v>
      </c>
      <c r="P35">
        <v>4</v>
      </c>
      <c r="Q35">
        <v>9</v>
      </c>
      <c r="R35">
        <v>7</v>
      </c>
    </row>
    <row r="36" spans="5:18">
      <c r="E36" t="s">
        <v>69</v>
      </c>
      <c r="F36" s="7">
        <f>$B$2*H36+$B$3*I36+$B$4*J36+$B$5*K36+$B$6*L36+$B$7*M36+$B$8*N36+$B$9*O36+$B$10*P36+$B$11*Q36+$B$12*R36</f>
        <v>4.3595995599999995</v>
      </c>
      <c r="G36" s="7">
        <v>-0.05</v>
      </c>
      <c r="H36">
        <v>4</v>
      </c>
      <c r="I36">
        <v>1</v>
      </c>
      <c r="J36">
        <v>7</v>
      </c>
      <c r="K36">
        <v>7</v>
      </c>
      <c r="L36">
        <v>7</v>
      </c>
      <c r="M36">
        <v>6</v>
      </c>
      <c r="N36">
        <v>8</v>
      </c>
      <c r="O36">
        <v>8</v>
      </c>
      <c r="P36">
        <v>7</v>
      </c>
      <c r="Q36">
        <v>10</v>
      </c>
      <c r="R36">
        <v>7</v>
      </c>
    </row>
    <row r="37" spans="5:18">
      <c r="E37" t="s">
        <v>70</v>
      </c>
      <c r="F37" s="7">
        <f>$B$2*H37+$B$3*I37+$B$4*J37+$B$5*K37+$B$6*L37+$B$7*M37+$B$8*N37+$B$9*O37+$B$10*P37+$B$11*Q37+$B$12*R37</f>
        <v>4.1913844749999996</v>
      </c>
      <c r="G37" s="7">
        <v>0</v>
      </c>
      <c r="H37">
        <v>1</v>
      </c>
      <c r="I37">
        <v>2</v>
      </c>
      <c r="J37">
        <v>7</v>
      </c>
      <c r="K37">
        <v>10</v>
      </c>
      <c r="L37">
        <v>8</v>
      </c>
      <c r="M37">
        <v>8</v>
      </c>
      <c r="N37">
        <v>10</v>
      </c>
      <c r="O37">
        <v>9</v>
      </c>
      <c r="P37">
        <v>9</v>
      </c>
      <c r="Q37">
        <v>10</v>
      </c>
      <c r="R37">
        <v>7</v>
      </c>
    </row>
    <row r="38" spans="5:18">
      <c r="E38" t="s">
        <v>71</v>
      </c>
      <c r="F38" s="7">
        <f>$B$2*H38+$B$3*I38+$B$4*J38+$B$5*K38+$B$6*L38+$B$7*M38+$B$8*N38+$B$9*O38+$B$10*P38+$B$11*Q38+$B$12*R38</f>
        <v>4.150164953</v>
      </c>
      <c r="G38" s="7">
        <v>0</v>
      </c>
      <c r="H38">
        <v>5</v>
      </c>
      <c r="I38">
        <v>1</v>
      </c>
      <c r="J38">
        <v>2</v>
      </c>
      <c r="K38">
        <v>6</v>
      </c>
      <c r="L38">
        <v>6</v>
      </c>
      <c r="M38">
        <v>8</v>
      </c>
      <c r="N38">
        <v>3</v>
      </c>
      <c r="O38">
        <v>7</v>
      </c>
      <c r="P38">
        <v>7</v>
      </c>
      <c r="Q38">
        <v>8</v>
      </c>
      <c r="R38">
        <v>9</v>
      </c>
    </row>
    <row r="39" spans="5:18">
      <c r="E39" t="s">
        <v>72</v>
      </c>
      <c r="F39" s="7">
        <f>$B$2*H39+$B$3*I39+$B$4*J39+$B$5*K39+$B$6*L39+$B$7*M39+$B$8*N39+$B$9*O39+$B$10*P39+$B$11*Q39+$B$12*R39</f>
        <v>4.0467559079999997</v>
      </c>
      <c r="G39" s="7">
        <v>11.7</v>
      </c>
      <c r="H39">
        <v>1</v>
      </c>
      <c r="I39">
        <v>5</v>
      </c>
      <c r="J39">
        <v>4</v>
      </c>
      <c r="K39">
        <v>5</v>
      </c>
      <c r="L39">
        <v>3</v>
      </c>
      <c r="M39">
        <v>6</v>
      </c>
      <c r="N39">
        <v>9</v>
      </c>
      <c r="O39">
        <v>3</v>
      </c>
      <c r="P39">
        <v>3</v>
      </c>
      <c r="Q39">
        <v>10</v>
      </c>
      <c r="R39">
        <v>7</v>
      </c>
    </row>
    <row r="40" spans="5:18">
      <c r="E40" t="s">
        <v>73</v>
      </c>
      <c r="F40" s="7">
        <f>$B$2*H40+$B$3*I40+$B$4*J40+$B$5*K40+$B$6*L40+$B$7*M40+$B$8*N40+$B$9*O40+$B$10*P40+$B$11*Q40+$B$12*R40</f>
        <v>3.852944522</v>
      </c>
      <c r="G40" s="7">
        <v>6.31</v>
      </c>
      <c r="H40">
        <v>1</v>
      </c>
      <c r="I40">
        <v>2</v>
      </c>
      <c r="J40">
        <v>6</v>
      </c>
      <c r="K40">
        <v>8</v>
      </c>
      <c r="L40">
        <v>7</v>
      </c>
      <c r="M40">
        <v>7</v>
      </c>
      <c r="N40">
        <v>9</v>
      </c>
      <c r="O40">
        <v>8</v>
      </c>
      <c r="P40">
        <v>7</v>
      </c>
      <c r="Q40">
        <v>9</v>
      </c>
      <c r="R40">
        <v>10</v>
      </c>
    </row>
    <row r="41" spans="5:18">
      <c r="E41" t="s">
        <v>74</v>
      </c>
      <c r="F41" s="7">
        <f>$B$2*H41+$B$3*I41+$B$4*J41+$B$5*K41+$B$6*L41+$B$7*M41+$B$8*N41+$B$9*O41+$B$10*P41+$B$11*Q41+$B$12*R41</f>
        <v>3.8486595139999999</v>
      </c>
      <c r="G41" s="7">
        <v>0.15</v>
      </c>
      <c r="H41">
        <v>2</v>
      </c>
      <c r="I41">
        <v>3</v>
      </c>
      <c r="J41">
        <v>8</v>
      </c>
      <c r="K41">
        <v>5</v>
      </c>
      <c r="L41">
        <v>4</v>
      </c>
      <c r="M41">
        <v>5</v>
      </c>
      <c r="N41">
        <v>10</v>
      </c>
      <c r="O41">
        <v>3</v>
      </c>
      <c r="P41">
        <v>3</v>
      </c>
      <c r="Q41">
        <v>10</v>
      </c>
      <c r="R41">
        <v>7</v>
      </c>
    </row>
    <row r="42" spans="5:18">
      <c r="E42" t="s">
        <v>75</v>
      </c>
      <c r="F42" s="7">
        <f>$B$2*H42+$B$3*I42+$B$4*J42+$B$5*K42+$B$6*L42+$B$7*M42+$B$8*N42+$B$9*O42+$B$10*P42+$B$11*Q42+$B$12*R42</f>
        <v>3.8176026680000006</v>
      </c>
      <c r="G42" s="7">
        <v>0</v>
      </c>
      <c r="H42">
        <v>5</v>
      </c>
      <c r="I42">
        <v>2</v>
      </c>
      <c r="J42">
        <v>2</v>
      </c>
      <c r="K42">
        <v>5</v>
      </c>
      <c r="L42">
        <v>5</v>
      </c>
      <c r="M42">
        <v>7</v>
      </c>
      <c r="N42">
        <v>4</v>
      </c>
      <c r="O42">
        <v>6</v>
      </c>
      <c r="P42">
        <v>6</v>
      </c>
      <c r="Q42">
        <v>2</v>
      </c>
      <c r="R42">
        <v>8</v>
      </c>
    </row>
    <row r="43" spans="5:18">
      <c r="E43" t="s">
        <v>76</v>
      </c>
      <c r="F43" s="7">
        <f>$B$2*H43+$B$3*I43+$B$4*J43+$B$5*K43+$B$6*L43+$B$7*M43+$B$8*N43+$B$9*O43+$B$10*P43+$B$11*Q43+$B$12*R43</f>
        <v>3.6478707649999995</v>
      </c>
      <c r="G43" s="7">
        <v>0.22</v>
      </c>
      <c r="H43">
        <v>1</v>
      </c>
      <c r="I43">
        <v>1</v>
      </c>
      <c r="J43">
        <v>4</v>
      </c>
      <c r="K43">
        <v>9</v>
      </c>
      <c r="L43">
        <v>9</v>
      </c>
      <c r="M43">
        <v>10</v>
      </c>
      <c r="N43">
        <v>5</v>
      </c>
      <c r="O43">
        <v>9</v>
      </c>
      <c r="P43">
        <v>9</v>
      </c>
      <c r="Q43">
        <v>9</v>
      </c>
      <c r="R43">
        <v>9</v>
      </c>
    </row>
    <row r="44" spans="5:18">
      <c r="E44" t="s">
        <v>77</v>
      </c>
      <c r="F44" s="7">
        <f>$B$2*H44+$B$3*I44+$B$4*J44+$B$5*K44+$B$6*L44+$B$7*M44+$B$8*N44+$B$9*O44+$B$10*P44+$B$11*Q44+$B$12*R44</f>
        <v>3.625535626</v>
      </c>
      <c r="G44" s="7">
        <v>0.74</v>
      </c>
      <c r="H44">
        <v>3</v>
      </c>
      <c r="I44">
        <v>5</v>
      </c>
      <c r="J44">
        <v>0</v>
      </c>
      <c r="K44">
        <v>4</v>
      </c>
      <c r="L44">
        <v>4</v>
      </c>
      <c r="M44">
        <v>4</v>
      </c>
      <c r="N44">
        <v>3</v>
      </c>
      <c r="O44">
        <v>4</v>
      </c>
      <c r="P44">
        <v>3</v>
      </c>
      <c r="Q44">
        <v>1</v>
      </c>
      <c r="R44">
        <v>6</v>
      </c>
    </row>
    <row r="45" spans="5:18">
      <c r="E45" t="s">
        <v>78</v>
      </c>
      <c r="F45" s="7">
        <f>$B$2*H45+$B$3*I45+$B$4*J45+$B$5*K45+$B$6*L45+$B$7*M45+$B$8*N45+$B$9*O45+$B$10*P45+$B$11*Q45+$B$12*R45</f>
        <v>3.5717644390000003</v>
      </c>
      <c r="G45" s="7">
        <v>3.87</v>
      </c>
      <c r="H45">
        <v>5</v>
      </c>
      <c r="I45">
        <v>1</v>
      </c>
      <c r="J45">
        <v>1</v>
      </c>
      <c r="K45">
        <v>6</v>
      </c>
      <c r="L45">
        <v>5</v>
      </c>
      <c r="M45">
        <v>8</v>
      </c>
      <c r="N45">
        <v>5</v>
      </c>
      <c r="O45">
        <v>3</v>
      </c>
      <c r="P45">
        <v>4</v>
      </c>
      <c r="Q45">
        <v>7</v>
      </c>
      <c r="R45">
        <v>7</v>
      </c>
    </row>
    <row r="46" spans="5:18">
      <c r="E46" t="s">
        <v>79</v>
      </c>
      <c r="F46" s="7">
        <f>$B$2*H46+$B$3*I46+$B$4*J46+$B$5*K46+$B$6*L46+$B$7*M46+$B$8*N46+$B$9*O46+$B$10*P46+$B$11*Q46+$B$12*R46</f>
        <v>3.470023887</v>
      </c>
      <c r="G46" s="7">
        <v>0</v>
      </c>
      <c r="H46">
        <v>1</v>
      </c>
      <c r="I46">
        <v>0</v>
      </c>
      <c r="J46">
        <v>7</v>
      </c>
      <c r="K46">
        <v>5</v>
      </c>
      <c r="L46">
        <v>8</v>
      </c>
      <c r="M46">
        <v>7</v>
      </c>
      <c r="N46">
        <v>9</v>
      </c>
      <c r="O46">
        <v>10</v>
      </c>
      <c r="P46">
        <v>9</v>
      </c>
      <c r="Q46">
        <v>10</v>
      </c>
      <c r="R46">
        <v>9</v>
      </c>
    </row>
    <row r="47" spans="5:18">
      <c r="E47" t="s">
        <v>80</v>
      </c>
      <c r="F47" s="7">
        <f>$B$2*H47+$B$3*I47+$B$4*J47+$B$5*K47+$B$6*L47+$B$7*M47+$B$8*N47+$B$9*O47+$B$10*P47+$B$11*Q47+$B$12*R47</f>
        <v>3.4675969809999998</v>
      </c>
      <c r="G47" s="7">
        <v>0</v>
      </c>
      <c r="H47">
        <v>2</v>
      </c>
      <c r="I47">
        <v>0</v>
      </c>
      <c r="J47">
        <v>5</v>
      </c>
      <c r="K47">
        <v>8</v>
      </c>
      <c r="L47">
        <v>7</v>
      </c>
      <c r="M47">
        <v>8</v>
      </c>
      <c r="N47">
        <v>9</v>
      </c>
      <c r="O47">
        <v>8</v>
      </c>
      <c r="P47">
        <v>8</v>
      </c>
      <c r="Q47">
        <v>10</v>
      </c>
      <c r="R47">
        <v>6</v>
      </c>
    </row>
    <row r="48" spans="5:18">
      <c r="E48" t="s">
        <v>81</v>
      </c>
      <c r="F48" s="7">
        <f>$B$2*H48+$B$3*I48+$B$4*J48+$B$5*K48+$B$6*L48+$B$7*M48+$B$8*N48+$B$9*O48+$B$10*P48+$B$11*Q48+$B$12*R48</f>
        <v>3.4560312459999998</v>
      </c>
      <c r="G48" s="7">
        <v>2.35</v>
      </c>
      <c r="H48">
        <v>1</v>
      </c>
      <c r="I48">
        <v>1</v>
      </c>
      <c r="J48">
        <v>8</v>
      </c>
      <c r="K48">
        <v>7</v>
      </c>
      <c r="L48">
        <v>6</v>
      </c>
      <c r="M48">
        <v>8</v>
      </c>
      <c r="N48">
        <v>10</v>
      </c>
      <c r="O48">
        <v>6</v>
      </c>
      <c r="P48">
        <v>7</v>
      </c>
      <c r="Q48">
        <v>10</v>
      </c>
      <c r="R48">
        <v>7</v>
      </c>
    </row>
    <row r="49" spans="5:18">
      <c r="E49" t="s">
        <v>82</v>
      </c>
      <c r="F49" s="7">
        <f>$B$2*H49+$B$3*I49+$B$4*J49+$B$5*K49+$B$6*L49+$B$7*M49+$B$8*N49+$B$9*O49+$B$10*P49+$B$11*Q49+$B$12*R49</f>
        <v>3.3888741440000008</v>
      </c>
      <c r="G49" s="7">
        <v>0</v>
      </c>
      <c r="H49">
        <v>4</v>
      </c>
      <c r="I49">
        <v>2</v>
      </c>
      <c r="J49">
        <v>5</v>
      </c>
      <c r="K49">
        <v>0</v>
      </c>
      <c r="L49">
        <v>1</v>
      </c>
      <c r="M49">
        <v>3</v>
      </c>
      <c r="N49">
        <v>7</v>
      </c>
      <c r="O49">
        <v>0</v>
      </c>
      <c r="P49">
        <v>1</v>
      </c>
      <c r="Q49">
        <v>10</v>
      </c>
      <c r="R49">
        <v>9</v>
      </c>
    </row>
    <row r="50" spans="5:18">
      <c r="E50" t="s">
        <v>83</v>
      </c>
      <c r="F50" s="7">
        <f>$B$2*H50+$B$3*I50+$B$4*J50+$B$5*K50+$B$6*L50+$B$7*M50+$B$8*N50+$B$9*O50+$B$10*P50+$B$11*Q50+$B$12*R50</f>
        <v>3.3552766309999997</v>
      </c>
      <c r="G50" s="7">
        <v>0</v>
      </c>
      <c r="H50">
        <v>4</v>
      </c>
      <c r="I50">
        <v>1</v>
      </c>
      <c r="J50">
        <v>4</v>
      </c>
      <c r="K50">
        <v>7</v>
      </c>
      <c r="L50">
        <v>4</v>
      </c>
      <c r="M50">
        <v>7</v>
      </c>
      <c r="N50">
        <v>6</v>
      </c>
      <c r="O50">
        <v>4</v>
      </c>
      <c r="P50">
        <v>4</v>
      </c>
      <c r="Q50">
        <v>8</v>
      </c>
      <c r="R50">
        <v>0</v>
      </c>
    </row>
    <row r="51" spans="5:18">
      <c r="E51" t="s">
        <v>84</v>
      </c>
      <c r="F51" s="7">
        <f>$B$2*H51+$B$3*I51+$B$4*J51+$B$5*K51+$B$6*L51+$B$7*M51+$B$8*N51+$B$9*O51+$B$10*P51+$B$11*Q51+$B$12*R51</f>
        <v>3.265405179</v>
      </c>
      <c r="G51" s="7">
        <v>4.0999999999999996</v>
      </c>
      <c r="H51">
        <v>3</v>
      </c>
      <c r="I51">
        <v>1</v>
      </c>
      <c r="J51">
        <v>4</v>
      </c>
      <c r="K51">
        <v>7</v>
      </c>
      <c r="L51">
        <v>5</v>
      </c>
      <c r="M51">
        <v>8</v>
      </c>
      <c r="N51">
        <v>6</v>
      </c>
      <c r="O51">
        <v>6</v>
      </c>
      <c r="P51">
        <v>6</v>
      </c>
      <c r="Q51">
        <v>4</v>
      </c>
      <c r="R51">
        <v>9</v>
      </c>
    </row>
    <row r="52" spans="5:18">
      <c r="E52" t="s">
        <v>85</v>
      </c>
      <c r="F52" s="7">
        <f>$B$2*H52+$B$3*I52+$B$4*J52+$B$5*K52+$B$6*L52+$B$7*M52+$B$8*N52+$B$9*O52+$B$10*P52+$B$11*Q52+$B$12*R52</f>
        <v>3.2060217670000002</v>
      </c>
      <c r="G52" s="7">
        <v>0</v>
      </c>
      <c r="H52">
        <v>1</v>
      </c>
      <c r="I52">
        <v>0</v>
      </c>
      <c r="J52">
        <v>9</v>
      </c>
      <c r="K52">
        <v>10</v>
      </c>
      <c r="L52">
        <v>7</v>
      </c>
      <c r="M52">
        <v>9</v>
      </c>
      <c r="N52">
        <v>10</v>
      </c>
      <c r="O52">
        <v>5</v>
      </c>
      <c r="P52">
        <v>6</v>
      </c>
      <c r="Q52">
        <v>10</v>
      </c>
      <c r="R52">
        <v>9</v>
      </c>
    </row>
    <row r="53" spans="5:18">
      <c r="E53" t="s">
        <v>86</v>
      </c>
      <c r="F53" s="7">
        <f>$B$2*H53+$B$3*I53+$B$4*J53+$B$5*K53+$B$6*L53+$B$7*M53+$B$8*N53+$B$9*O53+$B$10*P53+$B$11*Q53+$B$12*R53</f>
        <v>3.1886162829999996</v>
      </c>
      <c r="G53" s="7">
        <v>0</v>
      </c>
      <c r="H53">
        <v>1</v>
      </c>
      <c r="I53">
        <v>0</v>
      </c>
      <c r="J53">
        <v>7</v>
      </c>
      <c r="K53">
        <v>9</v>
      </c>
      <c r="L53">
        <v>7</v>
      </c>
      <c r="M53">
        <v>8</v>
      </c>
      <c r="N53">
        <v>9</v>
      </c>
      <c r="O53">
        <v>7</v>
      </c>
      <c r="P53">
        <v>7</v>
      </c>
      <c r="Q53">
        <v>10</v>
      </c>
      <c r="R53">
        <v>7</v>
      </c>
    </row>
    <row r="54" spans="5:18">
      <c r="E54" t="s">
        <v>87</v>
      </c>
      <c r="F54" s="7">
        <f>$B$2*H54+$B$3*I54+$B$4*J54+$B$5*K54+$B$6*L54+$B$7*M54+$B$8*N54+$B$9*O54+$B$10*P54+$B$11*Q54+$B$12*R54</f>
        <v>3.1789086510000004</v>
      </c>
      <c r="G54" s="7">
        <v>9.4600000000000009</v>
      </c>
      <c r="H54">
        <v>2</v>
      </c>
      <c r="I54">
        <v>1</v>
      </c>
      <c r="J54">
        <v>5</v>
      </c>
      <c r="K54">
        <v>5</v>
      </c>
      <c r="L54">
        <v>4</v>
      </c>
      <c r="M54">
        <v>5</v>
      </c>
      <c r="N54">
        <v>9</v>
      </c>
      <c r="O54">
        <v>4</v>
      </c>
      <c r="P54">
        <v>4</v>
      </c>
      <c r="Q54">
        <v>10</v>
      </c>
      <c r="R54">
        <v>9</v>
      </c>
    </row>
    <row r="55" spans="5:18">
      <c r="E55" t="s">
        <v>88</v>
      </c>
      <c r="F55" s="7">
        <f>$B$2*H55+$B$3*I55+$B$4*J55+$B$5*K55+$B$6*L55+$B$7*M55+$B$8*N55+$B$9*O55+$B$10*P55+$B$11*Q55+$B$12*R55</f>
        <v>3.1718554460000004</v>
      </c>
      <c r="G55" s="7">
        <v>0</v>
      </c>
      <c r="H55">
        <v>1</v>
      </c>
      <c r="I55">
        <v>0</v>
      </c>
      <c r="J55">
        <v>4</v>
      </c>
      <c r="K55">
        <v>10</v>
      </c>
      <c r="L55">
        <v>8</v>
      </c>
      <c r="M55">
        <v>10</v>
      </c>
      <c r="N55">
        <v>5</v>
      </c>
      <c r="O55">
        <v>8</v>
      </c>
      <c r="P55">
        <v>9</v>
      </c>
      <c r="Q55">
        <v>9</v>
      </c>
      <c r="R55">
        <v>7</v>
      </c>
    </row>
    <row r="56" spans="5:18">
      <c r="E56" t="s">
        <v>89</v>
      </c>
      <c r="F56" s="7">
        <f>$B$2*H56+$B$3*I56+$B$4*J56+$B$5*K56+$B$6*L56+$B$7*M56+$B$8*N56+$B$9*O56+$B$10*P56+$B$11*Q56+$B$12*R56</f>
        <v>3.1427325500000003</v>
      </c>
      <c r="G56" s="7">
        <v>0</v>
      </c>
      <c r="H56">
        <v>3</v>
      </c>
      <c r="I56">
        <v>0</v>
      </c>
      <c r="J56">
        <v>4</v>
      </c>
      <c r="K56">
        <v>10</v>
      </c>
      <c r="L56">
        <v>5</v>
      </c>
      <c r="M56">
        <v>8</v>
      </c>
      <c r="N56">
        <v>10</v>
      </c>
      <c r="O56">
        <v>3</v>
      </c>
      <c r="P56">
        <v>4</v>
      </c>
      <c r="Q56">
        <v>9</v>
      </c>
      <c r="R56">
        <v>8</v>
      </c>
    </row>
    <row r="57" spans="5:18">
      <c r="E57" t="s">
        <v>90</v>
      </c>
      <c r="F57" s="7">
        <f>$B$2*H57+$B$3*I57+$B$4*J57+$B$5*K57+$B$6*L57+$B$7*M57+$B$8*N57+$B$9*O57+$B$10*P57+$B$11*Q57+$B$12*R57</f>
        <v>3.1388267409999995</v>
      </c>
      <c r="G57" s="7">
        <v>0</v>
      </c>
      <c r="H57">
        <v>3</v>
      </c>
      <c r="I57">
        <v>0</v>
      </c>
      <c r="J57">
        <v>6</v>
      </c>
      <c r="K57">
        <v>4</v>
      </c>
      <c r="L57">
        <v>5</v>
      </c>
      <c r="M57">
        <v>6</v>
      </c>
      <c r="N57">
        <v>9</v>
      </c>
      <c r="O57">
        <v>5</v>
      </c>
      <c r="P57">
        <v>5</v>
      </c>
      <c r="Q57">
        <v>8</v>
      </c>
      <c r="R57">
        <v>8</v>
      </c>
    </row>
    <row r="58" spans="5:18">
      <c r="E58" t="s">
        <v>91</v>
      </c>
      <c r="F58" s="7">
        <f>$B$2*H58+$B$3*I58+$B$4*J58+$B$5*K58+$B$6*L58+$B$7*M58+$B$8*N58+$B$9*O58+$B$10*P58+$B$11*Q58+$B$12*R58</f>
        <v>3.1092108769999998</v>
      </c>
      <c r="G58" s="7">
        <v>0</v>
      </c>
      <c r="H58">
        <v>3</v>
      </c>
      <c r="I58">
        <v>0</v>
      </c>
      <c r="J58">
        <v>6</v>
      </c>
      <c r="K58">
        <v>5</v>
      </c>
      <c r="L58">
        <v>3</v>
      </c>
      <c r="M58">
        <v>5</v>
      </c>
      <c r="N58">
        <v>7</v>
      </c>
      <c r="O58">
        <v>4</v>
      </c>
      <c r="P58">
        <v>4</v>
      </c>
      <c r="Q58">
        <v>10</v>
      </c>
      <c r="R58">
        <v>10</v>
      </c>
    </row>
    <row r="59" spans="5:18">
      <c r="E59" t="s">
        <v>92</v>
      </c>
      <c r="F59" s="7">
        <f>$B$2*H59+$B$3*I59+$B$4*J59+$B$5*K59+$B$6*L59+$B$7*M59+$B$8*N59+$B$9*O59+$B$10*P59+$B$11*Q59+$B$12*R59</f>
        <v>3.1075802970000002</v>
      </c>
      <c r="G59" s="7">
        <v>-0.33</v>
      </c>
      <c r="H59">
        <v>3</v>
      </c>
      <c r="I59">
        <v>1</v>
      </c>
      <c r="J59">
        <v>5</v>
      </c>
      <c r="K59">
        <v>5</v>
      </c>
      <c r="L59">
        <v>4</v>
      </c>
      <c r="M59">
        <v>5</v>
      </c>
      <c r="N59">
        <v>7</v>
      </c>
      <c r="O59">
        <v>4</v>
      </c>
      <c r="P59">
        <v>4</v>
      </c>
      <c r="Q59">
        <v>6</v>
      </c>
      <c r="R59">
        <v>9</v>
      </c>
    </row>
    <row r="60" spans="5:18">
      <c r="E60" t="s">
        <v>93</v>
      </c>
      <c r="F60" s="7">
        <f>$B$2*H60+$B$3*I60+$B$4*J60+$B$5*K60+$B$6*L60+$B$7*M60+$B$8*N60+$B$9*O60+$B$10*P60+$B$11*Q60+$B$12*R60</f>
        <v>3.052633573</v>
      </c>
      <c r="G60" s="7">
        <v>0</v>
      </c>
      <c r="H60">
        <v>2</v>
      </c>
      <c r="I60">
        <v>0</v>
      </c>
      <c r="J60">
        <v>3</v>
      </c>
      <c r="K60">
        <v>9</v>
      </c>
      <c r="L60">
        <v>8</v>
      </c>
      <c r="M60">
        <v>9</v>
      </c>
      <c r="N60">
        <v>6</v>
      </c>
      <c r="O60">
        <v>8</v>
      </c>
      <c r="P60">
        <v>8</v>
      </c>
      <c r="Q60">
        <v>5</v>
      </c>
      <c r="R60">
        <v>8</v>
      </c>
    </row>
    <row r="61" spans="5:18">
      <c r="E61" t="s">
        <v>94</v>
      </c>
      <c r="F61" s="7">
        <f>$B$2*H61+$B$3*I61+$B$4*J61+$B$5*K61+$B$6*L61+$B$7*M61+$B$8*N61+$B$9*O61+$B$10*P61+$B$11*Q61+$B$12*R61</f>
        <v>2.9737590539999998</v>
      </c>
      <c r="G61" s="7">
        <v>1.58</v>
      </c>
      <c r="H61">
        <v>1</v>
      </c>
      <c r="I61">
        <v>0</v>
      </c>
      <c r="J61">
        <v>8</v>
      </c>
      <c r="K61">
        <v>7</v>
      </c>
      <c r="L61">
        <v>5</v>
      </c>
      <c r="M61">
        <v>6</v>
      </c>
      <c r="N61">
        <v>10</v>
      </c>
      <c r="O61">
        <v>6</v>
      </c>
      <c r="P61">
        <v>6</v>
      </c>
      <c r="Q61">
        <v>10</v>
      </c>
      <c r="R61">
        <v>7</v>
      </c>
    </row>
    <row r="62" spans="5:18">
      <c r="E62" t="s">
        <v>95</v>
      </c>
      <c r="F62" s="7">
        <f>$B$2*H62+$B$3*I62+$B$4*J62+$B$5*K62+$B$6*L62+$B$7*M62+$B$8*N62+$B$9*O62+$B$10*P62+$B$11*Q62+$B$12*R62</f>
        <v>2.9690189989999998</v>
      </c>
      <c r="G62" s="7">
        <v>0.6</v>
      </c>
      <c r="H62">
        <v>2</v>
      </c>
      <c r="I62">
        <v>0</v>
      </c>
      <c r="J62">
        <v>6</v>
      </c>
      <c r="K62">
        <v>7</v>
      </c>
      <c r="L62">
        <v>5</v>
      </c>
      <c r="M62">
        <v>7</v>
      </c>
      <c r="N62">
        <v>7</v>
      </c>
      <c r="O62">
        <v>5</v>
      </c>
      <c r="P62">
        <v>4</v>
      </c>
      <c r="Q62">
        <v>10</v>
      </c>
      <c r="R62">
        <v>7</v>
      </c>
    </row>
    <row r="63" spans="5:18">
      <c r="E63" t="s">
        <v>96</v>
      </c>
      <c r="F63" s="7">
        <f>$B$2*H63+$B$3*I63+$B$4*J63+$B$5*K63+$B$6*L63+$B$7*M63+$B$8*N63+$B$9*O63+$B$10*P63+$B$11*Q63+$B$12*R63</f>
        <v>2.9331841789999999</v>
      </c>
      <c r="G63" s="7">
        <v>0</v>
      </c>
      <c r="H63">
        <v>1</v>
      </c>
      <c r="I63">
        <v>0</v>
      </c>
      <c r="J63">
        <v>4</v>
      </c>
      <c r="K63">
        <v>7</v>
      </c>
      <c r="L63">
        <v>7</v>
      </c>
      <c r="M63">
        <v>7</v>
      </c>
      <c r="N63">
        <v>7</v>
      </c>
      <c r="O63">
        <v>7</v>
      </c>
      <c r="P63">
        <v>7</v>
      </c>
      <c r="Q63">
        <v>10</v>
      </c>
      <c r="R63">
        <v>6</v>
      </c>
    </row>
    <row r="64" spans="5:18">
      <c r="E64" t="s">
        <v>97</v>
      </c>
      <c r="F64" s="7">
        <f>$B$2*H64+$B$3*I64+$B$4*J64+$B$5*K64+$B$6*L64+$B$7*M64+$B$8*N64+$B$9*O64+$B$10*P64+$B$11*Q64+$B$12*R64</f>
        <v>2.8903719959999998</v>
      </c>
      <c r="G64" s="7">
        <v>0</v>
      </c>
      <c r="H64">
        <v>2</v>
      </c>
      <c r="I64">
        <v>1</v>
      </c>
      <c r="J64">
        <v>3</v>
      </c>
      <c r="K64">
        <v>8</v>
      </c>
      <c r="L64">
        <v>8</v>
      </c>
      <c r="M64">
        <v>9</v>
      </c>
      <c r="N64">
        <v>3</v>
      </c>
      <c r="O64">
        <v>8</v>
      </c>
      <c r="P64">
        <v>8</v>
      </c>
      <c r="Q64">
        <v>0</v>
      </c>
      <c r="R64">
        <v>7</v>
      </c>
    </row>
    <row r="65" spans="5:18">
      <c r="E65" t="s">
        <v>98</v>
      </c>
      <c r="F65" s="7">
        <f>$B$2*H65+$B$3*I65+$B$4*J65+$B$5*K65+$B$6*L65+$B$7*M65+$B$8*N65+$B$9*O65+$B$10*P65+$B$11*Q65+$B$12*R65</f>
        <v>2.8654203459999996</v>
      </c>
      <c r="G65" s="7">
        <v>0</v>
      </c>
      <c r="H65">
        <v>4</v>
      </c>
      <c r="I65">
        <v>0</v>
      </c>
      <c r="J65">
        <v>4</v>
      </c>
      <c r="K65">
        <v>5</v>
      </c>
      <c r="L65">
        <v>5</v>
      </c>
      <c r="M65">
        <v>8</v>
      </c>
      <c r="N65">
        <v>7</v>
      </c>
      <c r="O65">
        <v>5</v>
      </c>
      <c r="P65">
        <v>6</v>
      </c>
      <c r="Q65">
        <v>1</v>
      </c>
      <c r="R65">
        <v>8</v>
      </c>
    </row>
    <row r="66" spans="5:18">
      <c r="E66" t="s">
        <v>99</v>
      </c>
      <c r="F66" s="7">
        <f>$B$2*H66+$B$3*I66+$B$4*J66+$B$5*K66+$B$6*L66+$B$7*M66+$B$8*N66+$B$9*O66+$B$10*P66+$B$11*Q66+$B$12*R66</f>
        <v>2.8631071989999999</v>
      </c>
      <c r="G66" s="7">
        <v>0</v>
      </c>
      <c r="H66">
        <v>1</v>
      </c>
      <c r="I66">
        <v>0</v>
      </c>
      <c r="J66">
        <v>3</v>
      </c>
      <c r="K66">
        <v>10</v>
      </c>
      <c r="L66">
        <v>8</v>
      </c>
      <c r="M66">
        <v>10</v>
      </c>
      <c r="N66">
        <v>0</v>
      </c>
      <c r="O66">
        <v>8</v>
      </c>
      <c r="P66">
        <v>9</v>
      </c>
      <c r="Q66">
        <v>7</v>
      </c>
      <c r="R66">
        <v>7</v>
      </c>
    </row>
    <row r="67" spans="5:18">
      <c r="E67" t="s">
        <v>100</v>
      </c>
      <c r="F67" s="7">
        <f>$B$2*H67+$B$3*I67+$B$4*J67+$B$5*K67+$B$6*L67+$B$7*M67+$B$8*N67+$B$9*O67+$B$10*P67+$B$11*Q67+$B$12*R67</f>
        <v>2.8462705229999998</v>
      </c>
      <c r="G67" s="7">
        <v>0</v>
      </c>
      <c r="H67">
        <v>1</v>
      </c>
      <c r="I67">
        <v>0</v>
      </c>
      <c r="J67">
        <v>3</v>
      </c>
      <c r="K67">
        <v>7</v>
      </c>
      <c r="L67">
        <v>7</v>
      </c>
      <c r="M67">
        <v>10</v>
      </c>
      <c r="N67">
        <v>6</v>
      </c>
      <c r="O67">
        <v>6</v>
      </c>
      <c r="P67">
        <v>7</v>
      </c>
      <c r="Q67">
        <v>9</v>
      </c>
      <c r="R67">
        <v>8</v>
      </c>
    </row>
    <row r="68" spans="5:18">
      <c r="E68" t="s">
        <v>101</v>
      </c>
      <c r="F68" s="7">
        <f>$B$2*H68+$B$3*I68+$B$4*J68+$B$5*K68+$B$6*L68+$B$7*M68+$B$8*N68+$B$9*O68+$B$10*P68+$B$11*Q68+$B$12*R68</f>
        <v>2.794471197</v>
      </c>
      <c r="G68" s="7">
        <v>0</v>
      </c>
      <c r="H68">
        <v>1</v>
      </c>
      <c r="I68">
        <v>0</v>
      </c>
      <c r="J68">
        <v>5</v>
      </c>
      <c r="K68">
        <v>8</v>
      </c>
      <c r="L68">
        <v>8</v>
      </c>
      <c r="M68">
        <v>8</v>
      </c>
      <c r="N68">
        <v>7</v>
      </c>
      <c r="O68">
        <v>8</v>
      </c>
      <c r="P68">
        <v>8</v>
      </c>
      <c r="Q68">
        <v>4</v>
      </c>
      <c r="R68">
        <v>10</v>
      </c>
    </row>
    <row r="69" spans="5:18">
      <c r="E69" t="s">
        <v>102</v>
      </c>
      <c r="F69" s="7">
        <f>$B$2*H69+$B$3*I69+$B$4*J69+$B$5*K69+$B$6*L69+$B$7*M69+$B$8*N69+$B$9*O69+$B$10*P69+$B$11*Q69+$B$12*R69</f>
        <v>2.7858632569999999</v>
      </c>
      <c r="G69" s="7">
        <v>3.83</v>
      </c>
      <c r="H69">
        <v>2</v>
      </c>
      <c r="I69">
        <v>0</v>
      </c>
      <c r="J69">
        <v>3</v>
      </c>
      <c r="K69">
        <v>6</v>
      </c>
      <c r="L69">
        <v>6</v>
      </c>
      <c r="M69">
        <v>8</v>
      </c>
      <c r="N69">
        <v>5</v>
      </c>
      <c r="O69">
        <v>7</v>
      </c>
      <c r="P69">
        <v>7</v>
      </c>
      <c r="Q69">
        <v>6</v>
      </c>
      <c r="R69">
        <v>6</v>
      </c>
    </row>
    <row r="70" spans="5:18">
      <c r="E70" t="s">
        <v>103</v>
      </c>
      <c r="F70" s="7">
        <f>$B$2*H70+$B$3*I70+$B$4*J70+$B$5*K70+$B$6*L70+$B$7*M70+$B$8*N70+$B$9*O70+$B$10*P70+$B$11*Q70+$B$12*R70</f>
        <v>2.7120700759999998</v>
      </c>
      <c r="G70" s="7">
        <v>0</v>
      </c>
      <c r="H70">
        <v>2</v>
      </c>
      <c r="I70">
        <v>0</v>
      </c>
      <c r="J70">
        <v>4</v>
      </c>
      <c r="K70">
        <v>6</v>
      </c>
      <c r="L70">
        <v>6</v>
      </c>
      <c r="M70">
        <v>8</v>
      </c>
      <c r="N70">
        <v>7</v>
      </c>
      <c r="O70">
        <v>5</v>
      </c>
      <c r="P70">
        <v>5</v>
      </c>
      <c r="Q70">
        <v>6</v>
      </c>
      <c r="R70">
        <v>9</v>
      </c>
    </row>
    <row r="71" spans="5:18">
      <c r="E71" t="s">
        <v>104</v>
      </c>
      <c r="F71" s="7">
        <f>$B$2*H71+$B$3*I71+$B$4*J71+$B$5*K71+$B$6*L71+$B$7*M71+$B$8*N71+$B$9*O71+$B$10*P71+$B$11*Q71+$B$12*R71</f>
        <v>2.700087216</v>
      </c>
      <c r="G71" s="7">
        <v>16.73</v>
      </c>
      <c r="H71">
        <v>2</v>
      </c>
      <c r="I71">
        <v>1</v>
      </c>
      <c r="J71">
        <v>4</v>
      </c>
      <c r="K71">
        <v>5</v>
      </c>
      <c r="L71">
        <v>5</v>
      </c>
      <c r="M71">
        <v>8</v>
      </c>
      <c r="N71">
        <v>4</v>
      </c>
      <c r="O71">
        <v>3</v>
      </c>
      <c r="P71">
        <v>4</v>
      </c>
      <c r="Q71">
        <v>5</v>
      </c>
      <c r="R71">
        <v>10</v>
      </c>
    </row>
    <row r="72" spans="5:18">
      <c r="E72" t="s">
        <v>105</v>
      </c>
      <c r="F72" s="7">
        <f>$B$2*H72+$B$3*I72+$B$4*J72+$B$5*K72+$B$6*L72+$B$7*M72+$B$8*N72+$B$9*O72+$B$10*P72+$B$11*Q72+$B$12*R72</f>
        <v>2.6375184850000002</v>
      </c>
      <c r="G72" s="7">
        <v>0</v>
      </c>
      <c r="H72">
        <v>1</v>
      </c>
      <c r="I72">
        <v>0</v>
      </c>
      <c r="J72">
        <v>3</v>
      </c>
      <c r="K72">
        <v>8</v>
      </c>
      <c r="L72">
        <v>7</v>
      </c>
      <c r="M72">
        <v>9</v>
      </c>
      <c r="N72">
        <v>5</v>
      </c>
      <c r="O72">
        <v>6</v>
      </c>
      <c r="P72">
        <v>7</v>
      </c>
      <c r="Q72">
        <v>7</v>
      </c>
      <c r="R72">
        <v>7</v>
      </c>
    </row>
    <row r="73" spans="5:18">
      <c r="E73" t="s">
        <v>106</v>
      </c>
      <c r="F73" s="7">
        <f>$B$2*H73+$B$3*I73+$B$4*J73+$B$5*K73+$B$6*L73+$B$7*M73+$B$8*N73+$B$9*O73+$B$10*P73+$B$11*Q73+$B$12*R73</f>
        <v>2.5755185589999998</v>
      </c>
      <c r="G73" s="7">
        <v>0</v>
      </c>
      <c r="H73">
        <v>1</v>
      </c>
      <c r="I73">
        <v>0</v>
      </c>
      <c r="J73">
        <v>3</v>
      </c>
      <c r="K73">
        <v>9</v>
      </c>
      <c r="L73">
        <v>9</v>
      </c>
      <c r="M73">
        <v>10</v>
      </c>
      <c r="N73">
        <v>0</v>
      </c>
      <c r="O73">
        <v>7</v>
      </c>
      <c r="P73">
        <v>8</v>
      </c>
      <c r="Q73">
        <v>4</v>
      </c>
      <c r="R73">
        <v>9</v>
      </c>
    </row>
    <row r="74" spans="5:18">
      <c r="E74" t="s">
        <v>107</v>
      </c>
      <c r="F74" s="7">
        <f>$B$2*H74+$B$3*I74+$B$4*J74+$B$5*K74+$B$6*L74+$B$7*M74+$B$8*N74+$B$9*O74+$B$10*P74+$B$11*Q74+$B$12*R74</f>
        <v>2.5678586329999997</v>
      </c>
      <c r="G74" s="7">
        <v>0</v>
      </c>
      <c r="H74">
        <v>1</v>
      </c>
      <c r="I74">
        <v>0</v>
      </c>
      <c r="J74">
        <v>10</v>
      </c>
      <c r="K74">
        <v>4</v>
      </c>
      <c r="L74">
        <v>4</v>
      </c>
      <c r="M74">
        <v>5</v>
      </c>
      <c r="N74">
        <v>8</v>
      </c>
      <c r="O74">
        <v>3</v>
      </c>
      <c r="P74">
        <v>3</v>
      </c>
      <c r="Q74">
        <v>10</v>
      </c>
      <c r="R74">
        <v>8</v>
      </c>
    </row>
    <row r="75" spans="5:18">
      <c r="E75" t="s">
        <v>108</v>
      </c>
      <c r="F75" s="7">
        <f>$B$2*H75+$B$3*I75+$B$4*J75+$B$5*K75+$B$6*L75+$B$7*M75+$B$8*N75+$B$9*O75+$B$10*P75+$B$11*Q75+$B$12*R75</f>
        <v>2.54104888</v>
      </c>
      <c r="G75" s="7">
        <v>0</v>
      </c>
      <c r="H75">
        <v>1</v>
      </c>
      <c r="I75">
        <v>0</v>
      </c>
      <c r="J75">
        <v>3</v>
      </c>
      <c r="K75">
        <v>6</v>
      </c>
      <c r="L75">
        <v>5</v>
      </c>
      <c r="M75">
        <v>4</v>
      </c>
      <c r="N75">
        <v>7</v>
      </c>
      <c r="O75">
        <v>7</v>
      </c>
      <c r="P75">
        <v>5</v>
      </c>
      <c r="Q75">
        <v>9</v>
      </c>
      <c r="R75">
        <v>6</v>
      </c>
    </row>
    <row r="76" spans="5:18">
      <c r="E76" t="s">
        <v>109</v>
      </c>
      <c r="F76" s="7">
        <f>$B$2*H76+$B$3*I76+$B$4*J76+$B$5*K76+$B$6*L76+$B$7*M76+$B$8*N76+$B$9*O76+$B$10*P76+$B$11*Q76+$B$12*R76</f>
        <v>2.4296765390000004</v>
      </c>
      <c r="G76" s="7">
        <v>0</v>
      </c>
      <c r="H76">
        <v>0</v>
      </c>
      <c r="I76">
        <v>1</v>
      </c>
      <c r="J76">
        <v>4</v>
      </c>
      <c r="K76">
        <v>4</v>
      </c>
      <c r="L76">
        <v>3</v>
      </c>
      <c r="M76">
        <v>6</v>
      </c>
      <c r="N76">
        <v>7</v>
      </c>
      <c r="O76">
        <v>4</v>
      </c>
      <c r="P76">
        <v>4</v>
      </c>
      <c r="Q76">
        <v>10</v>
      </c>
      <c r="R76">
        <v>7</v>
      </c>
    </row>
    <row r="77" spans="5:18">
      <c r="E77" t="s">
        <v>110</v>
      </c>
      <c r="F77" s="7">
        <f>$B$2*H77+$B$3*I77+$B$4*J77+$B$5*K77+$B$6*L77+$B$7*M77+$B$8*N77+$B$9*O77+$B$10*P77+$B$11*Q77+$B$12*R77</f>
        <v>2.4205756350000005</v>
      </c>
      <c r="G77" s="7">
        <v>0</v>
      </c>
      <c r="H77">
        <v>1</v>
      </c>
      <c r="I77">
        <v>0</v>
      </c>
      <c r="J77">
        <v>10</v>
      </c>
      <c r="K77">
        <v>6</v>
      </c>
      <c r="L77">
        <v>2</v>
      </c>
      <c r="M77">
        <v>5</v>
      </c>
      <c r="N77">
        <v>10</v>
      </c>
      <c r="O77">
        <v>1</v>
      </c>
      <c r="P77">
        <v>2</v>
      </c>
      <c r="Q77">
        <v>10</v>
      </c>
      <c r="R77">
        <v>9</v>
      </c>
    </row>
    <row r="78" spans="5:18">
      <c r="E78" t="s">
        <v>111</v>
      </c>
      <c r="F78" s="7">
        <f>$B$2*H78+$B$3*I78+$B$4*J78+$B$5*K78+$B$6*L78+$B$7*M78+$B$8*N78+$B$9*O78+$B$10*P78+$B$11*Q78+$B$12*R78</f>
        <v>2.3908080849999997</v>
      </c>
      <c r="G78" s="7">
        <v>0</v>
      </c>
      <c r="H78">
        <v>3</v>
      </c>
      <c r="I78">
        <v>0</v>
      </c>
      <c r="J78">
        <v>5</v>
      </c>
      <c r="K78">
        <v>4</v>
      </c>
      <c r="L78">
        <v>3</v>
      </c>
      <c r="M78">
        <v>5</v>
      </c>
      <c r="N78">
        <v>7</v>
      </c>
      <c r="O78">
        <v>2</v>
      </c>
      <c r="P78">
        <v>3</v>
      </c>
      <c r="Q78">
        <v>4</v>
      </c>
      <c r="R78">
        <v>10</v>
      </c>
    </row>
    <row r="79" spans="5:18">
      <c r="E79" t="s">
        <v>112</v>
      </c>
      <c r="F79" s="7">
        <f>$B$2*H79+$B$3*I79+$B$4*J79+$B$5*K79+$B$6*L79+$B$7*M79+$B$8*N79+$B$9*O79+$B$10*P79+$B$11*Q79+$B$12*R79</f>
        <v>2.3750711</v>
      </c>
      <c r="G79" s="7">
        <v>0</v>
      </c>
      <c r="H79">
        <v>0</v>
      </c>
      <c r="I79">
        <v>0</v>
      </c>
      <c r="J79">
        <v>5</v>
      </c>
      <c r="K79">
        <v>5</v>
      </c>
      <c r="L79">
        <v>5</v>
      </c>
      <c r="M79">
        <v>6</v>
      </c>
      <c r="N79">
        <v>7</v>
      </c>
      <c r="O79">
        <v>6</v>
      </c>
      <c r="P79">
        <v>6</v>
      </c>
      <c r="Q79">
        <v>9</v>
      </c>
      <c r="R79">
        <v>7</v>
      </c>
    </row>
    <row r="80" spans="5:18">
      <c r="E80" t="s">
        <v>113</v>
      </c>
      <c r="F80" s="7">
        <f>$B$2*H80+$B$3*I80+$B$4*J80+$B$5*K80+$B$6*L80+$B$7*M80+$B$8*N80+$B$9*O80+$B$10*P80+$B$11*Q80+$B$12*R80</f>
        <v>2.3394258830000001</v>
      </c>
      <c r="G80" s="7">
        <v>0</v>
      </c>
      <c r="H80">
        <v>1</v>
      </c>
      <c r="I80">
        <v>0</v>
      </c>
      <c r="J80">
        <v>7</v>
      </c>
      <c r="K80">
        <v>5</v>
      </c>
      <c r="L80">
        <v>5</v>
      </c>
      <c r="M80">
        <v>8</v>
      </c>
      <c r="N80">
        <v>9</v>
      </c>
      <c r="O80">
        <v>4</v>
      </c>
      <c r="P80">
        <v>5</v>
      </c>
      <c r="Q80">
        <v>5</v>
      </c>
      <c r="R80">
        <v>7</v>
      </c>
    </row>
    <row r="81" spans="5:18">
      <c r="E81" t="s">
        <v>114</v>
      </c>
      <c r="F81" s="7">
        <f>$B$2*H81+$B$3*I81+$B$4*J81+$B$5*K81+$B$6*L81+$B$7*M81+$B$8*N81+$B$9*O81+$B$10*P81+$B$11*Q81+$B$12*R81</f>
        <v>2.3351408739999999</v>
      </c>
      <c r="G81" s="7">
        <v>0</v>
      </c>
      <c r="H81">
        <v>0</v>
      </c>
      <c r="I81">
        <v>0</v>
      </c>
      <c r="J81">
        <v>3</v>
      </c>
      <c r="K81">
        <v>6</v>
      </c>
      <c r="L81">
        <v>5</v>
      </c>
      <c r="M81">
        <v>7</v>
      </c>
      <c r="N81">
        <v>7</v>
      </c>
      <c r="O81">
        <v>6</v>
      </c>
      <c r="P81">
        <v>6</v>
      </c>
      <c r="Q81">
        <v>9</v>
      </c>
      <c r="R81">
        <v>7</v>
      </c>
    </row>
    <row r="82" spans="5:18">
      <c r="E82" t="s">
        <v>115</v>
      </c>
      <c r="F82" s="7">
        <f>$B$2*H82+$B$3*I82+$B$4*J82+$B$5*K82+$B$6*L82+$B$7*M82+$B$8*N82+$B$9*O82+$B$10*P82+$B$11*Q82+$B$12*R82</f>
        <v>2.2849721299999999</v>
      </c>
      <c r="G82" s="7">
        <v>12.22</v>
      </c>
      <c r="H82">
        <v>3</v>
      </c>
      <c r="I82">
        <v>1</v>
      </c>
      <c r="J82">
        <v>3</v>
      </c>
      <c r="K82">
        <v>0</v>
      </c>
      <c r="L82">
        <v>1</v>
      </c>
      <c r="M82">
        <v>1</v>
      </c>
      <c r="N82">
        <v>6</v>
      </c>
      <c r="O82">
        <v>0</v>
      </c>
      <c r="P82">
        <v>1</v>
      </c>
      <c r="Q82">
        <v>6</v>
      </c>
      <c r="R82">
        <v>9</v>
      </c>
    </row>
    <row r="83" spans="5:18">
      <c r="E83" t="s">
        <v>116</v>
      </c>
      <c r="F83" s="7">
        <f>$B$2*H83+$B$3*I83+$B$4*J83+$B$5*K83+$B$6*L83+$B$7*M83+$B$8*N83+$B$9*O83+$B$10*P83+$B$11*Q83+$B$12*R83</f>
        <v>2.2343104170000001</v>
      </c>
      <c r="G83" s="7">
        <v>0</v>
      </c>
      <c r="H83">
        <v>3</v>
      </c>
      <c r="I83">
        <v>0</v>
      </c>
      <c r="J83">
        <v>5</v>
      </c>
      <c r="K83">
        <v>4</v>
      </c>
      <c r="L83">
        <v>2</v>
      </c>
      <c r="M83">
        <v>4</v>
      </c>
      <c r="N83">
        <v>7</v>
      </c>
      <c r="O83">
        <v>3</v>
      </c>
      <c r="P83">
        <v>3</v>
      </c>
      <c r="Q83">
        <v>2</v>
      </c>
      <c r="R83">
        <v>10</v>
      </c>
    </row>
    <row r="84" spans="5:18">
      <c r="E84" t="s">
        <v>117</v>
      </c>
      <c r="F84" s="7">
        <f>$B$2*H84+$B$3*I84+$B$4*J84+$B$5*K84+$B$6*L84+$B$7*M84+$B$8*N84+$B$9*O84+$B$10*P84+$B$11*Q84+$B$12*R84</f>
        <v>2.117856738</v>
      </c>
      <c r="G84" s="7">
        <v>0</v>
      </c>
      <c r="H84">
        <v>1</v>
      </c>
      <c r="I84">
        <v>0</v>
      </c>
      <c r="J84">
        <v>3</v>
      </c>
      <c r="K84">
        <v>4</v>
      </c>
      <c r="L84">
        <v>3</v>
      </c>
      <c r="M84">
        <v>2</v>
      </c>
      <c r="N84">
        <v>4</v>
      </c>
      <c r="O84">
        <v>4</v>
      </c>
      <c r="P84">
        <v>3</v>
      </c>
      <c r="Q84">
        <v>9</v>
      </c>
      <c r="R84">
        <v>10</v>
      </c>
    </row>
    <row r="85" spans="5:18">
      <c r="E85" t="s">
        <v>118</v>
      </c>
      <c r="F85" s="7">
        <f>$B$2*H85+$B$3*I85+$B$4*J85+$B$5*K85+$B$6*L85+$B$7*M85+$B$8*N85+$B$9*O85+$B$10*P85+$B$11*Q85+$B$12*R85</f>
        <v>2.104167457</v>
      </c>
      <c r="G85" s="7">
        <v>0.28000000000000003</v>
      </c>
      <c r="H85">
        <v>1</v>
      </c>
      <c r="I85">
        <v>0</v>
      </c>
      <c r="J85">
        <v>3</v>
      </c>
      <c r="K85">
        <v>6</v>
      </c>
      <c r="L85">
        <v>5</v>
      </c>
      <c r="M85">
        <v>4</v>
      </c>
      <c r="N85">
        <v>5</v>
      </c>
      <c r="O85">
        <v>5</v>
      </c>
      <c r="P85">
        <v>4</v>
      </c>
      <c r="Q85">
        <v>6</v>
      </c>
      <c r="R85">
        <v>7</v>
      </c>
    </row>
    <row r="86" spans="5:18">
      <c r="E86" t="s">
        <v>119</v>
      </c>
      <c r="F86" s="7">
        <f>$B$2*H86+$B$3*I86+$B$4*J86+$B$5*K86+$B$6*L86+$B$7*M86+$B$8*N86+$B$9*O86+$B$10*P86+$B$11*Q86+$B$12*R86</f>
        <v>2.0007204860000001</v>
      </c>
      <c r="G86" s="7">
        <v>0</v>
      </c>
      <c r="H86">
        <v>0</v>
      </c>
      <c r="I86">
        <v>0</v>
      </c>
      <c r="J86">
        <v>4</v>
      </c>
      <c r="K86">
        <v>7</v>
      </c>
      <c r="L86">
        <v>6</v>
      </c>
      <c r="M86">
        <v>7</v>
      </c>
      <c r="N86">
        <v>5</v>
      </c>
      <c r="O86">
        <v>7</v>
      </c>
      <c r="P86">
        <v>7</v>
      </c>
      <c r="Q86">
        <v>2</v>
      </c>
      <c r="R86">
        <v>9</v>
      </c>
    </row>
    <row r="87" spans="5:18">
      <c r="E87" t="s">
        <v>120</v>
      </c>
      <c r="F87" s="7">
        <f>$B$2*H87+$B$3*I87+$B$4*J87+$B$5*K87+$B$6*L87+$B$7*M87+$B$8*N87+$B$9*O87+$B$10*P87+$B$11*Q87+$B$12*R87</f>
        <v>1.9634067749999999</v>
      </c>
      <c r="G87" s="7">
        <v>0</v>
      </c>
      <c r="H87">
        <v>0</v>
      </c>
      <c r="I87">
        <v>0</v>
      </c>
      <c r="J87">
        <v>6</v>
      </c>
      <c r="K87">
        <v>5</v>
      </c>
      <c r="L87">
        <v>2</v>
      </c>
      <c r="M87">
        <v>4</v>
      </c>
      <c r="N87">
        <v>9</v>
      </c>
      <c r="O87">
        <v>2</v>
      </c>
      <c r="P87">
        <v>2</v>
      </c>
      <c r="Q87">
        <v>10</v>
      </c>
      <c r="R87">
        <v>9</v>
      </c>
    </row>
    <row r="88" spans="5:18">
      <c r="E88" t="s">
        <v>121</v>
      </c>
      <c r="F88" s="7">
        <f>$B$2*H88+$B$3*I88+$B$4*J88+$B$5*K88+$B$6*L88+$B$7*M88+$B$8*N88+$B$9*O88+$B$10*P88+$B$11*Q88+$B$12*R88</f>
        <v>1.9110007210000002</v>
      </c>
      <c r="G88" s="7">
        <v>0</v>
      </c>
      <c r="H88">
        <v>1</v>
      </c>
      <c r="I88">
        <v>0</v>
      </c>
      <c r="J88">
        <v>3</v>
      </c>
      <c r="K88">
        <v>6</v>
      </c>
      <c r="L88">
        <v>4</v>
      </c>
      <c r="M88">
        <v>6</v>
      </c>
      <c r="N88">
        <v>4</v>
      </c>
      <c r="O88">
        <v>3</v>
      </c>
      <c r="P88">
        <v>3</v>
      </c>
      <c r="Q88">
        <v>6</v>
      </c>
      <c r="R88">
        <v>7</v>
      </c>
    </row>
    <row r="89" spans="5:18">
      <c r="E89" t="s">
        <v>122</v>
      </c>
      <c r="F89" s="7">
        <f>$B$2*H89+$B$3*I89+$B$4*J89+$B$5*K89+$B$6*L89+$B$7*M89+$B$8*N89+$B$9*O89+$B$10*P89+$B$11*Q89+$B$12*R89</f>
        <v>1.7994766979999999</v>
      </c>
      <c r="G89" s="7">
        <v>12.32</v>
      </c>
      <c r="H89">
        <v>0</v>
      </c>
      <c r="I89">
        <v>0</v>
      </c>
      <c r="J89">
        <v>3</v>
      </c>
      <c r="K89">
        <v>6</v>
      </c>
      <c r="L89">
        <v>4</v>
      </c>
      <c r="M89">
        <v>5</v>
      </c>
      <c r="N89">
        <v>5</v>
      </c>
      <c r="O89">
        <v>5</v>
      </c>
      <c r="P89">
        <v>4</v>
      </c>
      <c r="Q89">
        <v>6</v>
      </c>
      <c r="R89">
        <v>7</v>
      </c>
    </row>
    <row r="90" spans="5:18">
      <c r="E90" t="s">
        <v>123</v>
      </c>
      <c r="F90" s="7">
        <f>$B$2*H90+$B$3*I90+$B$4*J90+$B$5*K90+$B$6*L90+$B$7*M90+$B$8*N90+$B$9*O90+$B$10*P90+$B$11*Q90+$B$12*R90</f>
        <v>1.7827917050000002</v>
      </c>
      <c r="G90" s="7">
        <v>0</v>
      </c>
      <c r="H90">
        <v>2</v>
      </c>
      <c r="I90">
        <v>0</v>
      </c>
      <c r="J90">
        <v>0</v>
      </c>
      <c r="K90">
        <v>6</v>
      </c>
      <c r="L90">
        <v>3</v>
      </c>
      <c r="M90">
        <v>5</v>
      </c>
      <c r="N90">
        <v>3</v>
      </c>
      <c r="O90">
        <v>2</v>
      </c>
      <c r="P90">
        <v>2</v>
      </c>
      <c r="Q90">
        <v>7</v>
      </c>
      <c r="R90">
        <v>0</v>
      </c>
    </row>
    <row r="91" spans="5:18">
      <c r="E91" t="s">
        <v>124</v>
      </c>
      <c r="F91" s="7">
        <f>$B$2*H91+$B$3*I91+$B$4*J91+$B$5*K91+$B$6*L91+$B$7*M91+$B$8*N91+$B$9*O91+$B$10*P91+$B$11*Q91+$B$12*R91</f>
        <v>1.7065716149999999</v>
      </c>
      <c r="G91" s="7">
        <v>0</v>
      </c>
      <c r="H91">
        <v>1</v>
      </c>
      <c r="I91">
        <v>1</v>
      </c>
      <c r="J91">
        <v>2</v>
      </c>
      <c r="K91">
        <v>4</v>
      </c>
      <c r="L91">
        <v>1</v>
      </c>
      <c r="M91">
        <v>2</v>
      </c>
      <c r="N91">
        <v>4</v>
      </c>
      <c r="O91">
        <v>1</v>
      </c>
      <c r="P91">
        <v>1</v>
      </c>
      <c r="Q91">
        <v>5</v>
      </c>
      <c r="R91">
        <v>9</v>
      </c>
    </row>
    <row r="92" spans="5:18">
      <c r="E92" t="s">
        <v>125</v>
      </c>
      <c r="F92" s="7">
        <f>$B$2*H92+$B$3*I92+$B$4*J92+$B$5*K92+$B$6*L92+$B$7*M92+$B$8*N92+$B$9*O92+$B$10*P92+$B$11*Q92+$B$12*R92</f>
        <v>1.6592089800000001</v>
      </c>
      <c r="G92" s="7">
        <v>0</v>
      </c>
      <c r="H92">
        <v>1</v>
      </c>
      <c r="I92">
        <v>0</v>
      </c>
      <c r="J92">
        <v>2</v>
      </c>
      <c r="K92">
        <v>5</v>
      </c>
      <c r="L92">
        <v>3</v>
      </c>
      <c r="M92">
        <v>6</v>
      </c>
      <c r="N92">
        <v>5</v>
      </c>
      <c r="O92">
        <v>3</v>
      </c>
      <c r="P92">
        <v>3</v>
      </c>
      <c r="Q92">
        <v>6</v>
      </c>
      <c r="R92">
        <v>0</v>
      </c>
    </row>
    <row r="93" spans="5:18">
      <c r="E93" t="s">
        <v>126</v>
      </c>
      <c r="F93" s="7">
        <f>$B$2*H93+$B$3*I93+$B$4*J93+$B$5*K93+$B$6*L93+$B$7*M93+$B$8*N93+$B$9*O93+$B$10*P93+$B$11*Q93+$B$12*R93</f>
        <v>1.6030108830000001</v>
      </c>
      <c r="G93" s="7">
        <v>0</v>
      </c>
      <c r="H93">
        <v>0</v>
      </c>
      <c r="I93">
        <v>0</v>
      </c>
      <c r="J93">
        <v>7</v>
      </c>
      <c r="K93">
        <v>0</v>
      </c>
      <c r="L93">
        <v>2</v>
      </c>
      <c r="M93">
        <v>1</v>
      </c>
      <c r="N93">
        <v>10</v>
      </c>
      <c r="O93">
        <v>3</v>
      </c>
      <c r="P93">
        <v>2</v>
      </c>
      <c r="Q93">
        <v>6</v>
      </c>
      <c r="R93">
        <v>9</v>
      </c>
    </row>
    <row r="94" spans="5:18">
      <c r="E94" t="s">
        <v>127</v>
      </c>
      <c r="F94" s="7">
        <f>$B$2*H94+$B$3*I94+$B$4*J94+$B$5*K94+$B$6*L94+$B$7*M94+$B$8*N94+$B$9*O94+$B$10*P94+$B$11*Q94+$B$12*R94</f>
        <v>1.5611846360000001</v>
      </c>
      <c r="G94" s="7">
        <v>0</v>
      </c>
      <c r="H94">
        <v>1</v>
      </c>
      <c r="I94">
        <v>0</v>
      </c>
      <c r="J94">
        <v>3</v>
      </c>
      <c r="K94">
        <v>5</v>
      </c>
      <c r="L94">
        <v>2</v>
      </c>
      <c r="M94">
        <v>6</v>
      </c>
      <c r="N94">
        <v>6</v>
      </c>
      <c r="O94">
        <v>0</v>
      </c>
      <c r="P94">
        <v>2</v>
      </c>
      <c r="Q94">
        <v>5</v>
      </c>
      <c r="R94">
        <v>8</v>
      </c>
    </row>
    <row r="95" spans="5:18">
      <c r="E95" t="s">
        <v>128</v>
      </c>
      <c r="F95" s="7">
        <f>$B$2*H95+$B$3*I95+$B$4*J95+$B$5*K95+$B$6*L95+$B$7*M95+$B$8*N95+$B$9*O95+$B$10*P95+$B$11*Q95+$B$12*R95</f>
        <v>1.492245271</v>
      </c>
      <c r="G95" s="7">
        <v>0</v>
      </c>
      <c r="H95">
        <v>1</v>
      </c>
      <c r="I95">
        <v>0</v>
      </c>
      <c r="J95">
        <v>6</v>
      </c>
      <c r="K95">
        <v>4</v>
      </c>
      <c r="L95">
        <v>1</v>
      </c>
      <c r="M95">
        <v>4</v>
      </c>
      <c r="N95">
        <v>8</v>
      </c>
      <c r="O95">
        <v>0</v>
      </c>
      <c r="P95">
        <v>1</v>
      </c>
      <c r="Q95">
        <v>4</v>
      </c>
      <c r="R95">
        <v>8</v>
      </c>
    </row>
    <row r="96" spans="5:18">
      <c r="E96" t="s">
        <v>129</v>
      </c>
      <c r="F96" s="7">
        <f>$B$2*H96+$B$3*I96+$B$4*J96+$B$5*K96+$B$6*L96+$B$7*M96+$B$8*N96+$B$9*O96+$B$10*P96+$B$11*Q96+$B$12*R96</f>
        <v>1.3482992680000003</v>
      </c>
      <c r="G96" s="7">
        <v>0</v>
      </c>
      <c r="H96">
        <v>0</v>
      </c>
      <c r="I96">
        <v>0</v>
      </c>
      <c r="J96">
        <v>6</v>
      </c>
      <c r="K96">
        <v>4</v>
      </c>
      <c r="L96">
        <v>3</v>
      </c>
      <c r="M96">
        <v>4</v>
      </c>
      <c r="N96">
        <v>8</v>
      </c>
      <c r="O96">
        <v>2</v>
      </c>
      <c r="P96">
        <v>2</v>
      </c>
      <c r="Q96">
        <v>2</v>
      </c>
      <c r="R96">
        <v>10</v>
      </c>
    </row>
    <row r="97" spans="5:18">
      <c r="E97" t="s">
        <v>130</v>
      </c>
      <c r="F97" s="7">
        <f>$B$2*H97+$B$3*I97+$B$4*J97+$B$5*K97+$B$6*L97+$B$7*M97+$B$8*N97+$B$9*O97+$B$10*P97+$B$11*Q97+$B$12*R97</f>
        <v>1.159569222</v>
      </c>
      <c r="G97" s="7">
        <v>0</v>
      </c>
      <c r="H97">
        <v>0</v>
      </c>
      <c r="I97">
        <v>0</v>
      </c>
      <c r="J97">
        <v>3</v>
      </c>
      <c r="K97">
        <v>0</v>
      </c>
      <c r="L97">
        <v>2</v>
      </c>
      <c r="M97">
        <v>6</v>
      </c>
      <c r="N97">
        <v>0</v>
      </c>
      <c r="O97">
        <v>1</v>
      </c>
      <c r="P97">
        <v>2</v>
      </c>
      <c r="Q97">
        <v>6</v>
      </c>
      <c r="R97">
        <v>7</v>
      </c>
    </row>
    <row r="98" spans="5:18">
      <c r="E98" s="14" t="s">
        <v>131</v>
      </c>
      <c r="F98" s="18">
        <f>$B$2*H98+$B$3*I98+$B$4*J98+$B$5*K98+$B$6*L98+$B$7*M98+$B$8*N98+$B$9*O98+$B$10*P98+$B$11*Q98+$B$12*R98</f>
        <v>7.5354366560000008</v>
      </c>
      <c r="G98" s="18">
        <f>2.3045*F98-5.0984</f>
        <v>12.267013773752003</v>
      </c>
      <c r="H98" s="14">
        <v>7</v>
      </c>
      <c r="I98" s="14">
        <v>10</v>
      </c>
      <c r="J98" s="14">
        <v>5</v>
      </c>
      <c r="K98" s="14">
        <v>5</v>
      </c>
      <c r="L98" s="14">
        <v>4</v>
      </c>
      <c r="M98" s="14">
        <v>7</v>
      </c>
      <c r="N98" s="14">
        <v>8</v>
      </c>
      <c r="O98" s="14">
        <v>4</v>
      </c>
      <c r="P98" s="14">
        <v>4</v>
      </c>
      <c r="Q98" s="14">
        <v>10</v>
      </c>
      <c r="R98" s="14">
        <v>0</v>
      </c>
    </row>
    <row r="99" spans="5:18">
      <c r="E99" s="14" t="s">
        <v>132</v>
      </c>
      <c r="F99" s="18">
        <f>$B$2*H99+$B$3*I99+$B$4*J99+$B$5*K99+$B$6*L99+$B$7*M99+$B$8*N99+$B$9*O99+$B$10*P99+$B$11*Q99+$B$12*R99</f>
        <v>6.8776686510000005</v>
      </c>
      <c r="G99" s="18">
        <f>2.3045*F99-5.0984</f>
        <v>10.751187406229501</v>
      </c>
      <c r="H99" s="14">
        <v>7</v>
      </c>
      <c r="I99" s="14">
        <v>5</v>
      </c>
      <c r="J99" s="14">
        <v>6</v>
      </c>
      <c r="K99" s="14">
        <v>7</v>
      </c>
      <c r="L99" s="14">
        <v>8</v>
      </c>
      <c r="M99" s="14">
        <v>7</v>
      </c>
      <c r="N99" s="14">
        <v>10</v>
      </c>
      <c r="O99" s="14">
        <v>10</v>
      </c>
      <c r="P99" s="14">
        <v>8</v>
      </c>
      <c r="Q99" s="14">
        <v>10</v>
      </c>
      <c r="R99" s="14">
        <v>8</v>
      </c>
    </row>
    <row r="100" spans="5:18">
      <c r="E100" s="14" t="s">
        <v>133</v>
      </c>
      <c r="F100" s="18">
        <f>$B$2*H100+$B$3*I100+$B$4*J100+$B$5*K100+$B$6*L100+$B$7*M100+$B$8*N100+$B$9*O100+$B$10*P100+$B$11*Q100+$B$12*R100</f>
        <v>6.719464565</v>
      </c>
      <c r="G100" s="18">
        <f>2.3045*F100-5.0984</f>
        <v>10.3866060900425</v>
      </c>
      <c r="H100" s="14">
        <v>7</v>
      </c>
      <c r="I100" s="14">
        <v>5</v>
      </c>
      <c r="J100" s="14">
        <v>8</v>
      </c>
      <c r="K100" s="14">
        <v>9</v>
      </c>
      <c r="L100" s="14">
        <v>7</v>
      </c>
      <c r="M100" s="14">
        <v>7</v>
      </c>
      <c r="N100" s="14">
        <v>10</v>
      </c>
      <c r="O100" s="14">
        <v>7</v>
      </c>
      <c r="P100" s="14">
        <v>7</v>
      </c>
      <c r="Q100" s="14">
        <v>10</v>
      </c>
      <c r="R100" s="14">
        <v>8</v>
      </c>
    </row>
    <row r="101" spans="5:18">
      <c r="E101" s="14" t="s">
        <v>134</v>
      </c>
      <c r="F101" s="18">
        <f>$B$2*H101+$B$3*I101+$B$4*J101+$B$5*K101+$B$6*L101+$B$7*M101+$B$8*N101+$B$9*O101+$B$10*P101+$B$11*Q101+$B$12*R101</f>
        <v>6.2832277889999997</v>
      </c>
      <c r="G101" s="18">
        <f>2.3045*F101-5.0984</f>
        <v>9.3812984397505002</v>
      </c>
      <c r="H101" s="14">
        <v>6</v>
      </c>
      <c r="I101" s="14">
        <v>5</v>
      </c>
      <c r="J101" s="14">
        <v>8</v>
      </c>
      <c r="K101" s="14">
        <v>7</v>
      </c>
      <c r="L101" s="14">
        <v>6</v>
      </c>
      <c r="M101" s="14">
        <v>8</v>
      </c>
      <c r="N101" s="14">
        <v>10</v>
      </c>
      <c r="O101" s="14">
        <v>6</v>
      </c>
      <c r="P101" s="14">
        <v>6</v>
      </c>
      <c r="Q101" s="14">
        <v>10</v>
      </c>
      <c r="R101" s="14">
        <v>9</v>
      </c>
    </row>
    <row r="102" spans="5:18">
      <c r="E102" s="14" t="s">
        <v>135</v>
      </c>
      <c r="F102" s="18">
        <f>$B$2*H102+$B$3*I102+$B$4*J102+$B$5*K102+$B$6*L102+$B$7*M102+$B$8*N102+$B$9*O102+$B$10*P102+$B$11*Q102+$B$12*R102</f>
        <v>5.4889461900000001</v>
      </c>
      <c r="G102" s="18">
        <f>2.3045*F102-5.0984</f>
        <v>7.5508764948550002</v>
      </c>
      <c r="H102" s="14">
        <v>5</v>
      </c>
      <c r="I102" s="14">
        <v>2</v>
      </c>
      <c r="J102" s="14">
        <v>6</v>
      </c>
      <c r="K102" s="14">
        <v>10</v>
      </c>
      <c r="L102" s="14">
        <v>9</v>
      </c>
      <c r="M102" s="14">
        <v>10</v>
      </c>
      <c r="N102" s="14">
        <v>9</v>
      </c>
      <c r="O102" s="14">
        <v>10</v>
      </c>
      <c r="P102" s="14">
        <v>10</v>
      </c>
      <c r="Q102" s="14">
        <v>10</v>
      </c>
      <c r="R102" s="14">
        <v>7</v>
      </c>
    </row>
    <row r="103" spans="5:18">
      <c r="E103" s="14" t="s">
        <v>136</v>
      </c>
      <c r="F103" s="18">
        <f>$B$2*H103+$B$3*I103+$B$4*J103+$B$5*K103+$B$6*L103+$B$7*M103+$B$8*N103+$B$9*O103+$B$10*P103+$B$11*Q103+$B$12*R103</f>
        <v>4.4734746479999998</v>
      </c>
      <c r="G103" s="18">
        <f>2.3045*F103-5.0984</f>
        <v>5.2107223263160005</v>
      </c>
      <c r="H103" s="14">
        <v>2</v>
      </c>
      <c r="I103" s="14">
        <v>3</v>
      </c>
      <c r="J103" s="14">
        <v>4</v>
      </c>
      <c r="K103" s="14">
        <v>10</v>
      </c>
      <c r="L103" s="14">
        <v>10</v>
      </c>
      <c r="M103" s="14">
        <v>10</v>
      </c>
      <c r="N103" s="14">
        <v>3</v>
      </c>
      <c r="O103" s="14">
        <v>8</v>
      </c>
      <c r="P103" s="14">
        <v>10</v>
      </c>
      <c r="Q103" s="14">
        <v>7</v>
      </c>
      <c r="R103" s="14">
        <v>9</v>
      </c>
    </row>
    <row r="104" spans="5:18">
      <c r="E104" s="14" t="s">
        <v>137</v>
      </c>
      <c r="F104" s="18">
        <f>$B$2*H104+$B$3*I104+$B$4*J104+$B$5*K104+$B$6*L104+$B$7*M104+$B$8*N104+$B$9*O104+$B$10*P104+$B$11*Q104+$B$12*R104</f>
        <v>3.7024003620000001</v>
      </c>
      <c r="G104" s="18">
        <f>2.3045*F104-5.0984</f>
        <v>3.4337816342289997</v>
      </c>
      <c r="H104" s="14">
        <v>2</v>
      </c>
      <c r="I104" s="14">
        <v>0</v>
      </c>
      <c r="J104" s="14">
        <v>8</v>
      </c>
      <c r="K104" s="14">
        <v>7</v>
      </c>
      <c r="L104" s="14">
        <v>8</v>
      </c>
      <c r="M104" s="14">
        <v>10</v>
      </c>
      <c r="N104" s="14">
        <v>10</v>
      </c>
      <c r="O104" s="14">
        <v>8</v>
      </c>
      <c r="P104" s="14">
        <v>8</v>
      </c>
      <c r="Q104" s="14">
        <v>10</v>
      </c>
      <c r="R104" s="14">
        <v>7</v>
      </c>
    </row>
    <row r="105" spans="5:18">
      <c r="E105" s="14" t="s">
        <v>138</v>
      </c>
      <c r="F105" s="18">
        <f>$B$2*H105+$B$3*I105+$B$4*J105+$B$5*K105+$B$6*L105+$B$7*M105+$B$8*N105+$B$9*O105+$B$10*P105+$B$11*Q105+$B$12*R105</f>
        <v>3.5724849260000004</v>
      </c>
      <c r="G105" s="18">
        <f>2.3045*F105-5.0984</f>
        <v>3.1343915119670012</v>
      </c>
      <c r="H105" s="14">
        <v>5</v>
      </c>
      <c r="I105" s="14">
        <v>0</v>
      </c>
      <c r="J105" s="14">
        <v>3</v>
      </c>
      <c r="K105" s="14">
        <v>6</v>
      </c>
      <c r="L105" s="14">
        <v>6</v>
      </c>
      <c r="M105" s="14">
        <v>8</v>
      </c>
      <c r="N105" s="14">
        <v>6</v>
      </c>
      <c r="O105" s="14">
        <v>5</v>
      </c>
      <c r="P105" s="14">
        <v>6</v>
      </c>
      <c r="Q105" s="14">
        <v>6</v>
      </c>
      <c r="R105" s="14">
        <v>9</v>
      </c>
    </row>
    <row r="106" spans="5:18">
      <c r="E106" s="14" t="s">
        <v>139</v>
      </c>
      <c r="F106" s="18">
        <f>$B$2*H106+$B$3*I106+$B$4*J106+$B$5*K106+$B$6*L106+$B$7*M106+$B$8*N106+$B$9*O106+$B$10*P106+$B$11*Q106+$B$12*R106</f>
        <v>3.5069584000000003</v>
      </c>
      <c r="G106" s="18">
        <f>2.3045*F106-5.0984</f>
        <v>2.983385632800001</v>
      </c>
      <c r="H106" s="14">
        <v>2</v>
      </c>
      <c r="I106" s="14">
        <v>1</v>
      </c>
      <c r="J106" s="14">
        <v>7</v>
      </c>
      <c r="K106" s="14">
        <v>6</v>
      </c>
      <c r="L106" s="14">
        <v>7</v>
      </c>
      <c r="M106" s="14">
        <v>7</v>
      </c>
      <c r="N106" s="14">
        <v>8</v>
      </c>
      <c r="O106" s="14">
        <v>7</v>
      </c>
      <c r="P106" s="14">
        <v>6</v>
      </c>
      <c r="Q106" s="14">
        <v>8</v>
      </c>
      <c r="R106" s="14">
        <v>7</v>
      </c>
    </row>
    <row r="107" spans="5:18">
      <c r="E107" s="14" t="s">
        <v>140</v>
      </c>
      <c r="F107" s="18">
        <f>$B$2*H107+$B$3*I107+$B$4*J107+$B$5*K107+$B$6*L107+$B$7*M107+$B$8*N107+$B$9*O107+$B$10*P107+$B$11*Q107+$B$12*R107</f>
        <v>3.4632361299999999</v>
      </c>
      <c r="G107" s="18">
        <f>2.3045*F107-5.0984</f>
        <v>2.8826276615849995</v>
      </c>
      <c r="H107" s="14">
        <v>2</v>
      </c>
      <c r="I107" s="14">
        <v>0</v>
      </c>
      <c r="J107" s="14">
        <v>7</v>
      </c>
      <c r="K107" s="14">
        <v>8</v>
      </c>
      <c r="L107" s="14">
        <v>7</v>
      </c>
      <c r="M107" s="14">
        <v>10</v>
      </c>
      <c r="N107" s="14">
        <v>10</v>
      </c>
      <c r="O107" s="14">
        <v>6</v>
      </c>
      <c r="P107" s="14">
        <v>7</v>
      </c>
      <c r="Q107" s="14">
        <v>10</v>
      </c>
      <c r="R107" s="14">
        <v>7</v>
      </c>
    </row>
    <row r="108" spans="5:18">
      <c r="E108" s="14" t="s">
        <v>141</v>
      </c>
      <c r="F108" s="18">
        <f>$B$2*H108+$B$3*I108+$B$4*J108+$B$5*K108+$B$6*L108+$B$7*M108+$B$8*N108+$B$9*O108+$B$10*P108+$B$11*Q108+$B$12*R108</f>
        <v>3.4085169279999996</v>
      </c>
      <c r="G108" s="18">
        <f>2.3045*F108-5.0984</f>
        <v>2.7565272605759992</v>
      </c>
      <c r="H108" s="14">
        <v>2</v>
      </c>
      <c r="I108" s="14">
        <v>0</v>
      </c>
      <c r="J108" s="14">
        <v>4</v>
      </c>
      <c r="K108" s="14">
        <v>7</v>
      </c>
      <c r="L108" s="14">
        <v>8</v>
      </c>
      <c r="M108" s="14">
        <v>10</v>
      </c>
      <c r="N108" s="14">
        <v>8</v>
      </c>
      <c r="O108" s="14">
        <v>10</v>
      </c>
      <c r="P108" s="14">
        <v>10</v>
      </c>
      <c r="Q108" s="14">
        <v>6</v>
      </c>
      <c r="R108" s="14">
        <v>7</v>
      </c>
    </row>
    <row r="109" spans="5:18">
      <c r="E109" s="14" t="s">
        <v>142</v>
      </c>
      <c r="F109" s="18">
        <f>$B$2*H109+$B$3*I109+$B$4*J109+$B$5*K109+$B$6*L109+$B$7*M109+$B$8*N109+$B$9*O109+$B$10*P109+$B$11*Q109+$B$12*R109</f>
        <v>3.2995335810000008</v>
      </c>
      <c r="G109" s="18">
        <f>2.3045*F109-5.0984</f>
        <v>2.5053751374145019</v>
      </c>
      <c r="H109" s="14">
        <v>3</v>
      </c>
      <c r="I109" s="14">
        <v>1</v>
      </c>
      <c r="J109" s="14">
        <v>5</v>
      </c>
      <c r="K109" s="14">
        <v>7</v>
      </c>
      <c r="L109" s="14">
        <v>5</v>
      </c>
      <c r="M109" s="14">
        <v>7</v>
      </c>
      <c r="N109" s="14">
        <v>9</v>
      </c>
      <c r="O109" s="14">
        <v>1</v>
      </c>
      <c r="P109" s="14">
        <v>3</v>
      </c>
      <c r="Q109" s="14">
        <v>10</v>
      </c>
      <c r="R109" s="14">
        <v>7</v>
      </c>
    </row>
    <row r="110" spans="5:18">
      <c r="E110" s="14" t="s">
        <v>143</v>
      </c>
      <c r="F110" s="18">
        <f>$B$2*H110+$B$3*I110+$B$4*J110+$B$5*K110+$B$6*L110+$B$7*M110+$B$8*N110+$B$9*O110+$B$10*P110+$B$11*Q110+$B$12*R110</f>
        <v>3.0728072489999998</v>
      </c>
      <c r="G110" s="18">
        <f>2.3045*F110-5.0984</f>
        <v>1.9828843053204999</v>
      </c>
      <c r="H110" s="14">
        <v>4</v>
      </c>
      <c r="I110" s="14">
        <v>0</v>
      </c>
      <c r="J110" s="14">
        <v>2</v>
      </c>
      <c r="K110" s="14">
        <v>6</v>
      </c>
      <c r="L110" s="14">
        <v>6</v>
      </c>
      <c r="M110" s="14">
        <v>10</v>
      </c>
      <c r="N110" s="14">
        <v>5</v>
      </c>
      <c r="O110" s="14">
        <v>4</v>
      </c>
      <c r="P110" s="14">
        <v>6</v>
      </c>
      <c r="Q110" s="14">
        <v>5</v>
      </c>
      <c r="R110" s="14">
        <v>7</v>
      </c>
    </row>
    <row r="111" spans="5:18">
      <c r="E111" s="14" t="s">
        <v>144</v>
      </c>
      <c r="F111" s="18">
        <f>$B$2*H111+$B$3*I111+$B$4*J111+$B$5*K111+$B$6*L111+$B$7*M111+$B$8*N111+$B$9*O111+$B$10*P111+$B$11*Q111+$B$12*R111</f>
        <v>2.8246179529999997</v>
      </c>
      <c r="G111" s="18">
        <f>2.3045*F111-5.0984</f>
        <v>1.4109320726884995</v>
      </c>
      <c r="H111" s="14">
        <v>2</v>
      </c>
      <c r="I111" s="14">
        <v>0</v>
      </c>
      <c r="J111" s="14">
        <v>7</v>
      </c>
      <c r="K111" s="14">
        <v>5</v>
      </c>
      <c r="L111" s="14">
        <v>3</v>
      </c>
      <c r="M111" s="14">
        <v>4</v>
      </c>
      <c r="N111" s="14">
        <v>9</v>
      </c>
      <c r="O111" s="14">
        <v>3</v>
      </c>
      <c r="P111" s="14">
        <v>6</v>
      </c>
      <c r="Q111" s="14">
        <v>10</v>
      </c>
      <c r="R111" s="14">
        <v>6</v>
      </c>
    </row>
    <row r="112" spans="5:18">
      <c r="E112" s="14" t="s">
        <v>145</v>
      </c>
      <c r="F112" s="18">
        <f>$B$2*H112+$B$3*I112+$B$4*J112+$B$5*K112+$B$6*L112+$B$7*M112+$B$8*N112+$B$9*O112+$B$10*P112+$B$11*Q112+$B$12*R112</f>
        <v>2.7068370540000002</v>
      </c>
      <c r="G112" s="18">
        <f>2.3045*F112-5.0984</f>
        <v>1.1395059909430003</v>
      </c>
      <c r="H112" s="14">
        <v>1</v>
      </c>
      <c r="I112" s="14">
        <v>1</v>
      </c>
      <c r="J112" s="14">
        <v>6</v>
      </c>
      <c r="K112" s="14">
        <v>4</v>
      </c>
      <c r="L112" s="14">
        <v>5</v>
      </c>
      <c r="M112" s="14">
        <v>7</v>
      </c>
      <c r="N112" s="14">
        <v>10</v>
      </c>
      <c r="O112" s="14">
        <v>6</v>
      </c>
      <c r="P112" s="14">
        <v>6</v>
      </c>
      <c r="Q112" s="14">
        <v>6</v>
      </c>
      <c r="R112" s="14">
        <v>0</v>
      </c>
    </row>
    <row r="113" spans="5:18">
      <c r="E113" s="14" t="s">
        <v>146</v>
      </c>
      <c r="F113" s="18">
        <f>$B$2*H113+$B$3*I113+$B$4*J113+$B$5*K113+$B$6*L113+$B$7*M113+$B$8*N113+$B$9*O113+$B$10*P113+$B$11*Q113+$B$12*R113</f>
        <v>2.3059042119999997</v>
      </c>
      <c r="G113" s="18">
        <f>2.3045*F113-5.0984</f>
        <v>0.21555625655399968</v>
      </c>
      <c r="H113" s="14">
        <v>2</v>
      </c>
      <c r="I113" s="14">
        <v>0</v>
      </c>
      <c r="J113" s="14">
        <v>5</v>
      </c>
      <c r="K113" s="14">
        <v>9</v>
      </c>
      <c r="L113" s="14">
        <v>10</v>
      </c>
      <c r="M113" s="14">
        <v>10</v>
      </c>
      <c r="N113" s="14">
        <v>9</v>
      </c>
      <c r="O113" s="14">
        <v>2</v>
      </c>
      <c r="P113" s="14">
        <v>2</v>
      </c>
      <c r="Q113" s="14">
        <v>1</v>
      </c>
      <c r="R113" s="14">
        <v>9</v>
      </c>
    </row>
    <row r="114" spans="5:18">
      <c r="E114" s="19" t="s">
        <v>147</v>
      </c>
      <c r="F114" s="20">
        <f>$B$2*H114+$B$3*I114+$B$4*J114+$B$5*K114+$B$6*L114+$B$7*M114+$B$8*N114+$B$9*O114+$B$10*P114+$B$11*Q114+$B$12*R114</f>
        <v>9.6234500019999984</v>
      </c>
      <c r="G114" s="20">
        <f>'All Data'!O115</f>
        <v>12.705882352941176</v>
      </c>
      <c r="H114" s="19">
        <v>10</v>
      </c>
      <c r="I114" s="19">
        <v>10</v>
      </c>
      <c r="J114" s="19">
        <v>6</v>
      </c>
      <c r="K114" s="19">
        <v>9</v>
      </c>
      <c r="L114" s="19">
        <v>9</v>
      </c>
      <c r="M114" s="19">
        <v>10</v>
      </c>
      <c r="N114" s="19">
        <v>7</v>
      </c>
      <c r="O114" s="19">
        <v>9</v>
      </c>
      <c r="P114" s="19">
        <v>10</v>
      </c>
      <c r="Q114" s="19">
        <v>10</v>
      </c>
      <c r="R114" s="19">
        <v>9</v>
      </c>
    </row>
    <row r="115" spans="5:18">
      <c r="E115" s="19" t="s">
        <v>148</v>
      </c>
      <c r="F115" s="20">
        <f>$B$2*H115+$B$3*I115+$B$4*J115+$B$5*K115+$B$6*L115+$B$7*M115+$B$8*N115+$B$9*O115+$B$10*P115+$B$11*Q115+$B$12*R115</f>
        <v>8.7201471299999991</v>
      </c>
      <c r="G115" s="20">
        <f>'All Data'!O116</f>
        <v>12.530769230769231</v>
      </c>
      <c r="H115" s="19">
        <v>7</v>
      </c>
      <c r="I115" s="19">
        <v>10</v>
      </c>
      <c r="J115" s="19">
        <v>6</v>
      </c>
      <c r="K115" s="19">
        <v>7</v>
      </c>
      <c r="L115" s="19">
        <v>9</v>
      </c>
      <c r="M115" s="19">
        <v>10</v>
      </c>
      <c r="N115" s="19">
        <v>8</v>
      </c>
      <c r="O115" s="19">
        <v>10</v>
      </c>
      <c r="P115" s="19">
        <v>9</v>
      </c>
      <c r="Q115" s="19">
        <v>10</v>
      </c>
      <c r="R115" s="19">
        <v>8</v>
      </c>
    </row>
    <row r="116" spans="5:18">
      <c r="E116" s="19" t="s">
        <v>149</v>
      </c>
      <c r="F116" s="20">
        <f>$B$2*H116+$B$3*I116+$B$4*J116+$B$5*K116+$B$6*L116+$B$7*M116+$B$8*N116+$B$9*O116+$B$10*P116+$B$11*Q116+$B$12*R116</f>
        <v>8.8893102270000011</v>
      </c>
      <c r="G116" s="20">
        <f>'All Data'!O117</f>
        <v>11.166666666666666</v>
      </c>
      <c r="H116" s="19">
        <v>7</v>
      </c>
      <c r="I116" s="19">
        <v>10</v>
      </c>
      <c r="J116" s="19">
        <v>6</v>
      </c>
      <c r="K116" s="19">
        <v>10</v>
      </c>
      <c r="L116" s="19">
        <v>10</v>
      </c>
      <c r="M116" s="19">
        <v>10</v>
      </c>
      <c r="N116" s="19">
        <v>10</v>
      </c>
      <c r="O116" s="19">
        <v>10</v>
      </c>
      <c r="P116" s="19">
        <v>10</v>
      </c>
      <c r="Q116" s="19">
        <v>10</v>
      </c>
      <c r="R116" s="19">
        <v>7</v>
      </c>
    </row>
    <row r="117" spans="5:18">
      <c r="E117" s="19" t="s">
        <v>150</v>
      </c>
      <c r="F117" s="20">
        <f>$B$2*H117+$B$3*I117+$B$4*J117+$B$5*K117+$B$6*L117+$B$7*M117+$B$8*N117+$B$9*O117+$B$10*P117+$B$11*Q117+$B$12*R117</f>
        <v>8.8893102270000011</v>
      </c>
      <c r="G117" s="20">
        <f>'All Data'!O118</f>
        <v>11.408333333333333</v>
      </c>
      <c r="H117" s="19">
        <v>7</v>
      </c>
      <c r="I117" s="19">
        <v>10</v>
      </c>
      <c r="J117" s="19">
        <v>6</v>
      </c>
      <c r="K117" s="19">
        <v>10</v>
      </c>
      <c r="L117" s="19">
        <v>10</v>
      </c>
      <c r="M117" s="19">
        <v>10</v>
      </c>
      <c r="N117" s="19">
        <v>10</v>
      </c>
      <c r="O117" s="19">
        <v>10</v>
      </c>
      <c r="P117" s="19">
        <v>10</v>
      </c>
      <c r="Q117" s="19">
        <v>10</v>
      </c>
      <c r="R117" s="19">
        <v>7</v>
      </c>
    </row>
    <row r="118" spans="5:18">
      <c r="E118" s="19" t="s">
        <v>151</v>
      </c>
      <c r="F118" s="20">
        <f>$B$2*H118+$B$3*I118+$B$4*J118+$B$5*K118+$B$6*L118+$B$7*M118+$B$8*N118+$B$9*O118+$B$10*P118+$B$11*Q118+$B$12*R118</f>
        <v>8.2772363569999996</v>
      </c>
      <c r="G118" s="20">
        <f>'All Data'!O119</f>
        <v>14</v>
      </c>
      <c r="H118" s="19">
        <v>6</v>
      </c>
      <c r="I118" s="19">
        <v>10</v>
      </c>
      <c r="J118" s="19">
        <v>4</v>
      </c>
      <c r="K118" s="19">
        <v>10</v>
      </c>
      <c r="L118" s="19">
        <v>10</v>
      </c>
      <c r="M118" s="19">
        <v>10</v>
      </c>
      <c r="N118" s="19">
        <v>4</v>
      </c>
      <c r="O118" s="19">
        <v>10</v>
      </c>
      <c r="P118" s="19">
        <v>10</v>
      </c>
      <c r="Q118" s="19">
        <v>8</v>
      </c>
      <c r="R118" s="19">
        <v>9</v>
      </c>
    </row>
    <row r="119" spans="5:18">
      <c r="E119" s="19" t="s">
        <v>152</v>
      </c>
      <c r="F119" s="20">
        <f>$B$2*H119+$B$3*I119+$B$4*J119+$B$5*K119+$B$6*L119+$B$7*M119+$B$8*N119+$B$9*O119+$B$10*P119+$B$11*Q119+$B$12*R119</f>
        <v>6.542944899000001</v>
      </c>
      <c r="G119" s="20">
        <f>'All Data'!O120</f>
        <v>0</v>
      </c>
      <c r="H119" s="19">
        <v>5</v>
      </c>
      <c r="I119" s="19">
        <v>7</v>
      </c>
      <c r="J119" s="19">
        <v>4</v>
      </c>
      <c r="K119" s="19">
        <v>10</v>
      </c>
      <c r="L119" s="19">
        <v>10</v>
      </c>
      <c r="M119" s="19">
        <v>10</v>
      </c>
      <c r="N119" s="19">
        <v>6</v>
      </c>
      <c r="O119" s="19">
        <v>10</v>
      </c>
      <c r="P119" s="19">
        <v>10</v>
      </c>
      <c r="Q119" s="19">
        <v>2</v>
      </c>
      <c r="R119" s="19">
        <v>10</v>
      </c>
    </row>
    <row r="120" spans="5:18">
      <c r="E120" s="19" t="s">
        <v>153</v>
      </c>
      <c r="F120" s="20">
        <f>$B$2*H120+$B$3*I120+$B$4*J120+$B$5*K120+$B$6*L120+$B$7*M120+$B$8*N120+$B$9*O120+$B$10*P120+$B$11*Q120+$B$12*R120</f>
        <v>5.4077206039999997</v>
      </c>
      <c r="G120" s="20">
        <f>'All Data'!O121</f>
        <v>0.1</v>
      </c>
      <c r="H120" s="19">
        <v>5</v>
      </c>
      <c r="I120" s="19">
        <v>5</v>
      </c>
      <c r="J120" s="19">
        <v>7</v>
      </c>
      <c r="K120" s="19">
        <v>5</v>
      </c>
      <c r="L120" s="19">
        <v>3</v>
      </c>
      <c r="M120" s="19">
        <v>7</v>
      </c>
      <c r="N120" s="19">
        <v>9</v>
      </c>
      <c r="O120" s="19">
        <v>3</v>
      </c>
      <c r="P120" s="19">
        <v>4</v>
      </c>
      <c r="Q120" s="19">
        <v>10</v>
      </c>
      <c r="R120" s="19">
        <v>7</v>
      </c>
    </row>
    <row r="121" spans="5:18">
      <c r="E121" s="19" t="s">
        <v>154</v>
      </c>
      <c r="F121" s="20">
        <f>$B$2*H121+$B$3*I121+$B$4*J121+$B$5*K121+$B$6*L121+$B$7*M121+$B$8*N121+$B$9*O121+$B$10*P121+$B$11*Q121+$B$12*R121</f>
        <v>5.3599408439999996</v>
      </c>
      <c r="G121" s="20">
        <f>'All Data'!O122</f>
        <v>12.846153846153847</v>
      </c>
      <c r="H121" s="19">
        <v>5</v>
      </c>
      <c r="I121" s="19">
        <v>5</v>
      </c>
      <c r="J121" s="19">
        <v>4</v>
      </c>
      <c r="K121" s="19">
        <v>4</v>
      </c>
      <c r="L121" s="19">
        <v>5</v>
      </c>
      <c r="M121" s="19">
        <v>6</v>
      </c>
      <c r="N121" s="19">
        <v>6</v>
      </c>
      <c r="O121" s="19">
        <v>6</v>
      </c>
      <c r="P121" s="19">
        <v>5</v>
      </c>
      <c r="Q121" s="19">
        <v>8</v>
      </c>
      <c r="R121" s="19">
        <v>8</v>
      </c>
    </row>
    <row r="122" spans="5:18">
      <c r="E122" s="19" t="s">
        <v>155</v>
      </c>
      <c r="F122" s="20">
        <f>$B$2*H122+$B$3*I122+$B$4*J122+$B$5*K122+$B$6*L122+$B$7*M122+$B$8*N122+$B$9*O122+$B$10*P122+$B$11*Q122+$B$12*R122</f>
        <v>4.3294528080000001</v>
      </c>
      <c r="G122" s="20">
        <f>'All Data'!O123</f>
        <v>4</v>
      </c>
      <c r="H122" s="19">
        <v>2</v>
      </c>
      <c r="I122" s="19">
        <v>3</v>
      </c>
      <c r="J122" s="19">
        <v>7</v>
      </c>
      <c r="K122" s="19">
        <v>7</v>
      </c>
      <c r="L122" s="19">
        <v>6</v>
      </c>
      <c r="M122" s="19">
        <v>9</v>
      </c>
      <c r="N122" s="19">
        <v>9</v>
      </c>
      <c r="O122" s="19">
        <v>5</v>
      </c>
      <c r="P122" s="19">
        <v>6</v>
      </c>
      <c r="Q122" s="19">
        <v>10</v>
      </c>
      <c r="R122" s="19">
        <v>9</v>
      </c>
    </row>
    <row r="123" spans="5:18">
      <c r="E123" s="19" t="s">
        <v>156</v>
      </c>
      <c r="F123" s="20">
        <f>$B$2*H123+$B$3*I123+$B$4*J123+$B$5*K123+$B$6*L123+$B$7*M123+$B$8*N123+$B$9*O123+$B$10*P123+$B$11*Q123+$B$12*R123</f>
        <v>3.8747866970000002</v>
      </c>
      <c r="G123" s="20">
        <f>'All Data'!O124</f>
        <v>0.3</v>
      </c>
      <c r="H123" s="19">
        <v>3</v>
      </c>
      <c r="I123" s="19">
        <v>1</v>
      </c>
      <c r="J123" s="19">
        <v>9</v>
      </c>
      <c r="K123" s="19">
        <v>7</v>
      </c>
      <c r="L123" s="19">
        <v>6</v>
      </c>
      <c r="M123" s="19">
        <v>9</v>
      </c>
      <c r="N123" s="19">
        <v>10</v>
      </c>
      <c r="O123" s="19">
        <v>5</v>
      </c>
      <c r="P123" s="19">
        <v>6</v>
      </c>
      <c r="Q123" s="19">
        <v>8</v>
      </c>
      <c r="R123" s="19">
        <v>9</v>
      </c>
    </row>
    <row r="124" spans="5:18">
      <c r="E124" s="19" t="s">
        <v>157</v>
      </c>
      <c r="F124" s="20">
        <f>$B$2*H124+$B$3*I124+$B$4*J124+$B$5*K124+$B$6*L124+$B$7*M124+$B$8*N124+$B$9*O124+$B$10*P124+$B$11*Q124+$B$12*R124</f>
        <v>3.382617271</v>
      </c>
      <c r="G124" s="20">
        <f>'All Data'!O125</f>
        <v>0</v>
      </c>
      <c r="H124" s="19">
        <v>3</v>
      </c>
      <c r="I124" s="19">
        <v>0</v>
      </c>
      <c r="J124" s="19">
        <v>5</v>
      </c>
      <c r="K124" s="19">
        <v>8</v>
      </c>
      <c r="L124" s="19">
        <v>5</v>
      </c>
      <c r="M124" s="19">
        <v>6</v>
      </c>
      <c r="N124" s="19">
        <v>10</v>
      </c>
      <c r="O124" s="19">
        <v>5</v>
      </c>
      <c r="P124" s="19">
        <v>5</v>
      </c>
      <c r="Q124" s="19">
        <v>10</v>
      </c>
      <c r="R124" s="19">
        <v>9</v>
      </c>
    </row>
    <row r="125" spans="5:18">
      <c r="E125" s="19" t="s">
        <v>158</v>
      </c>
      <c r="F125" s="20">
        <f>$B$2*H125+$B$3*I125+$B$4*J125+$B$5*K125+$B$6*L125+$B$7*M125+$B$8*N125+$B$9*O125+$B$10*P125+$B$11*Q125+$B$12*R125</f>
        <v>3.1274126890000007</v>
      </c>
      <c r="G125" s="20">
        <f>'All Data'!O126</f>
        <v>-6.6666666666666666E-2</v>
      </c>
      <c r="H125" s="19">
        <v>2</v>
      </c>
      <c r="I125" s="19">
        <v>0</v>
      </c>
      <c r="J125" s="19">
        <v>5</v>
      </c>
      <c r="K125" s="19">
        <v>7</v>
      </c>
      <c r="L125" s="19">
        <v>5</v>
      </c>
      <c r="M125" s="19">
        <v>7</v>
      </c>
      <c r="N125" s="19">
        <v>9</v>
      </c>
      <c r="O125" s="19">
        <v>5</v>
      </c>
      <c r="P125" s="19">
        <v>6</v>
      </c>
      <c r="Q125" s="19">
        <v>10</v>
      </c>
      <c r="R125" s="19">
        <v>9</v>
      </c>
    </row>
    <row r="126" spans="5:18">
      <c r="E126" s="19" t="s">
        <v>159</v>
      </c>
      <c r="F126" s="20">
        <f>$B$2*H126+$B$3*I126+$B$4*J126+$B$5*K126+$B$6*L126+$B$7*M126+$B$8*N126+$B$9*O126+$B$10*P126+$B$11*Q126+$B$12*R126</f>
        <v>2.4647150299999998</v>
      </c>
      <c r="G126" s="20">
        <f>'All Data'!O127</f>
        <v>0</v>
      </c>
      <c r="H126" s="19">
        <v>2</v>
      </c>
      <c r="I126" s="19">
        <v>0</v>
      </c>
      <c r="J126" s="19">
        <v>7</v>
      </c>
      <c r="K126" s="19">
        <v>4</v>
      </c>
      <c r="L126" s="19">
        <v>3</v>
      </c>
      <c r="M126" s="19">
        <v>4</v>
      </c>
      <c r="N126" s="19">
        <v>9</v>
      </c>
      <c r="O126" s="19">
        <v>1</v>
      </c>
      <c r="P126" s="19">
        <v>2</v>
      </c>
      <c r="Q126" s="19">
        <v>10</v>
      </c>
      <c r="R126" s="19">
        <v>6</v>
      </c>
    </row>
    <row r="127" spans="5:18">
      <c r="E127" s="19" t="s">
        <v>160</v>
      </c>
      <c r="F127" s="20">
        <f>$B$2*H127+$B$3*I127+$B$4*J127+$B$5*K127+$B$6*L127+$B$7*M127+$B$8*N127+$B$9*O127+$B$10*P127+$B$11*Q127+$B$12*R127</f>
        <v>2.2319214280000002</v>
      </c>
      <c r="G127" s="20">
        <f>'All Data'!O128</f>
        <v>0</v>
      </c>
      <c r="H127" s="19">
        <v>1</v>
      </c>
      <c r="I127" s="19">
        <v>0</v>
      </c>
      <c r="J127" s="19">
        <v>4</v>
      </c>
      <c r="K127" s="19">
        <v>6</v>
      </c>
      <c r="L127" s="19">
        <v>5</v>
      </c>
      <c r="M127" s="19">
        <v>7</v>
      </c>
      <c r="N127" s="19">
        <v>7</v>
      </c>
      <c r="O127" s="19">
        <v>5</v>
      </c>
      <c r="P127" s="19">
        <v>5</v>
      </c>
      <c r="Q127" s="19">
        <v>5</v>
      </c>
      <c r="R127" s="19">
        <v>7</v>
      </c>
    </row>
    <row r="128" spans="5:18">
      <c r="E128" s="19" t="s">
        <v>161</v>
      </c>
      <c r="F128" s="20">
        <f>$B$2*H128+$B$3*I128+$B$4*J128+$B$5*K128+$B$6*L128+$B$7*M128+$B$8*N128+$B$9*O128+$B$10*P128+$B$11*Q128+$B$12*R128</f>
        <v>2.9703082919999999</v>
      </c>
      <c r="G128" s="20">
        <f>'All Data'!O129</f>
        <v>0</v>
      </c>
      <c r="H128" s="19">
        <v>1</v>
      </c>
      <c r="I128" s="19">
        <v>0</v>
      </c>
      <c r="J128" s="19">
        <v>3</v>
      </c>
      <c r="K128" s="19">
        <v>8</v>
      </c>
      <c r="L128" s="19">
        <v>7</v>
      </c>
      <c r="M128" s="19">
        <v>8</v>
      </c>
      <c r="N128" s="19">
        <v>6</v>
      </c>
      <c r="O128" s="19">
        <v>8</v>
      </c>
      <c r="P128" s="19">
        <v>8</v>
      </c>
      <c r="Q128" s="19">
        <v>8</v>
      </c>
      <c r="R128" s="19">
        <v>10</v>
      </c>
    </row>
    <row r="129" spans="5:18">
      <c r="E129" s="19" t="s">
        <v>162</v>
      </c>
      <c r="F129" s="20">
        <f>$B$2*H129+$B$3*I129+$B$4*J129+$B$5*K129+$B$6*L129+$B$7*M129+$B$8*N129+$B$9*O129+$B$10*P129+$B$11*Q129+$B$12*R129</f>
        <v>3.8207121449999999</v>
      </c>
      <c r="G129" s="20">
        <f>'All Data'!O130</f>
        <v>0</v>
      </c>
      <c r="H129" s="19">
        <v>3</v>
      </c>
      <c r="I129" s="19">
        <v>0</v>
      </c>
      <c r="J129" s="19">
        <v>6</v>
      </c>
      <c r="K129" s="19">
        <v>7</v>
      </c>
      <c r="L129" s="19">
        <v>6</v>
      </c>
      <c r="M129" s="19">
        <v>10</v>
      </c>
      <c r="N129" s="19">
        <v>10</v>
      </c>
      <c r="O129" s="19">
        <v>7</v>
      </c>
      <c r="P129" s="19">
        <v>8</v>
      </c>
      <c r="Q129" s="19">
        <v>10</v>
      </c>
      <c r="R129" s="19">
        <v>9</v>
      </c>
    </row>
    <row r="130" spans="5:18">
      <c r="E130" s="19" t="s">
        <v>163</v>
      </c>
      <c r="F130" s="20">
        <f>$B$2*H130+$B$3*I130+$B$4*J130+$B$5*K130+$B$6*L130+$B$7*M130+$B$8*N130+$B$9*O130+$B$10*P130+$B$11*Q130+$B$12*R130</f>
        <v>3.3352546370000002</v>
      </c>
      <c r="G130" s="20">
        <f>'All Data'!O131</f>
        <v>0</v>
      </c>
      <c r="H130" s="19">
        <v>3</v>
      </c>
      <c r="I130" s="19">
        <v>0</v>
      </c>
      <c r="J130" s="19">
        <v>6</v>
      </c>
      <c r="K130" s="19">
        <v>9</v>
      </c>
      <c r="L130" s="19">
        <v>6</v>
      </c>
      <c r="M130" s="19">
        <v>8</v>
      </c>
      <c r="N130" s="19">
        <v>9</v>
      </c>
      <c r="O130" s="19">
        <v>5</v>
      </c>
      <c r="P130" s="19">
        <v>6</v>
      </c>
      <c r="Q130" s="19">
        <v>10</v>
      </c>
      <c r="R130" s="19">
        <v>0</v>
      </c>
    </row>
    <row r="131" spans="5:18">
      <c r="E131" s="19" t="s">
        <v>164</v>
      </c>
      <c r="F131" s="20">
        <f>$B$2*H131+$B$3*I131+$B$4*J131+$B$5*K131+$B$6*L131+$B$7*M131+$B$8*N131+$B$9*O131+$B$10*P131+$B$11*Q131+$B$12*R131</f>
        <v>2.1335178790000002</v>
      </c>
      <c r="G131" s="20">
        <f>'All Data'!O132</f>
        <v>0</v>
      </c>
      <c r="H131" s="19">
        <v>3</v>
      </c>
      <c r="I131" s="19">
        <v>0</v>
      </c>
      <c r="J131" s="19">
        <v>3</v>
      </c>
      <c r="K131" s="19">
        <v>5</v>
      </c>
      <c r="L131" s="19">
        <v>3</v>
      </c>
      <c r="M131" s="19">
        <v>4</v>
      </c>
      <c r="N131" s="19">
        <v>6</v>
      </c>
      <c r="O131" s="19">
        <v>5</v>
      </c>
      <c r="P131" s="19">
        <v>4</v>
      </c>
      <c r="Q131" s="19">
        <v>0</v>
      </c>
      <c r="R131" s="19">
        <v>7</v>
      </c>
    </row>
    <row r="132" spans="5:18">
      <c r="E132" s="19" t="s">
        <v>165</v>
      </c>
      <c r="F132" s="20">
        <f>$B$2*H132+$B$3*I132+$B$4*J132+$B$5*K132+$B$6*L132+$B$7*M132+$B$8*N132+$B$9*O132+$B$10*P132+$B$11*Q132+$B$12*R132</f>
        <v>2.5598574199999997</v>
      </c>
      <c r="G132" s="20">
        <f>'All Data'!O133</f>
        <v>0</v>
      </c>
      <c r="H132" s="19">
        <v>3</v>
      </c>
      <c r="I132" s="19">
        <v>0</v>
      </c>
      <c r="J132" s="19">
        <v>4</v>
      </c>
      <c r="K132" s="19">
        <v>0</v>
      </c>
      <c r="L132" s="19">
        <v>2</v>
      </c>
      <c r="M132" s="19">
        <v>3</v>
      </c>
      <c r="N132" s="19">
        <v>7</v>
      </c>
      <c r="O132" s="19">
        <v>2</v>
      </c>
      <c r="P132" s="19">
        <v>2</v>
      </c>
      <c r="Q132" s="19">
        <v>10</v>
      </c>
      <c r="R132" s="19">
        <v>8</v>
      </c>
    </row>
    <row r="133" spans="5:18">
      <c r="E133" s="19" t="s">
        <v>166</v>
      </c>
      <c r="F133" s="20">
        <f>$B$2*H133+$B$3*I133+$B$4*J133+$B$5*K133+$B$6*L133+$B$7*M133+$B$8*N133+$B$9*O133+$B$10*P133+$B$11*Q133+$B$12*R133</f>
        <v>2.988358426</v>
      </c>
      <c r="G133" s="20">
        <f>'All Data'!O134</f>
        <v>0</v>
      </c>
      <c r="H133" s="19">
        <v>3</v>
      </c>
      <c r="I133" s="19">
        <v>0</v>
      </c>
      <c r="J133" s="19">
        <v>4</v>
      </c>
      <c r="K133" s="19">
        <v>6</v>
      </c>
      <c r="L133" s="19">
        <v>3</v>
      </c>
      <c r="M133" s="19">
        <v>5</v>
      </c>
      <c r="N133" s="19">
        <v>8</v>
      </c>
      <c r="O133" s="19">
        <v>4</v>
      </c>
      <c r="P133" s="19">
        <v>4</v>
      </c>
      <c r="Q133" s="19">
        <v>9</v>
      </c>
      <c r="R133" s="19">
        <v>10</v>
      </c>
    </row>
    <row r="134" spans="5:18">
      <c r="E134" s="21" t="str">
        <f>'All Data'!D150</f>
        <v>Joe Burrow</v>
      </c>
      <c r="F134" s="22">
        <f>$B$2*H134+$B$3*I134+$B$4*J134+$B$5*K134+$B$6*L134+$B$7*M134+$B$8*N134+$B$9*O134+$B$10*P134+$B$11*Q134+$B$12*R134</f>
        <v>9.6498047099999997</v>
      </c>
      <c r="G134" s="22">
        <f>'All Data'!O150</f>
        <v>19.488461538461539</v>
      </c>
      <c r="H134" s="21">
        <f>'All Data'!AD150</f>
        <v>10</v>
      </c>
      <c r="I134" s="21">
        <f>'All Data'!AE150</f>
        <v>10</v>
      </c>
      <c r="J134" s="21">
        <f>'All Data'!AF150</f>
        <v>5</v>
      </c>
      <c r="K134" s="21">
        <f>'All Data'!AG150</f>
        <v>10</v>
      </c>
      <c r="L134" s="21">
        <f>'All Data'!AH150</f>
        <v>10</v>
      </c>
      <c r="M134" s="21">
        <f>'All Data'!AI150</f>
        <v>10</v>
      </c>
      <c r="N134" s="21">
        <f>'All Data'!AJ150</f>
        <v>8</v>
      </c>
      <c r="O134" s="21">
        <f>'All Data'!AK150</f>
        <v>10</v>
      </c>
      <c r="P134" s="21">
        <f>'All Data'!AL150</f>
        <v>10</v>
      </c>
      <c r="Q134" s="21">
        <f>'All Data'!AM150</f>
        <v>10</v>
      </c>
      <c r="R134" s="21">
        <f>'All Data'!AN150</f>
        <v>6</v>
      </c>
    </row>
    <row r="135" spans="5:18">
      <c r="E135" s="21" t="str">
        <f>'All Data'!D135</f>
        <v>Tua Tagovailoa</v>
      </c>
      <c r="F135" s="22">
        <f>$B$2*H135+$B$3*I135+$B$4*J135+$B$5*K135+$B$6*L135+$B$7*M135+$B$8*N135+$B$9*O135+$B$10*P135+$B$11*Q135+$B$12*R135</f>
        <v>9.3497402449999996</v>
      </c>
      <c r="G135" s="22">
        <f>'All Data'!O135</f>
        <v>14.404347826086957</v>
      </c>
      <c r="H135" s="21">
        <f>'All Data'!AD135</f>
        <v>9</v>
      </c>
      <c r="I135" s="21">
        <f>'All Data'!AE135</f>
        <v>10</v>
      </c>
      <c r="J135" s="21">
        <f>'All Data'!AF135</f>
        <v>4</v>
      </c>
      <c r="K135" s="21">
        <f>'All Data'!AG135</f>
        <v>10</v>
      </c>
      <c r="L135" s="21">
        <f>'All Data'!AH135</f>
        <v>10</v>
      </c>
      <c r="M135" s="21">
        <f>'All Data'!AI135</f>
        <v>10</v>
      </c>
      <c r="N135" s="21">
        <f>'All Data'!AJ135</f>
        <v>6</v>
      </c>
      <c r="O135" s="21">
        <f>'All Data'!AK135</f>
        <v>10</v>
      </c>
      <c r="P135" s="21">
        <f>'All Data'!AL135</f>
        <v>10</v>
      </c>
      <c r="Q135" s="21">
        <f>'All Data'!AM135</f>
        <v>10</v>
      </c>
      <c r="R135" s="21">
        <f>'All Data'!AN135</f>
        <v>9</v>
      </c>
    </row>
    <row r="136" spans="5:18">
      <c r="E136" s="21" t="str">
        <f>'All Data'!D145</f>
        <v>Justin Herbert</v>
      </c>
      <c r="F136" s="22">
        <f>$B$2*H136+$B$3*I136+$B$4*J136+$B$5*K136+$B$6*L136+$B$7*M136+$B$8*N136+$B$9*O136+$B$10*P136+$B$11*Q136+$B$12*R136</f>
        <v>8.329907854</v>
      </c>
      <c r="G136" s="22">
        <f>'All Data'!O145</f>
        <v>23.075000000000003</v>
      </c>
      <c r="H136" s="21">
        <f>'All Data'!AD145</f>
        <v>7</v>
      </c>
      <c r="I136" s="21">
        <f>'All Data'!AE145</f>
        <v>10</v>
      </c>
      <c r="J136" s="21">
        <f>'All Data'!AF145</f>
        <v>5</v>
      </c>
      <c r="K136" s="21">
        <f>'All Data'!AG145</f>
        <v>8</v>
      </c>
      <c r="L136" s="21">
        <f>'All Data'!AH145</f>
        <v>7</v>
      </c>
      <c r="M136" s="21">
        <f>'All Data'!AI145</f>
        <v>10</v>
      </c>
      <c r="N136" s="21">
        <f>'All Data'!AJ145</f>
        <v>7</v>
      </c>
      <c r="O136" s="21">
        <f>'All Data'!AK145</f>
        <v>7</v>
      </c>
      <c r="P136" s="21">
        <f>'All Data'!AL145</f>
        <v>7</v>
      </c>
      <c r="Q136" s="21">
        <f>'All Data'!AM145</f>
        <v>10</v>
      </c>
      <c r="R136" s="21">
        <f>'All Data'!AN145</f>
        <v>9</v>
      </c>
    </row>
    <row r="137" spans="5:18">
      <c r="E137" s="21" t="str">
        <f>'All Data'!D142</f>
        <v>Jordan Love</v>
      </c>
      <c r="F137" s="22">
        <f>$B$2*H137+$B$3*I137+$B$4*J137+$B$5*K137+$B$6*L137+$B$7*M137+$B$8*N137+$B$9*O137+$B$10*P137+$B$11*Q137+$B$12*R137</f>
        <v>7.5448030050000003</v>
      </c>
      <c r="G137" s="22">
        <f>'All Data'!O142</f>
        <v>4.0333333333333332</v>
      </c>
      <c r="H137" s="21">
        <f>'All Data'!AD142</f>
        <v>6</v>
      </c>
      <c r="I137" s="21">
        <f>'All Data'!AE142</f>
        <v>10</v>
      </c>
      <c r="J137" s="21">
        <f>'All Data'!AF142</f>
        <v>5</v>
      </c>
      <c r="K137" s="21">
        <f>'All Data'!AG142</f>
        <v>5</v>
      </c>
      <c r="L137" s="21">
        <f>'All Data'!AH142</f>
        <v>4</v>
      </c>
      <c r="M137" s="21">
        <f>'All Data'!AI142</f>
        <v>6</v>
      </c>
      <c r="N137" s="21">
        <f>'All Data'!AJ142</f>
        <v>6</v>
      </c>
      <c r="O137" s="21">
        <f>'All Data'!AK142</f>
        <v>5</v>
      </c>
      <c r="P137" s="21">
        <f>'All Data'!AL142</f>
        <v>5</v>
      </c>
      <c r="Q137" s="21">
        <f>'All Data'!AM142</f>
        <v>10</v>
      </c>
      <c r="R137" s="21">
        <f>'All Data'!AN142</f>
        <v>10</v>
      </c>
    </row>
    <row r="138" spans="5:18">
      <c r="E138" s="21" t="str">
        <f>'All Data'!D144</f>
        <v>Jalen Hurts</v>
      </c>
      <c r="F138" s="22">
        <f>$B$2*H138+$B$3*I138+$B$4*J138+$B$5*K138+$B$6*L138+$B$7*M138+$B$8*N138+$B$9*O138+$B$10*P138+$B$11*Q138+$B$12*R138</f>
        <v>7.3370748159999986</v>
      </c>
      <c r="G138" s="22">
        <f>'All Data'!O144</f>
        <v>14.473333333333333</v>
      </c>
      <c r="H138" s="21">
        <f>'All Data'!AD144</f>
        <v>5</v>
      </c>
      <c r="I138" s="21">
        <f>'All Data'!AE144</f>
        <v>7</v>
      </c>
      <c r="J138" s="21">
        <f>'All Data'!AF144</f>
        <v>9</v>
      </c>
      <c r="K138" s="21">
        <f>'All Data'!AG144</f>
        <v>9</v>
      </c>
      <c r="L138" s="21">
        <f>'All Data'!AH144</f>
        <v>9</v>
      </c>
      <c r="M138" s="21">
        <f>'All Data'!AI144</f>
        <v>10</v>
      </c>
      <c r="N138" s="21">
        <f>'All Data'!AJ144</f>
        <v>10</v>
      </c>
      <c r="O138" s="21">
        <f>'All Data'!AK144</f>
        <v>10</v>
      </c>
      <c r="P138" s="21">
        <f>'All Data'!AL144</f>
        <v>9</v>
      </c>
      <c r="Q138" s="21">
        <f>'All Data'!AM144</f>
        <v>10</v>
      </c>
      <c r="R138" s="21">
        <f>'All Data'!AN144</f>
        <v>9</v>
      </c>
    </row>
    <row r="139" spans="5:18">
      <c r="E139" s="21" t="str">
        <f>'All Data'!D148</f>
        <v>Jacob Eason</v>
      </c>
      <c r="F139" s="22">
        <f>$B$2*H139+$B$3*I139+$B$4*J139+$B$5*K139+$B$6*L139+$B$7*M139+$B$8*N139+$B$9*O139+$B$10*P139+$B$11*Q139+$B$12*R139</f>
        <v>4.5415039259999999</v>
      </c>
      <c r="G139" s="22">
        <f>'All Data'!O148</f>
        <v>0</v>
      </c>
      <c r="H139" s="21">
        <f>'All Data'!AD148</f>
        <v>6</v>
      </c>
      <c r="I139" s="21">
        <f>'All Data'!AE148</f>
        <v>3</v>
      </c>
      <c r="J139" s="21">
        <f>'All Data'!AF148</f>
        <v>3</v>
      </c>
      <c r="K139" s="21">
        <f>'All Data'!AG148</f>
        <v>5</v>
      </c>
      <c r="L139" s="21">
        <f>'All Data'!AH148</f>
        <v>3</v>
      </c>
      <c r="M139" s="21">
        <f>'All Data'!AI148</f>
        <v>7</v>
      </c>
      <c r="N139" s="21">
        <f>'All Data'!AJ148</f>
        <v>5</v>
      </c>
      <c r="O139" s="21">
        <f>'All Data'!AK148</f>
        <v>3</v>
      </c>
      <c r="P139" s="21">
        <f>'All Data'!AL148</f>
        <v>4</v>
      </c>
      <c r="Q139" s="21">
        <f>'All Data'!AM148</f>
        <v>7</v>
      </c>
      <c r="R139" s="21">
        <f>'All Data'!AN148</f>
        <v>8</v>
      </c>
    </row>
    <row r="140" spans="5:18">
      <c r="E140" s="21" t="str">
        <f>'All Data'!D147</f>
        <v>Jake Fromm</v>
      </c>
      <c r="F140" s="22">
        <f>$B$2*H140+$B$3*I140+$B$4*J140+$B$5*K140+$B$6*L140+$B$7*M140+$B$8*N140+$B$9*O140+$B$10*P140+$B$11*Q140+$B$12*R140</f>
        <v>4.3354063160000003</v>
      </c>
      <c r="G140" s="22">
        <f>'All Data'!O147</f>
        <v>4.6333333333333337</v>
      </c>
      <c r="H140" s="21">
        <f>'All Data'!AD147</f>
        <v>5</v>
      </c>
      <c r="I140" s="21">
        <f>'All Data'!AE147</f>
        <v>2</v>
      </c>
      <c r="J140" s="21">
        <f>'All Data'!AF147</f>
        <v>4</v>
      </c>
      <c r="K140" s="21">
        <f>'All Data'!AG147</f>
        <v>9</v>
      </c>
      <c r="L140" s="21">
        <f>'All Data'!AH147</f>
        <v>8</v>
      </c>
      <c r="M140" s="21">
        <f>'All Data'!AI147</f>
        <v>10</v>
      </c>
      <c r="N140" s="21">
        <f>'All Data'!AJ147</f>
        <v>6</v>
      </c>
      <c r="O140" s="21">
        <f>'All Data'!AK147</f>
        <v>7</v>
      </c>
      <c r="P140" s="21">
        <f>'All Data'!AL147</f>
        <v>8</v>
      </c>
      <c r="Q140" s="21">
        <f>'All Data'!AM147</f>
        <v>4</v>
      </c>
      <c r="R140" s="21">
        <f>'All Data'!AN147</f>
        <v>0</v>
      </c>
    </row>
    <row r="141" spans="5:18">
      <c r="E141" s="21" t="str">
        <f>'All Data'!D138</f>
        <v>James Morgan</v>
      </c>
      <c r="F141" s="22">
        <f>$B$2*H141+$B$3*I141+$B$4*J141+$B$5*K141+$B$6*L141+$B$7*M141+$B$8*N141+$B$9*O141+$B$10*P141+$B$11*Q141+$B$12*R141</f>
        <v>3.8868453999999995</v>
      </c>
      <c r="G141" s="22">
        <f>'All Data'!O138</f>
        <v>0</v>
      </c>
      <c r="H141" s="21">
        <f>'All Data'!AD138</f>
        <v>4</v>
      </c>
      <c r="I141" s="21">
        <f>'All Data'!AE138</f>
        <v>3</v>
      </c>
      <c r="J141" s="21">
        <f>'All Data'!AF138</f>
        <v>3</v>
      </c>
      <c r="K141" s="21">
        <f>'All Data'!AG138</f>
        <v>5</v>
      </c>
      <c r="L141" s="21">
        <f>'All Data'!AH138</f>
        <v>3</v>
      </c>
      <c r="M141" s="21">
        <f>'All Data'!AI138</f>
        <v>5</v>
      </c>
      <c r="N141" s="21">
        <f>'All Data'!AJ138</f>
        <v>5</v>
      </c>
      <c r="O141" s="21">
        <f>'All Data'!AK138</f>
        <v>3</v>
      </c>
      <c r="P141" s="21">
        <f>'All Data'!AL138</f>
        <v>3</v>
      </c>
      <c r="Q141" s="21">
        <f>'All Data'!AM138</f>
        <v>7</v>
      </c>
      <c r="R141" s="21">
        <f>'All Data'!AN138</f>
        <v>9</v>
      </c>
    </row>
    <row r="142" spans="5:18">
      <c r="E142" s="21" t="str">
        <f>'All Data'!D153</f>
        <v>Tommy Stevens</v>
      </c>
      <c r="F142" s="22">
        <f>$B$2*H142+$B$3*I142+$B$4*J142+$B$5*K142+$B$6*L142+$B$7*M142+$B$8*N142+$B$9*O142+$B$10*P142+$B$11*Q142+$B$12*R142</f>
        <v>3.255887151</v>
      </c>
      <c r="G142" s="22">
        <f>'All Data'!O153</f>
        <v>2.4</v>
      </c>
      <c r="H142" s="21">
        <f>'All Data'!AD153</f>
        <v>2</v>
      </c>
      <c r="I142" s="21">
        <f>'All Data'!AE153</f>
        <v>1</v>
      </c>
      <c r="J142" s="21">
        <f>'All Data'!AF153</f>
        <v>5</v>
      </c>
      <c r="K142" s="21">
        <f>'All Data'!AG153</f>
        <v>8</v>
      </c>
      <c r="L142" s="21">
        <f>'All Data'!AH153</f>
        <v>5</v>
      </c>
      <c r="M142" s="21">
        <f>'All Data'!AI153</f>
        <v>7</v>
      </c>
      <c r="N142" s="21">
        <f>'All Data'!AJ153</f>
        <v>10</v>
      </c>
      <c r="O142" s="21">
        <f>'All Data'!AK153</f>
        <v>3</v>
      </c>
      <c r="P142" s="21">
        <f>'All Data'!AL153</f>
        <v>4</v>
      </c>
      <c r="Q142" s="21">
        <f>'All Data'!AM153</f>
        <v>10</v>
      </c>
      <c r="R142" s="21">
        <f>'All Data'!AN153</f>
        <v>8</v>
      </c>
    </row>
    <row r="143" spans="5:18">
      <c r="E143" s="21" t="str">
        <f>'All Data'!D155</f>
        <v>Tyler Huntley</v>
      </c>
      <c r="F143" s="22">
        <f>$B$2*H143+$B$3*I143+$B$4*J143+$B$5*K143+$B$6*L143+$B$7*M143+$B$8*N143+$B$9*O143+$B$10*P143+$B$11*Q143+$B$12*R143</f>
        <v>3.1063668410000003</v>
      </c>
      <c r="G143" s="22">
        <f>'All Data'!O155</f>
        <v>9.9555555555555557</v>
      </c>
      <c r="H143" s="21">
        <f>'All Data'!AD155</f>
        <v>1</v>
      </c>
      <c r="I143" s="21">
        <f>'All Data'!AE155</f>
        <v>0</v>
      </c>
      <c r="J143" s="21">
        <f>'All Data'!AF155</f>
        <v>6</v>
      </c>
      <c r="K143" s="21">
        <f>'All Data'!AG155</f>
        <v>5</v>
      </c>
      <c r="L143" s="21">
        <f>'All Data'!AH155</f>
        <v>7</v>
      </c>
      <c r="M143" s="21">
        <f>'All Data'!AI155</f>
        <v>6</v>
      </c>
      <c r="N143" s="21">
        <f>'All Data'!AJ155</f>
        <v>10</v>
      </c>
      <c r="O143" s="21">
        <f>'All Data'!AK155</f>
        <v>8</v>
      </c>
      <c r="P143" s="21">
        <f>'All Data'!AL155</f>
        <v>7</v>
      </c>
      <c r="Q143" s="21">
        <f>'All Data'!AM155</f>
        <v>10</v>
      </c>
      <c r="R143" s="21">
        <f>'All Data'!AN155</f>
        <v>7</v>
      </c>
    </row>
    <row r="144" spans="5:18">
      <c r="E144" s="21" t="str">
        <f>'All Data'!D152</f>
        <v>Ben DiNucci</v>
      </c>
      <c r="F144" s="22">
        <f>$B$2*H144+$B$3*I144+$B$4*J144+$B$5*K144+$B$6*L144+$B$7*M144+$B$8*N144+$B$9*O144+$B$10*P144+$B$11*Q144+$B$12*R144</f>
        <v>2.5791210070000004</v>
      </c>
      <c r="G144" s="22">
        <f>'All Data'!O152</f>
        <v>2.3333333333333335</v>
      </c>
      <c r="H144" s="21">
        <f>'All Data'!AD152</f>
        <v>3</v>
      </c>
      <c r="I144" s="21">
        <f>'All Data'!AE152</f>
        <v>1</v>
      </c>
      <c r="J144" s="21">
        <f>'All Data'!AF152</f>
        <v>4</v>
      </c>
      <c r="K144" s="21">
        <f>'All Data'!AG152</f>
        <v>0</v>
      </c>
      <c r="L144" s="21">
        <f>'All Data'!AH152</f>
        <v>0</v>
      </c>
      <c r="M144" s="21">
        <f>'All Data'!AI152</f>
        <v>0</v>
      </c>
      <c r="N144" s="21">
        <f>'All Data'!AJ152</f>
        <v>9</v>
      </c>
      <c r="O144" s="21">
        <f>'All Data'!AK152</f>
        <v>1</v>
      </c>
      <c r="P144" s="21">
        <f>'All Data'!AL152</f>
        <v>0</v>
      </c>
      <c r="Q144" s="21">
        <f>'All Data'!AM152</f>
        <v>9</v>
      </c>
      <c r="R144" s="21">
        <f>'All Data'!AN152</f>
        <v>9</v>
      </c>
    </row>
    <row r="145" spans="5:18">
      <c r="E145" s="21" t="str">
        <f>'All Data'!D141</f>
        <v>Jake Luton</v>
      </c>
      <c r="F145" s="22">
        <f>$B$2*H145+$B$3*I145+$B$4*J145+$B$5*K145+$B$6*L145+$B$7*M145+$B$8*N145+$B$9*O145+$B$10*P145+$B$11*Q145+$B$12*R145</f>
        <v>2.5052140599999997</v>
      </c>
      <c r="G145" s="22">
        <f>'All Data'!O141</f>
        <v>11.433333333333332</v>
      </c>
      <c r="H145" s="21">
        <f>'All Data'!AD141</f>
        <v>2</v>
      </c>
      <c r="I145" s="21">
        <f>'All Data'!AE141</f>
        <v>1</v>
      </c>
      <c r="J145" s="21">
        <f>'All Data'!AF141</f>
        <v>3</v>
      </c>
      <c r="K145" s="21">
        <f>'All Data'!AG141</f>
        <v>5</v>
      </c>
      <c r="L145" s="21">
        <f>'All Data'!AH141</f>
        <v>4</v>
      </c>
      <c r="M145" s="21">
        <f>'All Data'!AI141</f>
        <v>8</v>
      </c>
      <c r="N145" s="21">
        <f>'All Data'!AJ141</f>
        <v>6</v>
      </c>
      <c r="O145" s="21">
        <f>'All Data'!AK141</f>
        <v>3</v>
      </c>
      <c r="P145" s="21">
        <f>'All Data'!AL141</f>
        <v>4</v>
      </c>
      <c r="Q145" s="21">
        <f>'All Data'!AM141</f>
        <v>3</v>
      </c>
      <c r="R145" s="21">
        <f>'All Data'!AN141</f>
        <v>10</v>
      </c>
    </row>
    <row r="146" spans="5:18">
      <c r="E146" s="21" t="str">
        <f>'All Data'!D136</f>
        <v>Nate Stanley</v>
      </c>
      <c r="F146" s="22">
        <f>$B$2*H146+$B$3*I146+$B$4*J146+$B$5*K146+$B$6*L146+$B$7*M146+$B$8*N146+$B$9*O146+$B$10*P146+$B$11*Q146+$B$12*R146</f>
        <v>3.5574305120000007</v>
      </c>
      <c r="G146" s="22">
        <f>'All Data'!O136</f>
        <v>0</v>
      </c>
      <c r="H146" s="21">
        <f>'All Data'!AD136</f>
        <v>4</v>
      </c>
      <c r="I146" s="21">
        <f>'All Data'!AE136</f>
        <v>1</v>
      </c>
      <c r="J146" s="21">
        <f>'All Data'!AF136</f>
        <v>3</v>
      </c>
      <c r="K146" s="21">
        <f>'All Data'!AG136</f>
        <v>6</v>
      </c>
      <c r="L146" s="21">
        <f>'All Data'!AH136</f>
        <v>4</v>
      </c>
      <c r="M146" s="21">
        <f>'All Data'!AI136</f>
        <v>8</v>
      </c>
      <c r="N146" s="21">
        <f>'All Data'!AJ136</f>
        <v>6</v>
      </c>
      <c r="O146" s="21">
        <f>'All Data'!AK136</f>
        <v>3</v>
      </c>
      <c r="P146" s="21">
        <f>'All Data'!AL136</f>
        <v>4</v>
      </c>
      <c r="Q146" s="21">
        <f>'All Data'!AM136</f>
        <v>9</v>
      </c>
      <c r="R146" s="21">
        <f>'All Data'!AN136</f>
        <v>9</v>
      </c>
    </row>
    <row r="147" spans="5:18">
      <c r="E147" s="21" t="str">
        <f>'All Data'!D140</f>
        <v>Cole McDonald</v>
      </c>
      <c r="F147" s="22">
        <f>$B$2*H147+$B$3*I147+$B$4*J147+$B$5*K147+$B$6*L147+$B$7*M147+$B$8*N147+$B$9*O147+$B$10*P147+$B$11*Q147+$B$12*R147</f>
        <v>3.9677676240000004</v>
      </c>
      <c r="G147" s="22">
        <f>'All Data'!O140</f>
        <v>0</v>
      </c>
      <c r="H147" s="21">
        <f>'All Data'!AD140</f>
        <v>3</v>
      </c>
      <c r="I147" s="21">
        <f>'All Data'!AE140</f>
        <v>1</v>
      </c>
      <c r="J147" s="21">
        <f>'All Data'!AF140</f>
        <v>7</v>
      </c>
      <c r="K147" s="21">
        <f>'All Data'!AG140</f>
        <v>8</v>
      </c>
      <c r="L147" s="21">
        <f>'All Data'!AH140</f>
        <v>6</v>
      </c>
      <c r="M147" s="21">
        <f>'All Data'!AI140</f>
        <v>8</v>
      </c>
      <c r="N147" s="21">
        <f>'All Data'!AJ140</f>
        <v>8</v>
      </c>
      <c r="O147" s="21">
        <f>'All Data'!AK140</f>
        <v>6</v>
      </c>
      <c r="P147" s="21">
        <f>'All Data'!AL140</f>
        <v>6</v>
      </c>
      <c r="Q147" s="21">
        <f>'All Data'!AM140</f>
        <v>10</v>
      </c>
      <c r="R147" s="21">
        <f>'All Data'!AN140</f>
        <v>9</v>
      </c>
    </row>
    <row r="148" spans="5:18">
      <c r="E148" s="21" t="str">
        <f>'All Data'!D151</f>
        <v>Kelly Bryant</v>
      </c>
      <c r="F148" s="22">
        <f>$B$2*H148+$B$3*I148+$B$4*J148+$B$5*K148+$B$6*L148+$B$7*M148+$B$8*N148+$B$9*O148+$B$10*P148+$B$11*Q148+$B$12*R148</f>
        <v>3.0807705440000004</v>
      </c>
      <c r="G148" s="22">
        <f>'All Data'!O151</f>
        <v>0</v>
      </c>
      <c r="H148" s="21">
        <f>'All Data'!AD151</f>
        <v>3</v>
      </c>
      <c r="I148" s="21">
        <f>'All Data'!AE151</f>
        <v>0</v>
      </c>
      <c r="J148" s="21">
        <f>'All Data'!AF151</f>
        <v>5</v>
      </c>
      <c r="K148" s="21">
        <f>'All Data'!AG151</f>
        <v>3</v>
      </c>
      <c r="L148" s="21">
        <f>'All Data'!AH151</f>
        <v>4</v>
      </c>
      <c r="M148" s="21">
        <f>'All Data'!AI151</f>
        <v>5</v>
      </c>
      <c r="N148" s="21">
        <f>'All Data'!AJ151</f>
        <v>10</v>
      </c>
      <c r="O148" s="21">
        <f>'All Data'!AK151</f>
        <v>4</v>
      </c>
      <c r="P148" s="21">
        <f>'All Data'!AL151</f>
        <v>4</v>
      </c>
      <c r="Q148" s="21">
        <f>'All Data'!AM151</f>
        <v>10</v>
      </c>
      <c r="R148" s="21">
        <f>'All Data'!AN151</f>
        <v>8</v>
      </c>
    </row>
    <row r="149" spans="5:18">
      <c r="E149" s="21" t="str">
        <f>'All Data'!D143</f>
        <v>Brian Lewerke</v>
      </c>
      <c r="F149" s="22">
        <f>$B$2*H149+$B$3*I149+$B$4*J149+$B$5*K149+$B$6*L149+$B$7*M149+$B$8*N149+$B$9*O149+$B$10*P149+$B$11*Q149+$B$12*R149</f>
        <v>2.2787531759999999</v>
      </c>
      <c r="G149" s="22">
        <f>'All Data'!O143</f>
        <v>0</v>
      </c>
      <c r="H149" s="21">
        <f>'All Data'!AD143</f>
        <v>3</v>
      </c>
      <c r="I149" s="21">
        <f>'All Data'!AE143</f>
        <v>0</v>
      </c>
      <c r="J149" s="21">
        <f>'All Data'!AF143</f>
        <v>7</v>
      </c>
      <c r="K149" s="21">
        <f>'All Data'!AG143</f>
        <v>0</v>
      </c>
      <c r="L149" s="21">
        <f>'All Data'!AH143</f>
        <v>1</v>
      </c>
      <c r="M149" s="21">
        <f>'All Data'!AI143</f>
        <v>3</v>
      </c>
      <c r="N149" s="21">
        <f>'All Data'!AJ143</f>
        <v>9</v>
      </c>
      <c r="O149" s="21">
        <f>'All Data'!AK143</f>
        <v>1</v>
      </c>
      <c r="P149" s="21">
        <f>'All Data'!AL143</f>
        <v>2</v>
      </c>
      <c r="Q149" s="21">
        <f>'All Data'!AM143</f>
        <v>5</v>
      </c>
      <c r="R149" s="21">
        <f>'All Data'!AN143</f>
        <v>10</v>
      </c>
    </row>
    <row r="150" spans="5:18">
      <c r="E150" s="21" t="str">
        <f>'All Data'!D146</f>
        <v>Anthony Gordon</v>
      </c>
      <c r="F150" s="22">
        <f>$B$2*H150+$B$3*I150+$B$4*J150+$B$5*K150+$B$6*L150+$B$7*M150+$B$8*N150+$B$9*O150+$B$10*P150+$B$11*Q150+$B$12*R150</f>
        <v>2.8953774969999992</v>
      </c>
      <c r="G150" s="22">
        <f>'All Data'!O146</f>
        <v>0</v>
      </c>
      <c r="H150" s="21">
        <f>'All Data'!AD146</f>
        <v>2</v>
      </c>
      <c r="I150" s="21">
        <f>'All Data'!AE146</f>
        <v>0</v>
      </c>
      <c r="J150" s="21">
        <f>'All Data'!AF146</f>
        <v>3</v>
      </c>
      <c r="K150" s="21">
        <f>'All Data'!AG146</f>
        <v>8</v>
      </c>
      <c r="L150" s="21">
        <f>'All Data'!AH146</f>
        <v>8</v>
      </c>
      <c r="M150" s="21">
        <f>'All Data'!AI146</f>
        <v>8</v>
      </c>
      <c r="N150" s="21">
        <f>'All Data'!AJ146</f>
        <v>3</v>
      </c>
      <c r="O150" s="21">
        <f>'All Data'!AK146</f>
        <v>6</v>
      </c>
      <c r="P150" s="21">
        <f>'All Data'!AL146</f>
        <v>6</v>
      </c>
      <c r="Q150" s="21">
        <f>'All Data'!AM146</f>
        <v>7</v>
      </c>
      <c r="R150" s="21">
        <f>'All Data'!AN146</f>
        <v>9</v>
      </c>
    </row>
    <row r="151" spans="5:18">
      <c r="E151" s="21" t="str">
        <f>'All Data'!D156</f>
        <v>Bryce Perkins</v>
      </c>
      <c r="F151" s="22">
        <f>$B$2*H151+$B$3*I151+$B$4*J151+$B$5*K151+$B$6*L151+$B$7*M151+$B$8*N151+$B$9*O151+$B$10*P151+$B$11*Q151+$B$12*R151</f>
        <v>2.8532858070000007</v>
      </c>
      <c r="G151" s="22">
        <f>'All Data'!O156</f>
        <v>0</v>
      </c>
      <c r="H151" s="21">
        <f>'All Data'!AD156</f>
        <v>1</v>
      </c>
      <c r="I151" s="21">
        <f>'All Data'!AE156</f>
        <v>0</v>
      </c>
      <c r="J151" s="21">
        <f>'All Data'!AF156</f>
        <v>10</v>
      </c>
      <c r="K151" s="21">
        <f>'All Data'!AG156</f>
        <v>6</v>
      </c>
      <c r="L151" s="21">
        <f>'All Data'!AH156</f>
        <v>5</v>
      </c>
      <c r="M151" s="21">
        <f>'All Data'!AI156</f>
        <v>6</v>
      </c>
      <c r="N151" s="21">
        <f>'All Data'!AJ156</f>
        <v>10</v>
      </c>
      <c r="O151" s="21">
        <f>'All Data'!AK156</f>
        <v>4</v>
      </c>
      <c r="P151" s="21">
        <f>'All Data'!AL156</f>
        <v>4</v>
      </c>
      <c r="Q151" s="21">
        <f>'All Data'!AM156</f>
        <v>10</v>
      </c>
      <c r="R151" s="21">
        <f>'All Data'!AN156</f>
        <v>9</v>
      </c>
    </row>
    <row r="152" spans="5:18">
      <c r="E152" s="21" t="str">
        <f>'All Data'!D137</f>
        <v>Shea Patterson</v>
      </c>
      <c r="F152" s="22">
        <f>$B$2*H152+$B$3*I152+$B$4*J152+$B$5*K152+$B$6*L152+$B$7*M152+$B$8*N152+$B$9*O152+$B$10*P152+$B$11*Q152+$B$12*R152</f>
        <v>2.8291684050000003</v>
      </c>
      <c r="G152" s="22">
        <f>'All Data'!O137</f>
        <v>0</v>
      </c>
      <c r="H152" s="21">
        <f>'All Data'!AD137</f>
        <v>1</v>
      </c>
      <c r="I152" s="21">
        <f>'All Data'!AE137</f>
        <v>0</v>
      </c>
      <c r="J152" s="21">
        <f>'All Data'!AF137</f>
        <v>5</v>
      </c>
      <c r="K152" s="21">
        <f>'All Data'!AG137</f>
        <v>7</v>
      </c>
      <c r="L152" s="21">
        <f>'All Data'!AH137</f>
        <v>5</v>
      </c>
      <c r="M152" s="21">
        <f>'All Data'!AI137</f>
        <v>7</v>
      </c>
      <c r="N152" s="21">
        <f>'All Data'!AJ137</f>
        <v>8</v>
      </c>
      <c r="O152" s="21">
        <f>'All Data'!AK137</f>
        <v>6</v>
      </c>
      <c r="P152" s="21">
        <f>'All Data'!AL137</f>
        <v>6</v>
      </c>
      <c r="Q152" s="21">
        <f>'All Data'!AM137</f>
        <v>10</v>
      </c>
      <c r="R152" s="21">
        <f>'All Data'!AN137</f>
        <v>7</v>
      </c>
    </row>
    <row r="153" spans="5:18">
      <c r="E153" s="21" t="str">
        <f>'All Data'!D139</f>
        <v>Steven Montez</v>
      </c>
      <c r="F153" s="22">
        <f>$B$2*H153+$B$3*I153+$B$4*J153+$B$5*K153+$B$6*L153+$B$7*M153+$B$8*N153+$B$9*O153+$B$10*P153+$B$11*Q153+$B$12*R153</f>
        <v>2.5137082410000002</v>
      </c>
      <c r="G153" s="22">
        <f>'All Data'!O139</f>
        <v>0</v>
      </c>
      <c r="H153" s="21">
        <f>'All Data'!AD139</f>
        <v>1</v>
      </c>
      <c r="I153" s="21">
        <f>'All Data'!AE139</f>
        <v>0</v>
      </c>
      <c r="J153" s="21">
        <f>'All Data'!AF139</f>
        <v>6</v>
      </c>
      <c r="K153" s="21">
        <f>'All Data'!AG139</f>
        <v>5</v>
      </c>
      <c r="L153" s="21">
        <f>'All Data'!AH139</f>
        <v>4</v>
      </c>
      <c r="M153" s="21">
        <f>'All Data'!AI139</f>
        <v>5</v>
      </c>
      <c r="N153" s="21">
        <f>'All Data'!AJ139</f>
        <v>8</v>
      </c>
      <c r="O153" s="21">
        <f>'All Data'!AK139</f>
        <v>4</v>
      </c>
      <c r="P153" s="21">
        <f>'All Data'!AL139</f>
        <v>4</v>
      </c>
      <c r="Q153" s="21">
        <f>'All Data'!AM139</f>
        <v>10</v>
      </c>
      <c r="R153" s="21">
        <f>'All Data'!AN139</f>
        <v>7</v>
      </c>
    </row>
    <row r="154" spans="5:18">
      <c r="E154" s="21" t="str">
        <f>'All Data'!D158</f>
        <v>J'Mar Smith</v>
      </c>
      <c r="F154" s="22">
        <f>$B$2*H154+$B$3*I154+$B$4*J154+$B$5*K154+$B$6*L154+$B$7*M154+$B$8*N154+$B$9*O154+$B$10*P154+$B$11*Q154+$B$12*R154</f>
        <v>2.367979976</v>
      </c>
      <c r="G154" s="22">
        <f>'All Data'!O158</f>
        <v>0</v>
      </c>
      <c r="H154" s="21">
        <f>'All Data'!AD158</f>
        <v>1</v>
      </c>
      <c r="I154" s="21">
        <f>'All Data'!AE158</f>
        <v>0</v>
      </c>
      <c r="J154" s="21">
        <f>'All Data'!AF158</f>
        <v>6</v>
      </c>
      <c r="K154" s="21">
        <f>'All Data'!AG158</f>
        <v>0</v>
      </c>
      <c r="L154" s="21">
        <f>'All Data'!AH158</f>
        <v>3</v>
      </c>
      <c r="M154" s="21">
        <f>'All Data'!AI158</f>
        <v>7</v>
      </c>
      <c r="N154" s="21">
        <f>'All Data'!AJ158</f>
        <v>8</v>
      </c>
      <c r="O154" s="21">
        <f>'All Data'!AK158</f>
        <v>4</v>
      </c>
      <c r="P154" s="21">
        <f>'All Data'!AL158</f>
        <v>4</v>
      </c>
      <c r="Q154" s="21">
        <f>'All Data'!AM158</f>
        <v>9</v>
      </c>
      <c r="R154" s="21">
        <f>'All Data'!AN158</f>
        <v>8</v>
      </c>
    </row>
    <row r="155" spans="5:18">
      <c r="E155" t="str">
        <f>'All Data'!D149</f>
        <v>Kevin Davidson</v>
      </c>
      <c r="F155" s="7">
        <f>$B$2*H155+$B$3*I155+$B$4*J155+$B$5*K155+$B$6*L155+$B$7*M155+$B$8*N155+$B$9*O155+$B$10*P155+$B$11*Q155+$B$12*R155</f>
        <v>3.57570816</v>
      </c>
      <c r="G155" s="7">
        <f>'All Data'!O149</f>
        <v>0</v>
      </c>
      <c r="H155">
        <f>'All Data'!AD149</f>
        <v>3</v>
      </c>
      <c r="I155">
        <f>'All Data'!AE149</f>
        <v>0</v>
      </c>
      <c r="J155">
        <f>'All Data'!AF149</f>
        <v>10</v>
      </c>
      <c r="K155">
        <f>'All Data'!AG149</f>
        <v>10</v>
      </c>
      <c r="L155">
        <f>'All Data'!AH149</f>
        <v>10</v>
      </c>
      <c r="M155">
        <f>'All Data'!AI149</f>
        <v>10</v>
      </c>
      <c r="N155">
        <f>'All Data'!AJ149</f>
        <v>0</v>
      </c>
      <c r="O155">
        <f>'All Data'!AK149</f>
        <v>10</v>
      </c>
      <c r="P155">
        <f>'All Data'!AL149</f>
        <v>10</v>
      </c>
      <c r="Q155">
        <f>'All Data'!AM149</f>
        <v>4</v>
      </c>
      <c r="R155">
        <f>'All Data'!AN149</f>
        <v>0</v>
      </c>
    </row>
    <row r="156" spans="5:18">
      <c r="E156" t="str">
        <f>'All Data'!D154</f>
        <v>Case Cookus</v>
      </c>
      <c r="F156" s="7">
        <f>$B$2*H156+$B$3*I156+$B$4*J156+$B$5*K156+$B$6*L156+$B$7*M156+$B$8*N156+$B$9*O156+$B$10*P156+$B$11*Q156+$B$12*R156</f>
        <v>3.5644837090000001</v>
      </c>
      <c r="G156" s="7">
        <f>'All Data'!O154</f>
        <v>0</v>
      </c>
      <c r="H156">
        <f>'All Data'!AD154</f>
        <v>2</v>
      </c>
      <c r="I156">
        <f>'All Data'!AE154</f>
        <v>0</v>
      </c>
      <c r="J156">
        <f>'All Data'!AF154</f>
        <v>10</v>
      </c>
      <c r="K156">
        <f>'All Data'!AG154</f>
        <v>10</v>
      </c>
      <c r="L156">
        <f>'All Data'!AH154</f>
        <v>10</v>
      </c>
      <c r="M156">
        <f>'All Data'!AI154</f>
        <v>10</v>
      </c>
      <c r="N156">
        <f>'All Data'!AJ154</f>
        <v>0</v>
      </c>
      <c r="O156">
        <f>'All Data'!AK154</f>
        <v>10</v>
      </c>
      <c r="P156">
        <f>'All Data'!AL154</f>
        <v>10</v>
      </c>
      <c r="Q156">
        <f>'All Data'!AM154</f>
        <v>5</v>
      </c>
      <c r="R156">
        <f>'All Data'!AN154</f>
        <v>8</v>
      </c>
    </row>
    <row r="157" spans="5:18">
      <c r="E157" t="str">
        <f>'All Data'!D157</f>
        <v>Reid Sinnett</v>
      </c>
      <c r="F157" s="7">
        <f>$B$2*H157+$B$3*I157+$B$4*J157+$B$5*K157+$B$6*L157+$B$7*M157+$B$8*N157+$B$9*O157+$B$10*P157+$B$11*Q157+$B$12*R157</f>
        <v>3.4037768719999999</v>
      </c>
      <c r="G157" s="7">
        <f>'All Data'!O157</f>
        <v>0</v>
      </c>
      <c r="H157">
        <f>'All Data'!AD157</f>
        <v>1</v>
      </c>
      <c r="I157">
        <f>'All Data'!AE157</f>
        <v>0</v>
      </c>
      <c r="J157">
        <f>'All Data'!AF157</f>
        <v>10</v>
      </c>
      <c r="K157">
        <f>'All Data'!AG157</f>
        <v>10</v>
      </c>
      <c r="L157">
        <f>'All Data'!AH157</f>
        <v>10</v>
      </c>
      <c r="M157">
        <f>'All Data'!AI157</f>
        <v>10</v>
      </c>
      <c r="N157">
        <f>'All Data'!AJ157</f>
        <v>0</v>
      </c>
      <c r="O157">
        <f>'All Data'!AK157</f>
        <v>10</v>
      </c>
      <c r="P157">
        <f>'All Data'!AL157</f>
        <v>10</v>
      </c>
      <c r="Q157">
        <f>'All Data'!AM157</f>
        <v>6</v>
      </c>
      <c r="R157">
        <f>'All Data'!AN157</f>
        <v>10</v>
      </c>
    </row>
  </sheetData>
  <autoFilter ref="E1:R1" xr:uid="{7123FA69-4E54-480D-B344-25E06CE5CE6B}">
    <sortState xmlns:xlrd2="http://schemas.microsoft.com/office/spreadsheetml/2017/richdata2" ref="E2:R97">
      <sortCondition descending="1" ref="F1"/>
    </sortState>
  </autoFilter>
  <sortState xmlns:xlrd2="http://schemas.microsoft.com/office/spreadsheetml/2017/richdata2" ref="E135:R157">
    <sortCondition sortBy="cellColor" ref="E135:E157" dxfId="35"/>
    <sortCondition descending="1" ref="F135:F157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EA8E-08E8-47E0-94C6-BB8BBEF04EDF}">
  <dimension ref="A1:C158"/>
  <sheetViews>
    <sheetView topLeftCell="A18" workbookViewId="0">
      <selection activeCell="A37" sqref="A37"/>
    </sheetView>
  </sheetViews>
  <sheetFormatPr defaultRowHeight="15"/>
  <cols>
    <col min="1" max="1" width="20" bestFit="1" customWidth="1"/>
    <col min="2" max="2" width="11.140625" bestFit="1" customWidth="1"/>
    <col min="3" max="3" width="9.7109375" bestFit="1" customWidth="1"/>
  </cols>
  <sheetData>
    <row r="1" spans="1:3">
      <c r="A1" s="26" t="s">
        <v>5</v>
      </c>
      <c r="B1" s="26" t="s">
        <v>6</v>
      </c>
      <c r="C1" s="26" t="s">
        <v>7</v>
      </c>
    </row>
    <row r="2" spans="1:3">
      <c r="A2" s="29" t="s">
        <v>167</v>
      </c>
      <c r="B2" s="29">
        <v>9.65</v>
      </c>
      <c r="C2" s="29">
        <v>19.489999999999998</v>
      </c>
    </row>
    <row r="3" spans="1:3">
      <c r="A3" s="28" t="s">
        <v>147</v>
      </c>
      <c r="B3" s="28">
        <v>9.6199999999999992</v>
      </c>
      <c r="C3" s="28">
        <v>12.71</v>
      </c>
    </row>
    <row r="4" spans="1:3">
      <c r="A4" s="26" t="s">
        <v>19</v>
      </c>
      <c r="B4" s="26">
        <v>9.58</v>
      </c>
      <c r="C4" s="26">
        <v>16.23</v>
      </c>
    </row>
    <row r="5" spans="1:3">
      <c r="A5" s="26" t="s">
        <v>20</v>
      </c>
      <c r="B5" s="26">
        <v>9.51</v>
      </c>
      <c r="C5" s="26">
        <v>21.71</v>
      </c>
    </row>
    <row r="6" spans="1:3">
      <c r="A6" s="29" t="s">
        <v>168</v>
      </c>
      <c r="B6" s="29">
        <v>9.35</v>
      </c>
      <c r="C6" s="29">
        <v>14.4</v>
      </c>
    </row>
    <row r="7" spans="1:3">
      <c r="A7" s="26" t="s">
        <v>21</v>
      </c>
      <c r="B7" s="26">
        <v>9.27</v>
      </c>
      <c r="C7" s="26">
        <v>14.89</v>
      </c>
    </row>
    <row r="8" spans="1:3">
      <c r="A8" s="26" t="s">
        <v>22</v>
      </c>
      <c r="B8" s="26">
        <v>9.1300000000000008</v>
      </c>
      <c r="C8" s="26">
        <v>21.93</v>
      </c>
    </row>
    <row r="9" spans="1:3">
      <c r="A9" s="26" t="s">
        <v>23</v>
      </c>
      <c r="B9" s="26">
        <v>9.0500000000000007</v>
      </c>
      <c r="C9" s="26">
        <v>16.3</v>
      </c>
    </row>
    <row r="10" spans="1:3">
      <c r="A10" s="26" t="s">
        <v>24</v>
      </c>
      <c r="B10" s="26">
        <v>8.98</v>
      </c>
      <c r="C10" s="26">
        <v>16.23</v>
      </c>
    </row>
    <row r="11" spans="1:3">
      <c r="A11" s="26" t="s">
        <v>25</v>
      </c>
      <c r="B11" s="26">
        <v>8.94</v>
      </c>
      <c r="C11" s="26">
        <v>13.57</v>
      </c>
    </row>
    <row r="12" spans="1:3">
      <c r="A12" s="28" t="s">
        <v>149</v>
      </c>
      <c r="B12" s="28">
        <v>8.89</v>
      </c>
      <c r="C12" s="28">
        <v>11.17</v>
      </c>
    </row>
    <row r="13" spans="1:3">
      <c r="A13" s="28" t="s">
        <v>150</v>
      </c>
      <c r="B13" s="28">
        <v>8.89</v>
      </c>
      <c r="C13" s="28">
        <v>11.41</v>
      </c>
    </row>
    <row r="14" spans="1:3">
      <c r="A14" s="28" t="s">
        <v>148</v>
      </c>
      <c r="B14" s="28">
        <v>8.7200000000000006</v>
      </c>
      <c r="C14" s="28">
        <v>12.53</v>
      </c>
    </row>
    <row r="15" spans="1:3">
      <c r="A15" s="26" t="s">
        <v>26</v>
      </c>
      <c r="B15" s="26">
        <v>8.64</v>
      </c>
      <c r="C15" s="26">
        <v>17.25</v>
      </c>
    </row>
    <row r="16" spans="1:3">
      <c r="A16" s="26" t="s">
        <v>27</v>
      </c>
      <c r="B16" s="26">
        <v>8.52</v>
      </c>
      <c r="C16" s="26">
        <v>16.29</v>
      </c>
    </row>
    <row r="17" spans="1:3">
      <c r="A17" s="26" t="s">
        <v>28</v>
      </c>
      <c r="B17" s="26">
        <v>8.5</v>
      </c>
      <c r="C17" s="26">
        <v>9.93</v>
      </c>
    </row>
    <row r="18" spans="1:3">
      <c r="A18" s="26" t="s">
        <v>29</v>
      </c>
      <c r="B18" s="26">
        <v>8.41</v>
      </c>
      <c r="C18" s="26">
        <v>20.03</v>
      </c>
    </row>
    <row r="19" spans="1:3">
      <c r="A19" s="29" t="s">
        <v>169</v>
      </c>
      <c r="B19" s="29">
        <v>8.33</v>
      </c>
      <c r="C19" s="29">
        <v>23.08</v>
      </c>
    </row>
    <row r="20" spans="1:3">
      <c r="A20" s="28" t="s">
        <v>151</v>
      </c>
      <c r="B20" s="28">
        <v>8.2799999999999994</v>
      </c>
      <c r="C20" s="28">
        <v>14</v>
      </c>
    </row>
    <row r="21" spans="1:3">
      <c r="A21" s="26" t="s">
        <v>30</v>
      </c>
      <c r="B21" s="26">
        <v>8.17</v>
      </c>
      <c r="C21" s="26">
        <v>8.6999999999999993</v>
      </c>
    </row>
    <row r="22" spans="1:3">
      <c r="A22" s="26" t="s">
        <v>31</v>
      </c>
      <c r="B22" s="26">
        <v>8</v>
      </c>
      <c r="C22" s="26">
        <v>20.71</v>
      </c>
    </row>
    <row r="23" spans="1:3">
      <c r="A23" s="26" t="s">
        <v>35</v>
      </c>
      <c r="B23" s="26">
        <v>7.99</v>
      </c>
      <c r="C23" s="26">
        <v>23.2</v>
      </c>
    </row>
    <row r="24" spans="1:3">
      <c r="A24" s="26" t="s">
        <v>37</v>
      </c>
      <c r="B24" s="26">
        <v>7.81</v>
      </c>
      <c r="C24" s="26">
        <v>6.8</v>
      </c>
    </row>
    <row r="25" spans="1:3">
      <c r="A25" s="27" t="s">
        <v>131</v>
      </c>
      <c r="B25" s="27">
        <v>7.54</v>
      </c>
      <c r="C25" s="27">
        <v>12.27</v>
      </c>
    </row>
    <row r="26" spans="1:3">
      <c r="A26" s="29" t="s">
        <v>170</v>
      </c>
      <c r="B26" s="29">
        <v>7.54</v>
      </c>
      <c r="C26" s="29">
        <v>4.03</v>
      </c>
    </row>
    <row r="27" spans="1:3">
      <c r="A27" s="29" t="s">
        <v>171</v>
      </c>
      <c r="B27" s="29">
        <v>7.34</v>
      </c>
      <c r="C27" s="29">
        <v>14.47</v>
      </c>
    </row>
    <row r="28" spans="1:3">
      <c r="A28" s="26" t="s">
        <v>39</v>
      </c>
      <c r="B28" s="26">
        <v>7.12</v>
      </c>
      <c r="C28" s="26">
        <v>15.56</v>
      </c>
    </row>
    <row r="29" spans="1:3">
      <c r="A29" s="26" t="s">
        <v>41</v>
      </c>
      <c r="B29" s="26">
        <v>6.91</v>
      </c>
      <c r="C29" s="26">
        <v>10.07</v>
      </c>
    </row>
    <row r="30" spans="1:3">
      <c r="A30" s="27" t="s">
        <v>132</v>
      </c>
      <c r="B30" s="27">
        <v>6.88</v>
      </c>
      <c r="C30" s="27">
        <v>10.75</v>
      </c>
    </row>
    <row r="31" spans="1:3">
      <c r="A31" s="26" t="s">
        <v>43</v>
      </c>
      <c r="B31" s="26">
        <v>6.85</v>
      </c>
      <c r="C31" s="26">
        <v>13.37</v>
      </c>
    </row>
    <row r="32" spans="1:3">
      <c r="A32" s="27" t="s">
        <v>133</v>
      </c>
      <c r="B32" s="27">
        <v>6.72</v>
      </c>
      <c r="C32" s="27">
        <v>10.39</v>
      </c>
    </row>
    <row r="33" spans="1:3">
      <c r="A33" s="28" t="s">
        <v>152</v>
      </c>
      <c r="B33" s="28">
        <v>6.54</v>
      </c>
      <c r="C33" s="28">
        <v>0</v>
      </c>
    </row>
    <row r="34" spans="1:3">
      <c r="A34" s="27" t="s">
        <v>134</v>
      </c>
      <c r="B34" s="27">
        <v>6.28</v>
      </c>
      <c r="C34" s="27">
        <v>9.3800000000000008</v>
      </c>
    </row>
    <row r="35" spans="1:3">
      <c r="A35" s="26" t="s">
        <v>45</v>
      </c>
      <c r="B35" s="26">
        <v>5.94</v>
      </c>
      <c r="C35" s="26">
        <v>9.14</v>
      </c>
    </row>
    <row r="36" spans="1:3">
      <c r="A36" s="26" t="s">
        <v>47</v>
      </c>
      <c r="B36" s="26">
        <v>5.85</v>
      </c>
      <c r="C36" s="26">
        <v>2.7</v>
      </c>
    </row>
    <row r="37" spans="1:3">
      <c r="A37" s="27" t="s">
        <v>135</v>
      </c>
      <c r="B37" s="27">
        <v>5.49</v>
      </c>
      <c r="C37" s="27">
        <v>7.55</v>
      </c>
    </row>
    <row r="38" spans="1:3">
      <c r="A38" s="26" t="s">
        <v>49</v>
      </c>
      <c r="B38" s="26">
        <v>5.47</v>
      </c>
      <c r="C38" s="26">
        <v>0</v>
      </c>
    </row>
    <row r="39" spans="1:3">
      <c r="A39" s="26" t="s">
        <v>51</v>
      </c>
      <c r="B39" s="26">
        <v>5.44</v>
      </c>
      <c r="C39" s="26">
        <v>6.58</v>
      </c>
    </row>
    <row r="40" spans="1:3">
      <c r="A40" s="28" t="s">
        <v>153</v>
      </c>
      <c r="B40" s="28">
        <v>5.41</v>
      </c>
      <c r="C40" s="28">
        <v>0.1</v>
      </c>
    </row>
    <row r="41" spans="1:3">
      <c r="A41" s="28" t="s">
        <v>154</v>
      </c>
      <c r="B41" s="28">
        <v>5.36</v>
      </c>
      <c r="C41" s="28">
        <v>12.85</v>
      </c>
    </row>
    <row r="42" spans="1:3">
      <c r="A42" s="26" t="s">
        <v>53</v>
      </c>
      <c r="B42" s="26">
        <v>5.34</v>
      </c>
      <c r="C42" s="26">
        <v>0</v>
      </c>
    </row>
    <row r="43" spans="1:3">
      <c r="A43" s="26" t="s">
        <v>55</v>
      </c>
      <c r="B43" s="26">
        <v>5.24</v>
      </c>
      <c r="C43" s="26">
        <v>1.93</v>
      </c>
    </row>
    <row r="44" spans="1:3">
      <c r="A44" s="26" t="s">
        <v>56</v>
      </c>
      <c r="B44" s="26">
        <v>5.23</v>
      </c>
      <c r="C44" s="26">
        <v>6</v>
      </c>
    </row>
    <row r="45" spans="1:3">
      <c r="A45" s="26" t="s">
        <v>57</v>
      </c>
      <c r="B45" s="26">
        <v>5.04</v>
      </c>
      <c r="C45" s="26">
        <v>10.16</v>
      </c>
    </row>
    <row r="46" spans="1:3">
      <c r="A46" s="26" t="s">
        <v>59</v>
      </c>
      <c r="B46" s="26">
        <v>5</v>
      </c>
      <c r="C46" s="26">
        <v>8.17</v>
      </c>
    </row>
    <row r="47" spans="1:3">
      <c r="A47" s="26" t="s">
        <v>61</v>
      </c>
      <c r="B47" s="26">
        <v>4.9800000000000004</v>
      </c>
      <c r="C47" s="26">
        <v>17.37</v>
      </c>
    </row>
    <row r="48" spans="1:3">
      <c r="A48" s="26" t="s">
        <v>63</v>
      </c>
      <c r="B48" s="26">
        <v>4.92</v>
      </c>
      <c r="C48" s="26">
        <v>1.7</v>
      </c>
    </row>
    <row r="49" spans="1:3">
      <c r="A49" s="26" t="s">
        <v>64</v>
      </c>
      <c r="B49" s="26">
        <v>4.92</v>
      </c>
      <c r="C49" s="26">
        <v>5.77</v>
      </c>
    </row>
    <row r="50" spans="1:3">
      <c r="A50" s="26" t="s">
        <v>65</v>
      </c>
      <c r="B50" s="26">
        <v>4.92</v>
      </c>
      <c r="C50" s="26">
        <v>2.9</v>
      </c>
    </row>
    <row r="51" spans="1:3">
      <c r="A51" s="26" t="s">
        <v>66</v>
      </c>
      <c r="B51" s="26">
        <v>4.7699999999999996</v>
      </c>
      <c r="C51" s="26">
        <v>5.99</v>
      </c>
    </row>
    <row r="52" spans="1:3">
      <c r="A52" s="26" t="s">
        <v>67</v>
      </c>
      <c r="B52" s="26">
        <v>4.6100000000000003</v>
      </c>
      <c r="C52" s="26">
        <v>-1.1000000000000001</v>
      </c>
    </row>
    <row r="53" spans="1:3">
      <c r="A53" s="29" t="s">
        <v>172</v>
      </c>
      <c r="B53" s="29">
        <v>4.54</v>
      </c>
      <c r="C53" s="29">
        <v>0</v>
      </c>
    </row>
    <row r="54" spans="1:3">
      <c r="A54" s="27" t="s">
        <v>136</v>
      </c>
      <c r="B54" s="27">
        <v>4.47</v>
      </c>
      <c r="C54" s="27">
        <v>5.21</v>
      </c>
    </row>
    <row r="55" spans="1:3">
      <c r="A55" s="26" t="s">
        <v>68</v>
      </c>
      <c r="B55" s="26">
        <v>4.45</v>
      </c>
      <c r="C55" s="26">
        <v>0</v>
      </c>
    </row>
    <row r="56" spans="1:3">
      <c r="A56" s="26" t="s">
        <v>69</v>
      </c>
      <c r="B56" s="26">
        <v>4.3600000000000003</v>
      </c>
      <c r="C56" s="26">
        <v>-0.05</v>
      </c>
    </row>
    <row r="57" spans="1:3">
      <c r="A57" s="29" t="s">
        <v>173</v>
      </c>
      <c r="B57" s="29">
        <v>4.34</v>
      </c>
      <c r="C57" s="29">
        <v>4.63</v>
      </c>
    </row>
    <row r="58" spans="1:3">
      <c r="A58" s="28" t="s">
        <v>155</v>
      </c>
      <c r="B58" s="28">
        <v>4.33</v>
      </c>
      <c r="C58" s="28">
        <v>4</v>
      </c>
    </row>
    <row r="59" spans="1:3">
      <c r="A59" s="26" t="s">
        <v>70</v>
      </c>
      <c r="B59" s="26">
        <v>4.1900000000000004</v>
      </c>
      <c r="C59" s="26">
        <v>0</v>
      </c>
    </row>
    <row r="60" spans="1:3">
      <c r="A60" s="26" t="s">
        <v>71</v>
      </c>
      <c r="B60" s="26">
        <v>4.1500000000000004</v>
      </c>
      <c r="C60" s="26">
        <v>0</v>
      </c>
    </row>
    <row r="61" spans="1:3">
      <c r="A61" s="26" t="s">
        <v>72</v>
      </c>
      <c r="B61" s="26">
        <v>4.05</v>
      </c>
      <c r="C61" s="26">
        <v>11.7</v>
      </c>
    </row>
    <row r="62" spans="1:3">
      <c r="A62" s="29" t="s">
        <v>174</v>
      </c>
      <c r="B62" s="29">
        <v>3.97</v>
      </c>
      <c r="C62" s="29">
        <v>0</v>
      </c>
    </row>
    <row r="63" spans="1:3">
      <c r="A63" s="29" t="s">
        <v>175</v>
      </c>
      <c r="B63" s="29">
        <v>3.89</v>
      </c>
      <c r="C63" s="29">
        <v>0</v>
      </c>
    </row>
    <row r="64" spans="1:3">
      <c r="A64" s="28" t="s">
        <v>156</v>
      </c>
      <c r="B64" s="28">
        <v>3.87</v>
      </c>
      <c r="C64" s="28">
        <v>0.3</v>
      </c>
    </row>
    <row r="65" spans="1:3">
      <c r="A65" s="26" t="s">
        <v>73</v>
      </c>
      <c r="B65" s="26">
        <v>3.85</v>
      </c>
      <c r="C65" s="26">
        <v>6.31</v>
      </c>
    </row>
    <row r="66" spans="1:3">
      <c r="A66" s="26" t="s">
        <v>74</v>
      </c>
      <c r="B66" s="26">
        <v>3.85</v>
      </c>
      <c r="C66" s="26">
        <v>0.15</v>
      </c>
    </row>
    <row r="67" spans="1:3">
      <c r="A67" s="26" t="s">
        <v>75</v>
      </c>
      <c r="B67" s="26">
        <v>3.82</v>
      </c>
      <c r="C67" s="26">
        <v>0</v>
      </c>
    </row>
    <row r="68" spans="1:3">
      <c r="A68" s="28" t="s">
        <v>162</v>
      </c>
      <c r="B68" s="28">
        <v>3.82</v>
      </c>
      <c r="C68" s="28">
        <v>0</v>
      </c>
    </row>
    <row r="69" spans="1:3">
      <c r="A69" s="27" t="s">
        <v>137</v>
      </c>
      <c r="B69" s="27">
        <v>3.7</v>
      </c>
      <c r="C69" s="27">
        <v>3.43</v>
      </c>
    </row>
    <row r="70" spans="1:3">
      <c r="A70" s="26" t="s">
        <v>76</v>
      </c>
      <c r="B70" s="26">
        <v>3.65</v>
      </c>
      <c r="C70" s="26">
        <v>0.22</v>
      </c>
    </row>
    <row r="71" spans="1:3">
      <c r="A71" s="26" t="s">
        <v>77</v>
      </c>
      <c r="B71" s="26">
        <v>3.63</v>
      </c>
      <c r="C71" s="26">
        <v>0.74</v>
      </c>
    </row>
    <row r="72" spans="1:3">
      <c r="A72" s="26" t="s">
        <v>176</v>
      </c>
      <c r="B72" s="26">
        <v>3.58</v>
      </c>
      <c r="C72" s="26">
        <v>0</v>
      </c>
    </row>
    <row r="73" spans="1:3">
      <c r="A73" s="26" t="s">
        <v>78</v>
      </c>
      <c r="B73" s="26">
        <v>3.57</v>
      </c>
      <c r="C73" s="26">
        <v>3.87</v>
      </c>
    </row>
    <row r="74" spans="1:3">
      <c r="A74" s="27" t="s">
        <v>138</v>
      </c>
      <c r="B74" s="27">
        <v>3.57</v>
      </c>
      <c r="C74" s="27">
        <v>3.13</v>
      </c>
    </row>
    <row r="75" spans="1:3">
      <c r="A75" s="29" t="s">
        <v>177</v>
      </c>
      <c r="B75" s="29">
        <v>3.56</v>
      </c>
      <c r="C75" s="29">
        <v>0</v>
      </c>
    </row>
    <row r="76" spans="1:3">
      <c r="A76" s="26" t="s">
        <v>178</v>
      </c>
      <c r="B76" s="26">
        <v>3.56</v>
      </c>
      <c r="C76" s="26">
        <v>0</v>
      </c>
    </row>
    <row r="77" spans="1:3">
      <c r="A77" s="27" t="s">
        <v>139</v>
      </c>
      <c r="B77" s="27">
        <v>3.51</v>
      </c>
      <c r="C77" s="27">
        <v>2.98</v>
      </c>
    </row>
    <row r="78" spans="1:3">
      <c r="A78" s="26" t="s">
        <v>79</v>
      </c>
      <c r="B78" s="26">
        <v>3.47</v>
      </c>
      <c r="C78" s="26">
        <v>0</v>
      </c>
    </row>
    <row r="79" spans="1:3">
      <c r="A79" s="26" t="s">
        <v>80</v>
      </c>
      <c r="B79" s="26">
        <v>3.47</v>
      </c>
      <c r="C79" s="26">
        <v>0</v>
      </c>
    </row>
    <row r="80" spans="1:3">
      <c r="A80" s="26" t="s">
        <v>81</v>
      </c>
      <c r="B80" s="26">
        <v>3.46</v>
      </c>
      <c r="C80" s="26">
        <v>2.35</v>
      </c>
    </row>
    <row r="81" spans="1:3">
      <c r="A81" s="27" t="s">
        <v>140</v>
      </c>
      <c r="B81" s="27">
        <v>3.46</v>
      </c>
      <c r="C81" s="27">
        <v>2.88</v>
      </c>
    </row>
    <row r="82" spans="1:3">
      <c r="A82" s="27" t="s">
        <v>141</v>
      </c>
      <c r="B82" s="27">
        <v>3.41</v>
      </c>
      <c r="C82" s="27">
        <v>2.76</v>
      </c>
    </row>
    <row r="83" spans="1:3">
      <c r="A83" s="26" t="s">
        <v>179</v>
      </c>
      <c r="B83" s="26">
        <v>3.4</v>
      </c>
      <c r="C83" s="26">
        <v>0</v>
      </c>
    </row>
    <row r="84" spans="1:3">
      <c r="A84" s="26" t="s">
        <v>82</v>
      </c>
      <c r="B84" s="26">
        <v>3.39</v>
      </c>
      <c r="C84" s="26">
        <v>0</v>
      </c>
    </row>
    <row r="85" spans="1:3">
      <c r="A85" s="28" t="s">
        <v>157</v>
      </c>
      <c r="B85" s="28">
        <v>3.38</v>
      </c>
      <c r="C85" s="28">
        <v>0</v>
      </c>
    </row>
    <row r="86" spans="1:3">
      <c r="A86" s="26" t="s">
        <v>83</v>
      </c>
      <c r="B86" s="26">
        <v>3.36</v>
      </c>
      <c r="C86" s="26">
        <v>0</v>
      </c>
    </row>
    <row r="87" spans="1:3">
      <c r="A87" s="28" t="s">
        <v>163</v>
      </c>
      <c r="B87" s="28">
        <v>3.34</v>
      </c>
      <c r="C87" s="28">
        <v>0</v>
      </c>
    </row>
    <row r="88" spans="1:3">
      <c r="A88" s="27" t="s">
        <v>142</v>
      </c>
      <c r="B88" s="27">
        <v>3.3</v>
      </c>
      <c r="C88" s="27">
        <v>2.5099999999999998</v>
      </c>
    </row>
    <row r="89" spans="1:3">
      <c r="A89" s="26" t="s">
        <v>84</v>
      </c>
      <c r="B89" s="26">
        <v>3.27</v>
      </c>
      <c r="C89" s="26">
        <v>4.0999999999999996</v>
      </c>
    </row>
    <row r="90" spans="1:3">
      <c r="A90" s="29" t="s">
        <v>180</v>
      </c>
      <c r="B90" s="29">
        <v>3.26</v>
      </c>
      <c r="C90" s="29">
        <v>2.4</v>
      </c>
    </row>
    <row r="91" spans="1:3">
      <c r="A91" s="26" t="s">
        <v>85</v>
      </c>
      <c r="B91" s="26">
        <v>3.21</v>
      </c>
      <c r="C91" s="26">
        <v>0</v>
      </c>
    </row>
    <row r="92" spans="1:3">
      <c r="A92" s="26" t="s">
        <v>86</v>
      </c>
      <c r="B92" s="26">
        <v>3.19</v>
      </c>
      <c r="C92" s="26">
        <v>0</v>
      </c>
    </row>
    <row r="93" spans="1:3">
      <c r="A93" s="26" t="s">
        <v>87</v>
      </c>
      <c r="B93" s="26">
        <v>3.18</v>
      </c>
      <c r="C93" s="26">
        <v>9.4600000000000009</v>
      </c>
    </row>
    <row r="94" spans="1:3">
      <c r="A94" s="26" t="s">
        <v>88</v>
      </c>
      <c r="B94" s="26">
        <v>3.17</v>
      </c>
      <c r="C94" s="26">
        <v>0</v>
      </c>
    </row>
    <row r="95" spans="1:3">
      <c r="A95" s="26" t="s">
        <v>89</v>
      </c>
      <c r="B95" s="26">
        <v>3.14</v>
      </c>
      <c r="C95" s="26">
        <v>0</v>
      </c>
    </row>
    <row r="96" spans="1:3">
      <c r="A96" s="26" t="s">
        <v>90</v>
      </c>
      <c r="B96" s="26">
        <v>3.14</v>
      </c>
      <c r="C96" s="26">
        <v>0</v>
      </c>
    </row>
    <row r="97" spans="1:3">
      <c r="A97" s="28" t="s">
        <v>158</v>
      </c>
      <c r="B97" s="28">
        <v>3.13</v>
      </c>
      <c r="C97" s="28">
        <v>-7.0000000000000007E-2</v>
      </c>
    </row>
    <row r="98" spans="1:3">
      <c r="A98" s="26" t="s">
        <v>91</v>
      </c>
      <c r="B98" s="26">
        <v>3.11</v>
      </c>
      <c r="C98" s="26">
        <v>0</v>
      </c>
    </row>
    <row r="99" spans="1:3">
      <c r="A99" s="26" t="s">
        <v>92</v>
      </c>
      <c r="B99" s="26">
        <v>3.11</v>
      </c>
      <c r="C99" s="26">
        <v>-0.33</v>
      </c>
    </row>
    <row r="100" spans="1:3">
      <c r="A100" s="29" t="s">
        <v>181</v>
      </c>
      <c r="B100" s="29">
        <v>3.11</v>
      </c>
      <c r="C100" s="29">
        <v>9.9600000000000009</v>
      </c>
    </row>
    <row r="101" spans="1:3">
      <c r="A101" s="29" t="s">
        <v>182</v>
      </c>
      <c r="B101" s="29">
        <v>3.08</v>
      </c>
      <c r="C101" s="29">
        <v>0</v>
      </c>
    </row>
    <row r="102" spans="1:3">
      <c r="A102" s="27" t="s">
        <v>143</v>
      </c>
      <c r="B102" s="27">
        <v>3.07</v>
      </c>
      <c r="C102" s="27">
        <v>1.98</v>
      </c>
    </row>
    <row r="103" spans="1:3">
      <c r="A103" s="26" t="s">
        <v>93</v>
      </c>
      <c r="B103" s="26">
        <v>3.05</v>
      </c>
      <c r="C103" s="26">
        <v>0</v>
      </c>
    </row>
    <row r="104" spans="1:3">
      <c r="A104" s="28" t="s">
        <v>166</v>
      </c>
      <c r="B104" s="28">
        <v>2.99</v>
      </c>
      <c r="C104" s="28">
        <v>0</v>
      </c>
    </row>
    <row r="105" spans="1:3">
      <c r="A105" s="26" t="s">
        <v>94</v>
      </c>
      <c r="B105" s="26">
        <v>2.97</v>
      </c>
      <c r="C105" s="26">
        <v>1.58</v>
      </c>
    </row>
    <row r="106" spans="1:3">
      <c r="A106" s="26" t="s">
        <v>95</v>
      </c>
      <c r="B106" s="26">
        <v>2.97</v>
      </c>
      <c r="C106" s="26">
        <v>0.6</v>
      </c>
    </row>
    <row r="107" spans="1:3">
      <c r="A107" s="28" t="s">
        <v>161</v>
      </c>
      <c r="B107" s="28">
        <v>2.97</v>
      </c>
      <c r="C107" s="28">
        <v>0</v>
      </c>
    </row>
    <row r="108" spans="1:3">
      <c r="A108" s="26" t="s">
        <v>96</v>
      </c>
      <c r="B108" s="26">
        <v>2.93</v>
      </c>
      <c r="C108" s="26">
        <v>0</v>
      </c>
    </row>
    <row r="109" spans="1:3">
      <c r="A109" s="29" t="s">
        <v>183</v>
      </c>
      <c r="B109" s="29">
        <v>2.9</v>
      </c>
      <c r="C109" s="29">
        <v>0</v>
      </c>
    </row>
    <row r="110" spans="1:3">
      <c r="A110" s="26" t="s">
        <v>97</v>
      </c>
      <c r="B110" s="26">
        <v>2.89</v>
      </c>
      <c r="C110" s="26">
        <v>0</v>
      </c>
    </row>
    <row r="111" spans="1:3">
      <c r="A111" s="26" t="s">
        <v>98</v>
      </c>
      <c r="B111" s="26">
        <v>2.87</v>
      </c>
      <c r="C111" s="26">
        <v>0</v>
      </c>
    </row>
    <row r="112" spans="1:3">
      <c r="A112" s="26" t="s">
        <v>99</v>
      </c>
      <c r="B112" s="26">
        <v>2.86</v>
      </c>
      <c r="C112" s="26">
        <v>0</v>
      </c>
    </row>
    <row r="113" spans="1:3">
      <c r="A113" s="26" t="s">
        <v>100</v>
      </c>
      <c r="B113" s="26">
        <v>2.85</v>
      </c>
      <c r="C113" s="26">
        <v>0</v>
      </c>
    </row>
    <row r="114" spans="1:3">
      <c r="A114" s="29" t="s">
        <v>184</v>
      </c>
      <c r="B114" s="29">
        <v>2.85</v>
      </c>
      <c r="C114" s="29">
        <v>0</v>
      </c>
    </row>
    <row r="115" spans="1:3">
      <c r="A115" s="29" t="s">
        <v>185</v>
      </c>
      <c r="B115" s="29">
        <v>2.83</v>
      </c>
      <c r="C115" s="29">
        <v>0</v>
      </c>
    </row>
    <row r="116" spans="1:3">
      <c r="A116" s="27" t="s">
        <v>144</v>
      </c>
      <c r="B116" s="27">
        <v>2.82</v>
      </c>
      <c r="C116" s="27">
        <v>1.41</v>
      </c>
    </row>
    <row r="117" spans="1:3">
      <c r="A117" s="26" t="s">
        <v>101</v>
      </c>
      <c r="B117" s="26">
        <v>2.79</v>
      </c>
      <c r="C117" s="26">
        <v>0</v>
      </c>
    </row>
    <row r="118" spans="1:3">
      <c r="A118" s="26" t="s">
        <v>102</v>
      </c>
      <c r="B118" s="26">
        <v>2.79</v>
      </c>
      <c r="C118" s="26">
        <v>3.83</v>
      </c>
    </row>
    <row r="119" spans="1:3">
      <c r="A119" s="26" t="s">
        <v>103</v>
      </c>
      <c r="B119" s="26">
        <v>2.71</v>
      </c>
      <c r="C119" s="26">
        <v>0</v>
      </c>
    </row>
    <row r="120" spans="1:3">
      <c r="A120" s="27" t="s">
        <v>145</v>
      </c>
      <c r="B120" s="27">
        <v>2.71</v>
      </c>
      <c r="C120" s="27">
        <v>1.1399999999999999</v>
      </c>
    </row>
    <row r="121" spans="1:3">
      <c r="A121" s="26" t="s">
        <v>104</v>
      </c>
      <c r="B121" s="26">
        <v>2.7</v>
      </c>
      <c r="C121" s="26">
        <v>16.73</v>
      </c>
    </row>
    <row r="122" spans="1:3">
      <c r="A122" s="26" t="s">
        <v>105</v>
      </c>
      <c r="B122" s="26">
        <v>2.64</v>
      </c>
      <c r="C122" s="26">
        <v>0</v>
      </c>
    </row>
    <row r="123" spans="1:3">
      <c r="A123" s="26" t="s">
        <v>106</v>
      </c>
      <c r="B123" s="26">
        <v>2.58</v>
      </c>
      <c r="C123" s="26">
        <v>0</v>
      </c>
    </row>
    <row r="124" spans="1:3">
      <c r="A124" s="29" t="s">
        <v>186</v>
      </c>
      <c r="B124" s="29">
        <v>2.58</v>
      </c>
      <c r="C124" s="29">
        <v>2.33</v>
      </c>
    </row>
    <row r="125" spans="1:3">
      <c r="A125" s="26" t="s">
        <v>107</v>
      </c>
      <c r="B125" s="26">
        <v>2.57</v>
      </c>
      <c r="C125" s="26">
        <v>0</v>
      </c>
    </row>
    <row r="126" spans="1:3">
      <c r="A126" s="28" t="s">
        <v>165</v>
      </c>
      <c r="B126" s="28">
        <v>2.56</v>
      </c>
      <c r="C126" s="28">
        <v>0</v>
      </c>
    </row>
    <row r="127" spans="1:3">
      <c r="A127" s="26" t="s">
        <v>108</v>
      </c>
      <c r="B127" s="26">
        <v>2.54</v>
      </c>
      <c r="C127" s="26">
        <v>0</v>
      </c>
    </row>
    <row r="128" spans="1:3">
      <c r="A128" s="29" t="s">
        <v>187</v>
      </c>
      <c r="B128" s="29">
        <v>2.5099999999999998</v>
      </c>
      <c r="C128" s="29">
        <v>11.43</v>
      </c>
    </row>
    <row r="129" spans="1:3">
      <c r="A129" s="29" t="s">
        <v>188</v>
      </c>
      <c r="B129" s="29">
        <v>2.5099999999999998</v>
      </c>
      <c r="C129" s="29">
        <v>0</v>
      </c>
    </row>
    <row r="130" spans="1:3">
      <c r="A130" s="28" t="s">
        <v>159</v>
      </c>
      <c r="B130" s="28">
        <v>2.46</v>
      </c>
      <c r="C130" s="28">
        <v>0</v>
      </c>
    </row>
    <row r="131" spans="1:3">
      <c r="A131" s="26" t="s">
        <v>109</v>
      </c>
      <c r="B131" s="26">
        <v>2.4300000000000002</v>
      </c>
      <c r="C131" s="26">
        <v>0</v>
      </c>
    </row>
    <row r="132" spans="1:3">
      <c r="A132" s="26" t="s">
        <v>110</v>
      </c>
      <c r="B132" s="26">
        <v>2.42</v>
      </c>
      <c r="C132" s="26">
        <v>0</v>
      </c>
    </row>
    <row r="133" spans="1:3">
      <c r="A133" s="26" t="s">
        <v>111</v>
      </c>
      <c r="B133" s="26">
        <v>2.39</v>
      </c>
      <c r="C133" s="26">
        <v>0</v>
      </c>
    </row>
    <row r="134" spans="1:3">
      <c r="A134" s="26" t="s">
        <v>112</v>
      </c>
      <c r="B134" s="26">
        <v>2.38</v>
      </c>
      <c r="C134" s="26">
        <v>0</v>
      </c>
    </row>
    <row r="135" spans="1:3">
      <c r="A135" s="29" t="s">
        <v>189</v>
      </c>
      <c r="B135" s="29">
        <v>2.37</v>
      </c>
      <c r="C135" s="29">
        <v>0</v>
      </c>
    </row>
    <row r="136" spans="1:3">
      <c r="A136" s="26" t="s">
        <v>113</v>
      </c>
      <c r="B136" s="26">
        <v>2.34</v>
      </c>
      <c r="C136" s="26">
        <v>0</v>
      </c>
    </row>
    <row r="137" spans="1:3">
      <c r="A137" s="26" t="s">
        <v>114</v>
      </c>
      <c r="B137" s="26">
        <v>2.34</v>
      </c>
      <c r="C137" s="26">
        <v>0</v>
      </c>
    </row>
    <row r="138" spans="1:3">
      <c r="A138" s="27" t="s">
        <v>146</v>
      </c>
      <c r="B138" s="27">
        <v>2.31</v>
      </c>
      <c r="C138" s="27">
        <v>0.22</v>
      </c>
    </row>
    <row r="139" spans="1:3">
      <c r="A139" s="26" t="s">
        <v>115</v>
      </c>
      <c r="B139" s="26">
        <v>2.2799999999999998</v>
      </c>
      <c r="C139" s="26">
        <v>12.22</v>
      </c>
    </row>
    <row r="140" spans="1:3">
      <c r="A140" s="29" t="s">
        <v>190</v>
      </c>
      <c r="B140" s="29">
        <v>2.2799999999999998</v>
      </c>
      <c r="C140" s="29">
        <v>0</v>
      </c>
    </row>
    <row r="141" spans="1:3">
      <c r="A141" s="26" t="s">
        <v>116</v>
      </c>
      <c r="B141" s="26">
        <v>2.23</v>
      </c>
      <c r="C141" s="26">
        <v>0</v>
      </c>
    </row>
    <row r="142" spans="1:3">
      <c r="A142" s="28" t="s">
        <v>160</v>
      </c>
      <c r="B142" s="28">
        <v>2.23</v>
      </c>
      <c r="C142" s="28">
        <v>0</v>
      </c>
    </row>
    <row r="143" spans="1:3">
      <c r="A143" s="28" t="s">
        <v>164</v>
      </c>
      <c r="B143" s="28">
        <v>2.13</v>
      </c>
      <c r="C143" s="28">
        <v>0</v>
      </c>
    </row>
    <row r="144" spans="1:3">
      <c r="A144" s="26" t="s">
        <v>117</v>
      </c>
      <c r="B144" s="26">
        <v>2.12</v>
      </c>
      <c r="C144" s="26">
        <v>0</v>
      </c>
    </row>
    <row r="145" spans="1:3">
      <c r="A145" s="26" t="s">
        <v>118</v>
      </c>
      <c r="B145" s="26">
        <v>2.1</v>
      </c>
      <c r="C145" s="26">
        <v>0.28000000000000003</v>
      </c>
    </row>
    <row r="146" spans="1:3">
      <c r="A146" s="26" t="s">
        <v>119</v>
      </c>
      <c r="B146" s="26">
        <v>2</v>
      </c>
      <c r="C146" s="26">
        <v>0</v>
      </c>
    </row>
    <row r="147" spans="1:3">
      <c r="A147" s="26" t="s">
        <v>120</v>
      </c>
      <c r="B147" s="26">
        <v>1.96</v>
      </c>
      <c r="C147" s="26">
        <v>0</v>
      </c>
    </row>
    <row r="148" spans="1:3">
      <c r="A148" s="26" t="s">
        <v>121</v>
      </c>
      <c r="B148" s="26">
        <v>1.91</v>
      </c>
      <c r="C148" s="26">
        <v>0</v>
      </c>
    </row>
    <row r="149" spans="1:3">
      <c r="A149" s="26" t="s">
        <v>122</v>
      </c>
      <c r="B149" s="26">
        <v>1.8</v>
      </c>
      <c r="C149" s="26">
        <v>12.32</v>
      </c>
    </row>
    <row r="150" spans="1:3">
      <c r="A150" s="26" t="s">
        <v>123</v>
      </c>
      <c r="B150" s="26">
        <v>1.78</v>
      </c>
      <c r="C150" s="26">
        <v>0</v>
      </c>
    </row>
    <row r="151" spans="1:3">
      <c r="A151" s="26" t="s">
        <v>124</v>
      </c>
      <c r="B151" s="26">
        <v>1.71</v>
      </c>
      <c r="C151" s="26">
        <v>0</v>
      </c>
    </row>
    <row r="152" spans="1:3">
      <c r="A152" s="26" t="s">
        <v>125</v>
      </c>
      <c r="B152" s="26">
        <v>1.66</v>
      </c>
      <c r="C152" s="26">
        <v>0</v>
      </c>
    </row>
    <row r="153" spans="1:3">
      <c r="A153" s="26" t="s">
        <v>126</v>
      </c>
      <c r="B153" s="26">
        <v>1.6</v>
      </c>
      <c r="C153" s="26">
        <v>0</v>
      </c>
    </row>
    <row r="154" spans="1:3">
      <c r="A154" s="26" t="s">
        <v>127</v>
      </c>
      <c r="B154" s="26">
        <v>1.56</v>
      </c>
      <c r="C154" s="26">
        <v>0</v>
      </c>
    </row>
    <row r="155" spans="1:3">
      <c r="A155" s="26" t="s">
        <v>128</v>
      </c>
      <c r="B155" s="26">
        <v>1.49</v>
      </c>
      <c r="C155" s="26">
        <v>0</v>
      </c>
    </row>
    <row r="156" spans="1:3">
      <c r="A156" s="26" t="s">
        <v>129</v>
      </c>
      <c r="B156" s="26">
        <v>1.35</v>
      </c>
      <c r="C156" s="26">
        <v>0</v>
      </c>
    </row>
    <row r="157" spans="1:3">
      <c r="A157" s="26" t="s">
        <v>130</v>
      </c>
      <c r="B157" s="26">
        <v>1.1599999999999999</v>
      </c>
      <c r="C157" s="26">
        <v>0</v>
      </c>
    </row>
    <row r="158" spans="1:3">
      <c r="A158" s="26"/>
      <c r="B158" s="26"/>
      <c r="C158" s="26"/>
    </row>
  </sheetData>
  <autoFilter ref="A1:C1" xr:uid="{E060EA8E-08E8-47E0-94C6-BB8BBEF04EDF}">
    <sortState xmlns:xlrd2="http://schemas.microsoft.com/office/spreadsheetml/2017/richdata2" ref="A2:C157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C51F-F22A-446D-AE7A-B5776C463E54}">
  <dimension ref="A1:AN158"/>
  <sheetViews>
    <sheetView workbookViewId="0">
      <selection activeCell="K17" sqref="K17"/>
    </sheetView>
  </sheetViews>
  <sheetFormatPr defaultRowHeight="14.45" outlineLevelCol="1"/>
  <cols>
    <col min="1" max="1" width="11.7109375" bestFit="1" customWidth="1"/>
    <col min="2" max="2" width="13.28515625" customWidth="1"/>
    <col min="4" max="4" width="23.5703125" bestFit="1" customWidth="1"/>
    <col min="5" max="5" width="10.28515625" customWidth="1"/>
    <col min="6" max="6" width="49.140625" bestFit="1" customWidth="1"/>
    <col min="7" max="7" width="10.28515625" customWidth="1" outlineLevel="1"/>
    <col min="8" max="8" width="12.7109375" customWidth="1" outlineLevel="1"/>
    <col min="9" max="9" width="10.28515625" customWidth="1" outlineLevel="1"/>
    <col min="10" max="10" width="12.7109375" customWidth="1" outlineLevel="1"/>
    <col min="11" max="11" width="10.28515625" customWidth="1" outlineLevel="1"/>
    <col min="12" max="12" width="12.7109375" customWidth="1" outlineLevel="1"/>
    <col min="13" max="13" width="9.28515625" customWidth="1" outlineLevel="1"/>
    <col min="14" max="14" width="11.7109375" customWidth="1" outlineLevel="1"/>
    <col min="15" max="15" width="12.7109375" bestFit="1" customWidth="1"/>
    <col min="16" max="16" width="6.85546875" bestFit="1" customWidth="1"/>
    <col min="17" max="17" width="23" customWidth="1" outlineLevel="1"/>
    <col min="18" max="18" width="15.140625" customWidth="1" outlineLevel="1"/>
    <col min="19" max="19" width="22.7109375" customWidth="1" outlineLevel="1"/>
    <col min="20" max="23" width="12.28515625" customWidth="1" outlineLevel="1"/>
    <col min="24" max="24" width="12.28515625" hidden="1" customWidth="1" outlineLevel="1"/>
    <col min="25" max="25" width="12.28515625" bestFit="1" customWidth="1"/>
    <col min="26" max="26" width="11.5703125" bestFit="1" customWidth="1"/>
    <col min="27" max="28" width="9.140625" hidden="1" customWidth="1" outlineLevel="1"/>
    <col min="29" max="29" width="9.140625" collapsed="1"/>
    <col min="30" max="30" width="10.7109375" bestFit="1" customWidth="1"/>
    <col min="31" max="31" width="13.42578125" bestFit="1" customWidth="1"/>
    <col min="32" max="32" width="15.85546875" bestFit="1" customWidth="1"/>
    <col min="33" max="33" width="13.5703125" bestFit="1" customWidth="1"/>
    <col min="34" max="34" width="19.28515625" bestFit="1" customWidth="1"/>
    <col min="35" max="35" width="16.140625" bestFit="1" customWidth="1"/>
    <col min="36" max="36" width="17" bestFit="1" customWidth="1"/>
    <col min="37" max="37" width="12.140625" bestFit="1" customWidth="1"/>
    <col min="38" max="38" width="13.42578125" bestFit="1" customWidth="1"/>
    <col min="39" max="39" width="13.140625" bestFit="1" customWidth="1"/>
    <col min="40" max="40" width="17.5703125" bestFit="1" customWidth="1"/>
  </cols>
  <sheetData>
    <row r="1" spans="1:40">
      <c r="B1" s="14"/>
      <c r="E1" s="14"/>
      <c r="G1">
        <v>0</v>
      </c>
      <c r="H1">
        <v>0</v>
      </c>
      <c r="I1">
        <v>1</v>
      </c>
      <c r="J1">
        <v>1</v>
      </c>
      <c r="K1">
        <v>2</v>
      </c>
      <c r="L1">
        <v>2</v>
      </c>
      <c r="Q1" s="14"/>
      <c r="R1" s="14"/>
      <c r="U1" s="14"/>
      <c r="Z1" s="14"/>
      <c r="AD1" t="s">
        <v>191</v>
      </c>
    </row>
    <row r="2" spans="1:40">
      <c r="A2" t="s">
        <v>192</v>
      </c>
      <c r="B2" t="s">
        <v>193</v>
      </c>
      <c r="C2" t="s">
        <v>194</v>
      </c>
      <c r="D2" t="s">
        <v>5</v>
      </c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200</v>
      </c>
      <c r="K2" t="s">
        <v>201</v>
      </c>
      <c r="L2" t="s">
        <v>202</v>
      </c>
      <c r="M2" t="s">
        <v>203</v>
      </c>
      <c r="N2" t="s">
        <v>204</v>
      </c>
      <c r="O2" t="s">
        <v>7</v>
      </c>
      <c r="P2" t="s">
        <v>205</v>
      </c>
      <c r="Q2" t="s">
        <v>206</v>
      </c>
      <c r="R2" t="s">
        <v>207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B2" t="s">
        <v>217</v>
      </c>
      <c r="AC2" t="s">
        <v>218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  <c r="AJ2" t="s">
        <v>14</v>
      </c>
      <c r="AK2" t="s">
        <v>15</v>
      </c>
      <c r="AL2" t="s">
        <v>16</v>
      </c>
      <c r="AM2" t="s">
        <v>17</v>
      </c>
      <c r="AN2" t="s">
        <v>18</v>
      </c>
    </row>
    <row r="3" spans="1:40" ht="15">
      <c r="A3">
        <v>2017</v>
      </c>
      <c r="B3">
        <v>1</v>
      </c>
      <c r="C3" t="s">
        <v>219</v>
      </c>
      <c r="D3" t="s">
        <v>35</v>
      </c>
      <c r="E3">
        <v>6.3</v>
      </c>
      <c r="F3" t="s">
        <v>220</v>
      </c>
      <c r="G3">
        <f>SUMIFS('NFL QB Data By Year'!$Q:$Q,'NFL QB Data By Year'!$D:$D,Table2[[#This Row],[Player Name]],'NFL QB Data By Year'!$B:$B,Table2[[#This Row],[Draft Year]]+G$1)</f>
        <v>1</v>
      </c>
      <c r="H3">
        <f>SUMIFS('NFL QB Data By Year'!$P:$P,'NFL QB Data By Year'!$D:$D,Table2[[#This Row],[Player Name]],'NFL QB Data By Year'!$B:$B,Table2[[#This Row],[Draft Year]]+H$1)</f>
        <v>10.4</v>
      </c>
      <c r="I3">
        <f>SUMIFS('NFL QB Data By Year'!$Q:$Q,'NFL QB Data By Year'!$D:$D,Table2[[#This Row],[Player Name]],'NFL QB Data By Year'!$B:$B,Table2[[#This Row],[Draft Year]]+I$1)</f>
        <v>16</v>
      </c>
      <c r="J3">
        <f>SUMIFS('NFL QB Data By Year'!$P:$P,'NFL QB Data By Year'!$D:$D,Table2[[#This Row],[Player Name]],'NFL QB Data By Year'!$B:$B,Table2[[#This Row],[Draft Year]]+J$1)</f>
        <v>417</v>
      </c>
      <c r="K3">
        <f>SUMIFS('NFL QB Data By Year'!$Q:$Q,'NFL QB Data By Year'!$D:$D,Table2[[#This Row],[Player Name]],'NFL QB Data By Year'!$B:$B,Table2[[#This Row],[Draft Year]]+K$1)</f>
        <v>14</v>
      </c>
      <c r="L3">
        <f>SUMIFS('NFL QB Data By Year'!$P:$P,'NFL QB Data By Year'!$D:$D,Table2[[#This Row],[Player Name]],'NFL QB Data By Year'!$B:$B,Table2[[#This Row],[Draft Year]]+L$1)</f>
        <v>291.89999999999998</v>
      </c>
      <c r="M3">
        <f>Table2[[#This Row],[Year 1 G]]+Table2[[#This Row],[Year 2 G]]+Table2[[#This Row],[Year 3 G]]</f>
        <v>31</v>
      </c>
      <c r="N3">
        <f>Table2[[#This Row],[Year 1 FPTs]]+Table2[[#This Row],[Year 2 FPTs]]+Table2[[#This Row],[Year 3 FPTs]]</f>
        <v>719.3</v>
      </c>
      <c r="O3" s="7">
        <f>IFERROR(Table2[[#This Row],[Total FPTs]]/Table2[[#This Row],[Total G]],0)</f>
        <v>23.203225806451613</v>
      </c>
      <c r="P3">
        <v>1</v>
      </c>
      <c r="Q3" s="8">
        <f xml:space="preserve"> IFERROR(SUMIFS('College Data By Year'!J:J,'College Data By Year'!A:A,Table2[[#This Row],[Player Name]])/SUMIFS('College Data By Year'!L:L,'College Data By Year'!A:A,Table2[[#This Row],[Player Name]]),"")</f>
        <v>0.15181458857348185</v>
      </c>
      <c r="R3" s="11">
        <f xml:space="preserve"> IFERROR(SUMIFS('College Data By Year'!D:D,'College Data By Year'!A:A,Table2[[#This Row],[Player Name]])/SUMIFS('College Data By Year'!B:B,'College Data By Year'!A:A,Table2[[#This Row],[Player Name]]),"")</f>
        <v>6.8939955522609342E-2</v>
      </c>
      <c r="S3">
        <f>IF(SUMIFS('College Data By Year'!H:H,'College Data By Year'!A:A,Table2[[#This Row],[Player Name]])=0,"",SUMIFS('College Data By Year'!H:H,'College Data By Year'!A:A,Table2[[#This Row],[Player Name]]))</f>
        <v>152</v>
      </c>
      <c r="T3" s="7">
        <f>IFERROR(SUMIFS('College Data By Year'!D:D,'College Data By Year'!A:A,Table2[[#This Row],[Player Name]])/SUMIFS('College Data By Year'!E:E,'College Data By Year'!A:A,Table2[[#This Row],[Player Name]]),"")</f>
        <v>3.2068965517241379</v>
      </c>
      <c r="U3" s="7">
        <f>IFERROR(SUMIFS('College Data By Year'!B:B,'College Data By Year'!A:A,Table2[[#This Row],[Player Name]])/SUMIFS('College Data By Year'!I:I,'College Data By Year'!A:A,Table2[[#This Row],[Player Name]]),"")</f>
        <v>4.3798701298701301</v>
      </c>
      <c r="V3">
        <f>IF(SUMIFS('College Data By Year'!F:F,'College Data By Year'!A:A,Table2[[#This Row],[Player Name]])=0,"",SUMIFS('College Data By Year'!F:F,'College Data By Year'!A:A,Table2[[#This Row],[Player Name]]))</f>
        <v>8.3000000000000007</v>
      </c>
      <c r="W3">
        <f>IF(SUMIFS('College Data By Year'!G:G,'College Data By Year'!A:A,Table2[[#This Row],[Player Name]])=0,"",SUMIFS('College Data By Year'!G:G,'College Data By Year'!A:A,Table2[[#This Row],[Player Name]]))</f>
        <v>8.8000000000000007</v>
      </c>
      <c r="X3" s="8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3.6813518406759206E-2</v>
      </c>
      <c r="Y3">
        <v>4.8</v>
      </c>
      <c r="Z3">
        <v>9.25</v>
      </c>
      <c r="AA3" t="s">
        <v>221</v>
      </c>
      <c r="AB3">
        <v>225</v>
      </c>
      <c r="AC3">
        <v>28.9</v>
      </c>
      <c r="AD3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3" s="12">
        <f>ROUND(IF(Table2[[#This Row],[Draft Round]]=1,10,IF(Table2[[#This Row],[Draft Round]]=8,0,10/(20.884*EXP(-0.381*1))*(20.884*EXP(-0.381*Table2[[#This Row],[Draft Round]])))),0)</f>
        <v>10</v>
      </c>
      <c r="AF3">
        <f>ROUND(IF(Table2[[#This Row],[College BF Dominator]]&gt;0.3,10,IF(Table2[[#This Row],[College BF Dominator]]&lt;-0.156,0,10/(20.818*0.3+3.2667)*(20.818*Table2[[#This Row],[College BF Dominator]]+3.2667))),0)</f>
        <v>7</v>
      </c>
      <c r="AG3" s="12">
        <f>ROUND(IF(Table2[[#This Row],[College PTDR]]&gt;0.085,10,IF(Table2[[#This Row],[College PTDR]]&lt;0.04,0,10/(105.24*0.085-1.7837)*(105.24*Table2[[#This Row],[College PTDR]]-1.7837))),0)</f>
        <v>8</v>
      </c>
      <c r="AH3" s="12">
        <f>ROUND(IF(Table2[[#This Row],[College Passer Rating]]&gt;170,10,IF(Table2[[#This Row],[College Passer Rating]]&lt;112.475,0,10/(0.1495*170-16.815)*(0.1495*Table2[[#This Row],[College Passer Rating]]-16.815))),0)</f>
        <v>7</v>
      </c>
      <c r="AI3" s="12">
        <f>ROUND(IF(Table2[[#This Row],[PTD:INT]]&gt;4,10,IF(Table2[[#This Row],[PTD:INT]]&lt;1,0,10/(4.7442*LN(4)+0.4256)*(4.7442*LN(Table2[[#This Row],[PTD:INT]])+0.4256))),0)</f>
        <v>9</v>
      </c>
      <c r="AJ3" s="12">
        <f>ROUND(IF(Table2[[#This Row],[Patt:Ratt]]&lt;2.5,10,IF(Table2[[#This Row],[Patt:Ratt]]&gt;15,0,10/(-2.684*LN(2.5)+9.0869)*(-2.684*LN(Table2[[#This Row],[Patt:Ratt]])+9.0869))),0)</f>
        <v>8</v>
      </c>
      <c r="AK3" s="12">
        <f>ROUND(IF(Table2[[#This Row],[Y/A]]&gt;9.2,10,IF(Table2[[#This Row],[Y/A]]&lt;6.26,0,10/(2.2619*9.2-14.16)*(2.2619*Table2[[#This Row],[Y/A]]-14.16))),0)</f>
        <v>7</v>
      </c>
      <c r="AL3" s="12">
        <f>ROUND(IF(Table2[[#This Row],[AY/A]]&gt;10,10,IF(Table2[[#This Row],[AY/A]]&lt;5.51,0,10/(1.6571*10-9.1312)*(1.6571*Table2[[#This Row],[AY/A]]-9.1312))),0)</f>
        <v>7</v>
      </c>
      <c r="AM3" s="12">
        <f>ROUND(IF(Table2[[#This Row],[40 Yd Dash]]&lt;4.75,10,IF(Table2[[#This Row],[40 Yd Dash]]&gt;5.191,0,10/(-66.95*LN(4.75)+110.26)*(-66.95*LN(Table2[[#This Row],[40 Yd Dash]])+110.26))),0)</f>
        <v>9</v>
      </c>
      <c r="AN3" s="12">
        <f>ROUND(IF(Table2[[#This Row],[Hand Size]]&gt;10.25,10,IF(Table2[[#This Row],[Hand Size]]&lt;9,0,10/(15.49*LN(10.25)-30.577)*(15.49*LN(Table2[[#This Row],[Hand Size]])-30.577))),0)</f>
        <v>7</v>
      </c>
    </row>
    <row r="4" spans="1:40">
      <c r="A4">
        <v>2017</v>
      </c>
      <c r="B4">
        <v>1</v>
      </c>
      <c r="C4" t="s">
        <v>219</v>
      </c>
      <c r="D4" t="s">
        <v>22</v>
      </c>
      <c r="E4">
        <v>6.8</v>
      </c>
      <c r="F4" t="s">
        <v>222</v>
      </c>
      <c r="G4">
        <f>SUMIFS('NFL QB Data By Year'!$Q:$Q,'NFL QB Data By Year'!$D:$D,Table2[[#This Row],[Player Name]],'NFL QB Data By Year'!$B:$B,Table2[[#This Row],[Draft Year]]+G$1)</f>
        <v>7</v>
      </c>
      <c r="H4">
        <f>SUMIFS('NFL QB Data By Year'!$P:$P,'NFL QB Data By Year'!$D:$D,Table2[[#This Row],[Player Name]],'NFL QB Data By Year'!$B:$B,Table2[[#This Row],[Draft Year]]+H$1)</f>
        <v>168.8</v>
      </c>
      <c r="I4">
        <f>SUMIFS('NFL QB Data By Year'!$Q:$Q,'NFL QB Data By Year'!$D:$D,Table2[[#This Row],[Player Name]],'NFL QB Data By Year'!$B:$B,Table2[[#This Row],[Draft Year]]+I$1)</f>
        <v>16</v>
      </c>
      <c r="J4">
        <f>SUMIFS('NFL QB Data By Year'!$P:$P,'NFL QB Data By Year'!$D:$D,Table2[[#This Row],[Player Name]],'NFL QB Data By Year'!$B:$B,Table2[[#This Row],[Draft Year]]+J$1)</f>
        <v>331.9</v>
      </c>
      <c r="K4">
        <f>SUMIFS('NFL QB Data By Year'!$Q:$Q,'NFL QB Data By Year'!$D:$D,Table2[[#This Row],[Player Name]],'NFL QB Data By Year'!$B:$B,Table2[[#This Row],[Draft Year]]+K$1)</f>
        <v>15</v>
      </c>
      <c r="L4">
        <f>SUMIFS('NFL QB Data By Year'!$P:$P,'NFL QB Data By Year'!$D:$D,Table2[[#This Row],[Player Name]],'NFL QB Data By Year'!$B:$B,Table2[[#This Row],[Draft Year]]+L$1)</f>
        <v>332.5</v>
      </c>
      <c r="M4">
        <f>Table2[[#This Row],[Year 1 G]]+Table2[[#This Row],[Year 2 G]]+Table2[[#This Row],[Year 3 G]]</f>
        <v>38</v>
      </c>
      <c r="N4">
        <f>Table2[[#This Row],[Year 1 FPTs]]+Table2[[#This Row],[Year 2 FPTs]]+Table2[[#This Row],[Year 3 FPTs]]</f>
        <v>833.2</v>
      </c>
      <c r="O4" s="7">
        <f>IFERROR(Table2[[#This Row],[Total FPTs]]/Table2[[#This Row],[Total G]],0)</f>
        <v>21.926315789473687</v>
      </c>
      <c r="P4">
        <v>1</v>
      </c>
      <c r="Q4" s="8">
        <f xml:space="preserve"> IFERROR(SUMIFS('College Data By Year'!J:J,'College Data By Year'!A:A,Table2[[#This Row],[Player Name]])/SUMIFS('College Data By Year'!L:L,'College Data By Year'!A:A,Table2[[#This Row],[Player Name]]),"")</f>
        <v>0.24810776138550353</v>
      </c>
      <c r="R4" s="11">
        <f xml:space="preserve"> IFERROR(SUMIFS('College Data By Year'!D:D,'College Data By Year'!A:A,Table2[[#This Row],[Player Name]])/SUMIFS('College Data By Year'!B:B,'College Data By Year'!A:A,Table2[[#This Row],[Player Name]]),"")</f>
        <v>7.4565037282518648E-2</v>
      </c>
      <c r="S4">
        <f>IF(SUMIFS('College Data By Year'!H:H,'College Data By Year'!A:A,Table2[[#This Row],[Player Name]])=0,"",SUMIFS('College Data By Year'!H:H,'College Data By Year'!A:A,Table2[[#This Row],[Player Name]]))</f>
        <v>157.5</v>
      </c>
      <c r="T4" s="7">
        <f>IFERROR(SUMIFS('College Data By Year'!D:D,'College Data By Year'!A:A,Table2[[#This Row],[Player Name]])/SUMIFS('College Data By Year'!E:E,'College Data By Year'!A:A,Table2[[#This Row],[Player Name]]),"")</f>
        <v>2.8125</v>
      </c>
      <c r="U4" s="7">
        <f>IFERROR(SUMIFS('College Data By Year'!B:B,'College Data By Year'!A:A,Table2[[#This Row],[Player Name]])/SUMIFS('College Data By Year'!I:I,'College Data By Year'!A:A,Table2[[#This Row],[Player Name]]),"")</f>
        <v>2.7747126436781611</v>
      </c>
      <c r="V4">
        <f>IF(SUMIFS('College Data By Year'!F:F,'College Data By Year'!A:A,Table2[[#This Row],[Player Name]])=0,"",SUMIFS('College Data By Year'!F:F,'College Data By Year'!A:A,Table2[[#This Row],[Player Name]]))</f>
        <v>8.4</v>
      </c>
      <c r="W4">
        <f>IF(SUMIFS('College Data By Year'!G:G,'College Data By Year'!A:A,Table2[[#This Row],[Player Name]])=0,"",SUMIFS('College Data By Year'!G:G,'College Data By Year'!A:A,Table2[[#This Row],[Player Name]]))</f>
        <v>8.6999999999999993</v>
      </c>
      <c r="X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2.4360535931790498E-2</v>
      </c>
      <c r="Y4">
        <v>4.66</v>
      </c>
      <c r="Z4">
        <v>9.75</v>
      </c>
      <c r="AA4" t="s">
        <v>221</v>
      </c>
      <c r="AB4">
        <v>221</v>
      </c>
      <c r="AC4">
        <v>28.4</v>
      </c>
      <c r="AD4">
        <f>ROUND(IF(Table2[[#This Row],[LZ Grade]]=0,10/(9.297*7-49.141)*(9.297*5.723-49.141),IF(Table2[[#This Row],[LZ Grade]]&lt;5.285,0,IF(Table2[[#This Row],[LZ Grade]]&gt;=7,10,10/(9.297*7-49.141)*(9.297*Table2[[#This Row],[LZ Grade]]-49.141)))),0)</f>
        <v>9</v>
      </c>
      <c r="AE4">
        <f>ROUND(IF(Table2[[#This Row],[Draft Round]]=1,10,IF(Table2[[#This Row],[Draft Round]]=8,0,10/(20.884*EXP(-0.381*1))*(20.884*EXP(-0.381*Table2[[#This Row],[Draft Round]])))),0)</f>
        <v>10</v>
      </c>
      <c r="AF4">
        <f>ROUND(IF(Table2[[#This Row],[College BF Dominator]]&gt;0.3,10,IF(Table2[[#This Row],[College BF Dominator]]&lt;-0.156,0,10/(20.818*0.3+3.2667)*(20.818*Table2[[#This Row],[College BF Dominator]]+3.2667))),0)</f>
        <v>9</v>
      </c>
      <c r="AG4">
        <f>ROUND(IF(Table2[[#This Row],[College PTDR]]&gt;0.085,10,IF(Table2[[#This Row],[College PTDR]]&lt;0.04,0,10/(105.24*0.085-1.7837)*(105.24*Table2[[#This Row],[College PTDR]]-1.7837))),0)</f>
        <v>8</v>
      </c>
      <c r="AH4">
        <f>ROUND(IF(Table2[[#This Row],[College Passer Rating]]&gt;170,10,IF(Table2[[#This Row],[College Passer Rating]]&lt;112.475,0,10/(0.1495*170-16.815)*(0.1495*Table2[[#This Row],[College Passer Rating]]-16.815))),0)</f>
        <v>8</v>
      </c>
      <c r="AI4">
        <f>ROUND(IF(Table2[[#This Row],[PTD:INT]]&gt;4,10,IF(Table2[[#This Row],[PTD:INT]]&lt;1,0,10/(4.7442*LN(4)+0.4256)*(4.7442*LN(Table2[[#This Row],[PTD:INT]])+0.4256))),0)</f>
        <v>8</v>
      </c>
      <c r="AJ4">
        <f>ROUND(IF(Table2[[#This Row],[Patt:Ratt]]&lt;2.5,10,IF(Table2[[#This Row],[Patt:Ratt]]&gt;15,0,10/(-2.684*LN(2.5)+9.0869)*(-2.684*LN(Table2[[#This Row],[Patt:Ratt]])+9.0869))),0)</f>
        <v>10</v>
      </c>
      <c r="AK4">
        <f>ROUND(IF(Table2[[#This Row],[Y/A]]&gt;9.2,10,IF(Table2[[#This Row],[Y/A]]&lt;6.26,0,10/(2.2619*9.2-14.16)*(2.2619*Table2[[#This Row],[Y/A]]-14.16))),0)</f>
        <v>7</v>
      </c>
      <c r="AL4">
        <f>ROUND(IF(Table2[[#This Row],[AY/A]]&gt;10,10,IF(Table2[[#This Row],[AY/A]]&lt;5.51,0,10/(1.6571*10-9.1312)*(1.6571*Table2[[#This Row],[AY/A]]-9.1312))),0)</f>
        <v>7</v>
      </c>
      <c r="AM4">
        <f>ROUND(IF(Table2[[#This Row],[40 Yd Dash]]&lt;4.75,10,IF(Table2[[#This Row],[40 Yd Dash]]&gt;5.191,0,10/(-66.95*LN(4.75)+110.26)*(-66.95*LN(Table2[[#This Row],[40 Yd Dash]])+110.26))),0)</f>
        <v>10</v>
      </c>
      <c r="AN4">
        <f>ROUND(IF(Table2[[#This Row],[Hand Size]]&gt;10.25,10,IF(Table2[[#This Row],[Hand Size]]&lt;9,0,10/(15.49*LN(10.25)-30.577)*(15.49*LN(Table2[[#This Row],[Hand Size]])-30.577))),0)</f>
        <v>9</v>
      </c>
    </row>
    <row r="5" spans="1:40">
      <c r="A5">
        <v>2019</v>
      </c>
      <c r="B5">
        <v>1</v>
      </c>
      <c r="C5" t="s">
        <v>219</v>
      </c>
      <c r="D5" t="s">
        <v>20</v>
      </c>
      <c r="E5">
        <v>6.8</v>
      </c>
      <c r="F5" t="s">
        <v>222</v>
      </c>
      <c r="G5">
        <f>SUMIFS('NFL QB Data By Year'!$Q:$Q,'NFL QB Data By Year'!$D:$D,Table2[[#This Row],[Player Name]],'NFL QB Data By Year'!$B:$B,Table2[[#This Row],[Draft Year]]+G$1)</f>
        <v>16</v>
      </c>
      <c r="H5">
        <f>SUMIFS('NFL QB Data By Year'!$P:$P,'NFL QB Data By Year'!$D:$D,Table2[[#This Row],[Player Name]],'NFL QB Data By Year'!$B:$B,Table2[[#This Row],[Draft Year]]+H$1)</f>
        <v>297.3</v>
      </c>
      <c r="I5">
        <f>SUMIFS('NFL QB Data By Year'!$Q:$Q,'NFL QB Data By Year'!$D:$D,Table2[[#This Row],[Player Name]],'NFL QB Data By Year'!$B:$B,Table2[[#This Row],[Draft Year]]+I$1)</f>
        <v>16</v>
      </c>
      <c r="J5">
        <f>SUMIFS('NFL QB Data By Year'!$P:$P,'NFL QB Data By Year'!$D:$D,Table2[[#This Row],[Player Name]],'NFL QB Data By Year'!$B:$B,Table2[[#This Row],[Draft Year]]+J$1)</f>
        <v>390.7</v>
      </c>
      <c r="K5">
        <f>SUMIFS('NFL QB Data By Year'!$Q:$Q,'NFL QB Data By Year'!$D:$D,Table2[[#This Row],[Player Name]],'NFL QB Data By Year'!$B:$B,Table2[[#This Row],[Draft Year]]+K$1)</f>
        <v>14</v>
      </c>
      <c r="L5">
        <f>SUMIFS('NFL QB Data By Year'!$P:$P,'NFL QB Data By Year'!$D:$D,Table2[[#This Row],[Player Name]],'NFL QB Data By Year'!$B:$B,Table2[[#This Row],[Draft Year]]+L$1)</f>
        <v>310.5</v>
      </c>
      <c r="M5">
        <f>Table2[[#This Row],[Year 1 G]]+Table2[[#This Row],[Year 2 G]]+Table2[[#This Row],[Year 3 G]]</f>
        <v>46</v>
      </c>
      <c r="N5">
        <f>Table2[[#This Row],[Year 1 FPTs]]+Table2[[#This Row],[Year 2 FPTs]]+Table2[[#This Row],[Year 3 FPTs]]</f>
        <v>998.5</v>
      </c>
      <c r="O5" s="7">
        <f>IFERROR(Table2[[#This Row],[Total FPTs]]/Table2[[#This Row],[Total G]],0)</f>
        <v>21.706521739130434</v>
      </c>
      <c r="P5">
        <v>1</v>
      </c>
      <c r="Q5" s="8">
        <f xml:space="preserve"> IFERROR(SUMIFS('College Data By Year'!J:J,'College Data By Year'!A:A,Table2[[#This Row],[Player Name]])/SUMIFS('College Data By Year'!L:L,'College Data By Year'!A:A,Table2[[#This Row],[Player Name]]),"")</f>
        <v>0.16967053151188152</v>
      </c>
      <c r="R5" s="11">
        <f xml:space="preserve"> IFERROR(SUMIFS('College Data By Year'!D:D,'College Data By Year'!A:A,Table2[[#This Row],[Player Name]])/SUMIFS('College Data By Year'!B:B,'College Data By Year'!A:A,Table2[[#This Row],[Player Name]]),"")</f>
        <v>9.6339113680154145E-2</v>
      </c>
      <c r="S5">
        <f>IF(SUMIFS('College Data By Year'!H:H,'College Data By Year'!A:A,Table2[[#This Row],[Player Name]])=0,"",SUMIFS('College Data By Year'!H:H,'College Data By Year'!A:A,Table2[[#This Row],[Player Name]]))</f>
        <v>181.3</v>
      </c>
      <c r="T5" s="7">
        <f>IFERROR(SUMIFS('College Data By Year'!D:D,'College Data By Year'!A:A,Table2[[#This Row],[Player Name]])/SUMIFS('College Data By Year'!E:E,'College Data By Year'!A:A,Table2[[#This Row],[Player Name]]),"")</f>
        <v>3.5714285714285716</v>
      </c>
      <c r="U5" s="7">
        <f>IFERROR(SUMIFS('College Data By Year'!B:B,'College Data By Year'!A:A,Table2[[#This Row],[Player Name]])/SUMIFS('College Data By Year'!I:I,'College Data By Year'!A:A,Table2[[#This Row],[Player Name]]),"")</f>
        <v>2.5072463768115942</v>
      </c>
      <c r="V5">
        <f>IF(SUMIFS('College Data By Year'!F:F,'College Data By Year'!A:A,Table2[[#This Row],[Player Name]])=0,"",SUMIFS('College Data By Year'!F:F,'College Data By Year'!A:A,Table2[[#This Row],[Player Name]]))</f>
        <v>10.4</v>
      </c>
      <c r="W5">
        <f>IF(SUMIFS('College Data By Year'!G:G,'College Data By Year'!A:A,Table2[[#This Row],[Player Name]])=0,"",SUMIFS('College Data By Year'!G:G,'College Data By Year'!A:A,Table2[[#This Row],[Player Name]]))</f>
        <v>11.1</v>
      </c>
      <c r="X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3.5812672176308541E-2</v>
      </c>
      <c r="Y5">
        <v>4.3099999999999996</v>
      </c>
      <c r="Z5">
        <v>9.5</v>
      </c>
      <c r="AA5" t="s">
        <v>223</v>
      </c>
      <c r="AB5">
        <v>207</v>
      </c>
      <c r="AC5">
        <v>29.7</v>
      </c>
      <c r="AD5">
        <f>ROUND(IF(Table2[[#This Row],[LZ Grade]]=0,10/(9.297*7-49.141)*(9.297*5.723-49.141),IF(Table2[[#This Row],[LZ Grade]]&lt;5.285,0,IF(Table2[[#This Row],[LZ Grade]]&gt;=7,10,10/(9.297*7-49.141)*(9.297*Table2[[#This Row],[LZ Grade]]-49.141)))),0)</f>
        <v>9</v>
      </c>
      <c r="AE5">
        <f>ROUND(IF(Table2[[#This Row],[Draft Round]]=1,10,IF(Table2[[#This Row],[Draft Round]]=8,0,10/(20.884*EXP(-0.381*1))*(20.884*EXP(-0.381*Table2[[#This Row],[Draft Round]])))),0)</f>
        <v>10</v>
      </c>
      <c r="AF5">
        <f>ROUND(IF(Table2[[#This Row],[College BF Dominator]]&gt;0.3,10,IF(Table2[[#This Row],[College BF Dominator]]&lt;-0.156,0,10/(20.818*0.3+3.2667)*(20.818*Table2[[#This Row],[College BF Dominator]]+3.2667))),0)</f>
        <v>7</v>
      </c>
      <c r="AG5">
        <f>ROUND(IF(Table2[[#This Row],[College PTDR]]&gt;0.085,10,IF(Table2[[#This Row],[College PTDR]]&lt;0.04,0,10/(105.24*0.085-1.7837)*(105.24*Table2[[#This Row],[College PTDR]]-1.7837))),0)</f>
        <v>10</v>
      </c>
      <c r="AH5">
        <f>ROUND(IF(Table2[[#This Row],[College Passer Rating]]&gt;170,10,IF(Table2[[#This Row],[College Passer Rating]]&lt;112.475,0,10/(0.1495*170-16.815)*(0.1495*Table2[[#This Row],[College Passer Rating]]-16.815))),0)</f>
        <v>10</v>
      </c>
      <c r="AI5">
        <f>ROUND(IF(Table2[[#This Row],[PTD:INT]]&gt;4,10,IF(Table2[[#This Row],[PTD:INT]]&lt;1,0,10/(4.7442*LN(4)+0.4256)*(4.7442*LN(Table2[[#This Row],[PTD:INT]])+0.4256))),0)</f>
        <v>9</v>
      </c>
      <c r="AJ5">
        <f>ROUND(IF(Table2[[#This Row],[Patt:Ratt]]&lt;2.5,10,IF(Table2[[#This Row],[Patt:Ratt]]&gt;15,0,10/(-2.684*LN(2.5)+9.0869)*(-2.684*LN(Table2[[#This Row],[Patt:Ratt]])+9.0869))),0)</f>
        <v>10</v>
      </c>
      <c r="AK5">
        <f>ROUND(IF(Table2[[#This Row],[Y/A]]&gt;9.2,10,IF(Table2[[#This Row],[Y/A]]&lt;6.26,0,10/(2.2619*9.2-14.16)*(2.2619*Table2[[#This Row],[Y/A]]-14.16))),0)</f>
        <v>10</v>
      </c>
      <c r="AL5">
        <f>ROUND(IF(Table2[[#This Row],[AY/A]]&gt;10,10,IF(Table2[[#This Row],[AY/A]]&lt;5.51,0,10/(1.6571*10-9.1312)*(1.6571*Table2[[#This Row],[AY/A]]-9.1312))),0)</f>
        <v>10</v>
      </c>
      <c r="AM5">
        <f>ROUND(IF(Table2[[#This Row],[40 Yd Dash]]&lt;4.75,10,IF(Table2[[#This Row],[40 Yd Dash]]&gt;5.191,0,10/(-66.95*LN(4.75)+110.26)*(-66.95*LN(Table2[[#This Row],[40 Yd Dash]])+110.26))),0)</f>
        <v>10</v>
      </c>
      <c r="AN5">
        <f>ROUND(IF(Table2[[#This Row],[Hand Size]]&gt;10.25,10,IF(Table2[[#This Row],[Hand Size]]&lt;9,0,10/(15.49*LN(10.25)-30.577)*(15.49*LN(Table2[[#This Row],[Hand Size]])-30.577))),0)</f>
        <v>8</v>
      </c>
    </row>
    <row r="6" spans="1:40">
      <c r="A6">
        <v>2018</v>
      </c>
      <c r="B6">
        <v>1</v>
      </c>
      <c r="C6" t="s">
        <v>219</v>
      </c>
      <c r="D6" t="s">
        <v>31</v>
      </c>
      <c r="E6">
        <v>6.4</v>
      </c>
      <c r="F6" t="s">
        <v>224</v>
      </c>
      <c r="G6">
        <f>SUMIFS('NFL QB Data By Year'!$Q:$Q,'NFL QB Data By Year'!$D:$D,Table2[[#This Row],[Player Name]],'NFL QB Data By Year'!$B:$B,Table2[[#This Row],[Draft Year]]+G$1)</f>
        <v>12</v>
      </c>
      <c r="H6">
        <f>SUMIFS('NFL QB Data By Year'!$P:$P,'NFL QB Data By Year'!$D:$D,Table2[[#This Row],[Player Name]],'NFL QB Data By Year'!$B:$B,Table2[[#This Row],[Draft Year]]+H$1)</f>
        <v>208.1</v>
      </c>
      <c r="I6">
        <f>SUMIFS('NFL QB Data By Year'!$Q:$Q,'NFL QB Data By Year'!$D:$D,Table2[[#This Row],[Player Name]],'NFL QB Data By Year'!$B:$B,Table2[[#This Row],[Draft Year]]+I$1)</f>
        <v>16</v>
      </c>
      <c r="J6">
        <f>SUMIFS('NFL QB Data By Year'!$P:$P,'NFL QB Data By Year'!$D:$D,Table2[[#This Row],[Player Name]],'NFL QB Data By Year'!$B:$B,Table2[[#This Row],[Draft Year]]+J$1)</f>
        <v>297.5</v>
      </c>
      <c r="K6">
        <f>SUMIFS('NFL QB Data By Year'!$Q:$Q,'NFL QB Data By Year'!$D:$D,Table2[[#This Row],[Player Name]],'NFL QB Data By Year'!$B:$B,Table2[[#This Row],[Draft Year]]+K$1)</f>
        <v>16</v>
      </c>
      <c r="L6">
        <f>SUMIFS('NFL QB Data By Year'!$P:$P,'NFL QB Data By Year'!$D:$D,Table2[[#This Row],[Player Name]],'NFL QB Data By Year'!$B:$B,Table2[[#This Row],[Draft Year]]+L$1)</f>
        <v>405.7</v>
      </c>
      <c r="M6">
        <f>Table2[[#This Row],[Year 1 G]]+Table2[[#This Row],[Year 2 G]]+Table2[[#This Row],[Year 3 G]]</f>
        <v>44</v>
      </c>
      <c r="N6">
        <f>Table2[[#This Row],[Year 1 FPTs]]+Table2[[#This Row],[Year 2 FPTs]]+Table2[[#This Row],[Year 3 FPTs]]</f>
        <v>911.3</v>
      </c>
      <c r="O6" s="7">
        <f>IFERROR(Table2[[#This Row],[Total FPTs]]/Table2[[#This Row],[Total G]],0)</f>
        <v>20.711363636363636</v>
      </c>
      <c r="P6">
        <v>2</v>
      </c>
      <c r="Q6" s="8">
        <f xml:space="preserve"> IFERROR(SUMIFS('College Data By Year'!J:J,'College Data By Year'!A:A,Table2[[#This Row],[Player Name]])/SUMIFS('College Data By Year'!L:L,'College Data By Year'!A:A,Table2[[#This Row],[Player Name]]),"")</f>
        <v>0.12059748427672956</v>
      </c>
      <c r="R6" s="11">
        <f xml:space="preserve"> IFERROR(SUMIFS('College Data By Year'!D:D,'College Data By Year'!A:A,Table2[[#This Row],[Player Name]])/SUMIFS('College Data By Year'!B:B,'College Data By Year'!A:A,Table2[[#This Row],[Player Name]]),"")</f>
        <v>6.7796610169491525E-2</v>
      </c>
      <c r="S6">
        <f>IF(SUMIFS('College Data By Year'!H:H,'College Data By Year'!A:A,Table2[[#This Row],[Player Name]])=0,"",SUMIFS('College Data By Year'!H:H,'College Data By Year'!A:A,Table2[[#This Row],[Player Name]]))</f>
        <v>137.69999999999999</v>
      </c>
      <c r="T6" s="7">
        <f>IFERROR(SUMIFS('College Data By Year'!D:D,'College Data By Year'!A:A,Table2[[#This Row],[Player Name]])/SUMIFS('College Data By Year'!E:E,'College Data By Year'!A:A,Table2[[#This Row],[Player Name]]),"")</f>
        <v>2.0952380952380953</v>
      </c>
      <c r="U6" s="7">
        <f>IFERROR(SUMIFS('College Data By Year'!B:B,'College Data By Year'!A:A,Table2[[#This Row],[Player Name]])/SUMIFS('College Data By Year'!I:I,'College Data By Year'!A:A,Table2[[#This Row],[Player Name]]),"")</f>
        <v>2.7383966244725739</v>
      </c>
      <c r="V6">
        <f>IF(SUMIFS('College Data By Year'!F:F,'College Data By Year'!A:A,Table2[[#This Row],[Player Name]])=0,"",SUMIFS('College Data By Year'!F:F,'College Data By Year'!A:A,Table2[[#This Row],[Player Name]]))</f>
        <v>7.8</v>
      </c>
      <c r="W6">
        <f>IF(SUMIFS('College Data By Year'!G:G,'College Data By Year'!A:A,Table2[[#This Row],[Player Name]])=0,"",SUMIFS('College Data By Year'!G:G,'College Data By Year'!A:A,Table2[[#This Row],[Player Name]]))</f>
        <v>7.7</v>
      </c>
      <c r="X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5.5304740406320545E-2</v>
      </c>
      <c r="Y6">
        <v>4.75</v>
      </c>
      <c r="Z6">
        <v>10.125</v>
      </c>
      <c r="AA6" t="s">
        <v>225</v>
      </c>
      <c r="AB6">
        <v>237</v>
      </c>
      <c r="AC6">
        <v>28.1</v>
      </c>
      <c r="AD6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6">
        <f>ROUND(IF(Table2[[#This Row],[Draft Round]]=1,10,IF(Table2[[#This Row],[Draft Round]]=8,0,10/(20.884*EXP(-0.381*1))*(20.884*EXP(-0.381*Table2[[#This Row],[Draft Round]])))),0)</f>
        <v>10</v>
      </c>
      <c r="AF6">
        <f>ROUND(IF(Table2[[#This Row],[College BF Dominator]]&gt;0.3,10,IF(Table2[[#This Row],[College BF Dominator]]&lt;-0.156,0,10/(20.818*0.3+3.2667)*(20.818*Table2[[#This Row],[College BF Dominator]]+3.2667))),0)</f>
        <v>6</v>
      </c>
      <c r="AG6">
        <f>ROUND(IF(Table2[[#This Row],[College PTDR]]&gt;0.085,10,IF(Table2[[#This Row],[College PTDR]]&lt;0.04,0,10/(105.24*0.085-1.7837)*(105.24*Table2[[#This Row],[College PTDR]]-1.7837))),0)</f>
        <v>7</v>
      </c>
      <c r="AH6">
        <f>ROUND(IF(Table2[[#This Row],[College Passer Rating]]&gt;170,10,IF(Table2[[#This Row],[College Passer Rating]]&lt;112.475,0,10/(0.1495*170-16.815)*(0.1495*Table2[[#This Row],[College Passer Rating]]-16.815))),0)</f>
        <v>4</v>
      </c>
      <c r="AI6">
        <f>ROUND(IF(Table2[[#This Row],[PTD:INT]]&gt;4,10,IF(Table2[[#This Row],[PTD:INT]]&lt;1,0,10/(4.7442*LN(4)+0.4256)*(4.7442*LN(Table2[[#This Row],[PTD:INT]])+0.4256))),0)</f>
        <v>6</v>
      </c>
      <c r="AJ6">
        <f>ROUND(IF(Table2[[#This Row],[Patt:Ratt]]&lt;2.5,10,IF(Table2[[#This Row],[Patt:Ratt]]&gt;15,0,10/(-2.684*LN(2.5)+9.0869)*(-2.684*LN(Table2[[#This Row],[Patt:Ratt]])+9.0869))),0)</f>
        <v>10</v>
      </c>
      <c r="AK6">
        <f>ROUND(IF(Table2[[#This Row],[Y/A]]&gt;9.2,10,IF(Table2[[#This Row],[Y/A]]&lt;6.26,0,10/(2.2619*9.2-14.16)*(2.2619*Table2[[#This Row],[Y/A]]-14.16))),0)</f>
        <v>5</v>
      </c>
      <c r="AL6">
        <f>ROUND(IF(Table2[[#This Row],[AY/A]]&gt;10,10,IF(Table2[[#This Row],[AY/A]]&lt;5.51,0,10/(1.6571*10-9.1312)*(1.6571*Table2[[#This Row],[AY/A]]-9.1312))),0)</f>
        <v>5</v>
      </c>
      <c r="AM6">
        <f>ROUND(IF(Table2[[#This Row],[40 Yd Dash]]&lt;4.75,10,IF(Table2[[#This Row],[40 Yd Dash]]&gt;5.191,0,10/(-66.95*LN(4.75)+110.26)*(-66.95*LN(Table2[[#This Row],[40 Yd Dash]])+110.26))),0)</f>
        <v>10</v>
      </c>
      <c r="AN6">
        <f>ROUND(IF(Table2[[#This Row],[Hand Size]]&gt;10.25,10,IF(Table2[[#This Row],[Hand Size]]&lt;9,0,10/(15.49*LN(10.25)-30.577)*(15.49*LN(Table2[[#This Row],[Hand Size]])-30.577))),0)</f>
        <v>10</v>
      </c>
    </row>
    <row r="7" spans="1:40">
      <c r="A7">
        <v>2018</v>
      </c>
      <c r="B7">
        <v>1</v>
      </c>
      <c r="C7" t="s">
        <v>219</v>
      </c>
      <c r="D7" t="s">
        <v>29</v>
      </c>
      <c r="E7">
        <v>6.4</v>
      </c>
      <c r="F7" t="s">
        <v>224</v>
      </c>
      <c r="G7">
        <f>SUMIFS('NFL QB Data By Year'!$Q:$Q,'NFL QB Data By Year'!$D:$D,Table2[[#This Row],[Player Name]],'NFL QB Data By Year'!$B:$B,Table2[[#This Row],[Draft Year]]+G$1)</f>
        <v>16</v>
      </c>
      <c r="H7">
        <f>SUMIFS('NFL QB Data By Year'!$P:$P,'NFL QB Data By Year'!$D:$D,Table2[[#This Row],[Player Name]],'NFL QB Data By Year'!$B:$B,Table2[[#This Row],[Draft Year]]+H$1)</f>
        <v>157.80000000000001</v>
      </c>
      <c r="I7">
        <f>SUMIFS('NFL QB Data By Year'!$Q:$Q,'NFL QB Data By Year'!$D:$D,Table2[[#This Row],[Player Name]],'NFL QB Data By Year'!$B:$B,Table2[[#This Row],[Draft Year]]+I$1)</f>
        <v>15</v>
      </c>
      <c r="J7">
        <f>SUMIFS('NFL QB Data By Year'!$P:$P,'NFL QB Data By Year'!$D:$D,Table2[[#This Row],[Player Name]],'NFL QB Data By Year'!$B:$B,Table2[[#This Row],[Draft Year]]+J$1)</f>
        <v>421.7</v>
      </c>
      <c r="K7">
        <f>SUMIFS('NFL QB Data By Year'!$Q:$Q,'NFL QB Data By Year'!$D:$D,Table2[[#This Row],[Player Name]],'NFL QB Data By Year'!$B:$B,Table2[[#This Row],[Draft Year]]+K$1)</f>
        <v>15</v>
      </c>
      <c r="L7">
        <f>SUMIFS('NFL QB Data By Year'!$P:$P,'NFL QB Data By Year'!$D:$D,Table2[[#This Row],[Player Name]],'NFL QB Data By Year'!$B:$B,Table2[[#This Row],[Draft Year]]+L$1)</f>
        <v>341.7</v>
      </c>
      <c r="M7">
        <f>Table2[[#This Row],[Year 1 G]]+Table2[[#This Row],[Year 2 G]]+Table2[[#This Row],[Year 3 G]]</f>
        <v>46</v>
      </c>
      <c r="N7">
        <f>Table2[[#This Row],[Year 1 FPTs]]+Table2[[#This Row],[Year 2 FPTs]]+Table2[[#This Row],[Year 3 FPTs]]</f>
        <v>921.2</v>
      </c>
      <c r="O7" s="7">
        <f>IFERROR(Table2[[#This Row],[Total FPTs]]/Table2[[#This Row],[Total G]],0)</f>
        <v>20.026086956521741</v>
      </c>
      <c r="P7">
        <v>2</v>
      </c>
      <c r="Q7" s="8">
        <f xml:space="preserve"> IFERROR(SUMIFS('College Data By Year'!J:J,'College Data By Year'!A:A,Table2[[#This Row],[Player Name]])/SUMIFS('College Data By Year'!L:L,'College Data By Year'!A:A,Table2[[#This Row],[Player Name]]),"")</f>
        <v>0.48287951384831135</v>
      </c>
      <c r="R7" s="11">
        <f xml:space="preserve"> IFERROR(SUMIFS('College Data By Year'!D:D,'College Data By Year'!A:A,Table2[[#This Row],[Player Name]])/SUMIFS('College Data By Year'!B:B,'College Data By Year'!A:A,Table2[[#This Row],[Player Name]]),"")</f>
        <v>6.3535911602209949E-2</v>
      </c>
      <c r="S7">
        <f>IF(SUMIFS('College Data By Year'!H:H,'College Data By Year'!A:A,Table2[[#This Row],[Player Name]])=0,"",SUMIFS('College Data By Year'!H:H,'College Data By Year'!A:A,Table2[[#This Row],[Player Name]]))</f>
        <v>142.9</v>
      </c>
      <c r="T7" s="7">
        <f>IFERROR(SUMIFS('College Data By Year'!D:D,'College Data By Year'!A:A,Table2[[#This Row],[Player Name]])/SUMIFS('College Data By Year'!E:E,'College Data By Year'!A:A,Table2[[#This Row],[Player Name]]),"")</f>
        <v>2.5555555555555554</v>
      </c>
      <c r="U7" s="7">
        <f>IFERROR(SUMIFS('College Data By Year'!B:B,'College Data By Year'!A:A,Table2[[#This Row],[Player Name]])/SUMIFS('College Data By Year'!I:I,'College Data By Year'!A:A,Table2[[#This Row],[Player Name]]),"")</f>
        <v>1.6580152671755726</v>
      </c>
      <c r="V7">
        <f>IF(SUMIFS('College Data By Year'!F:F,'College Data By Year'!A:A,Table2[[#This Row],[Player Name]])=0,"",SUMIFS('College Data By Year'!F:F,'College Data By Year'!A:A,Table2[[#This Row],[Player Name]]))</f>
        <v>8.3000000000000007</v>
      </c>
      <c r="W7">
        <f>IF(SUMIFS('College Data By Year'!G:G,'College Data By Year'!A:A,Table2[[#This Row],[Player Name]])=0,"",SUMIFS('College Data By Year'!G:G,'College Data By Year'!A:A,Table2[[#This Row],[Player Name]]))</f>
        <v>8.5</v>
      </c>
      <c r="X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5.8012636415852956E-2</v>
      </c>
      <c r="Y7">
        <v>4.34</v>
      </c>
      <c r="Z7">
        <v>9.5</v>
      </c>
      <c r="AA7" t="s">
        <v>221</v>
      </c>
      <c r="AB7">
        <v>216</v>
      </c>
      <c r="AC7">
        <v>27.7</v>
      </c>
      <c r="AD7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7">
        <f>ROUND(IF(Table2[[#This Row],[Draft Round]]=1,10,IF(Table2[[#This Row],[Draft Round]]=8,0,10/(20.884*EXP(-0.381*1))*(20.884*EXP(-0.381*Table2[[#This Row],[Draft Round]])))),0)</f>
        <v>10</v>
      </c>
      <c r="AF7">
        <f>ROUND(IF(Table2[[#This Row],[College BF Dominator]]&gt;0.3,10,IF(Table2[[#This Row],[College BF Dominator]]&lt;-0.156,0,10/(20.818*0.3+3.2667)*(20.818*Table2[[#This Row],[College BF Dominator]]+3.2667))),0)</f>
        <v>10</v>
      </c>
      <c r="AG7">
        <f>ROUND(IF(Table2[[#This Row],[College PTDR]]&gt;0.085,10,IF(Table2[[#This Row],[College PTDR]]&lt;0.04,0,10/(105.24*0.085-1.7837)*(105.24*Table2[[#This Row],[College PTDR]]-1.7837))),0)</f>
        <v>7</v>
      </c>
      <c r="AH7">
        <f>ROUND(IF(Table2[[#This Row],[College Passer Rating]]&gt;170,10,IF(Table2[[#This Row],[College Passer Rating]]&lt;112.475,0,10/(0.1495*170-16.815)*(0.1495*Table2[[#This Row],[College Passer Rating]]-16.815))),0)</f>
        <v>5</v>
      </c>
      <c r="AI7">
        <f>ROUND(IF(Table2[[#This Row],[PTD:INT]]&gt;4,10,IF(Table2[[#This Row],[PTD:INT]]&lt;1,0,10/(4.7442*LN(4)+0.4256)*(4.7442*LN(Table2[[#This Row],[PTD:INT]])+0.4256))),0)</f>
        <v>7</v>
      </c>
      <c r="AJ7">
        <f>ROUND(IF(Table2[[#This Row],[Patt:Ratt]]&lt;2.5,10,IF(Table2[[#This Row],[Patt:Ratt]]&gt;15,0,10/(-2.684*LN(2.5)+9.0869)*(-2.684*LN(Table2[[#This Row],[Patt:Ratt]])+9.0869))),0)</f>
        <v>10</v>
      </c>
      <c r="AK7">
        <f>ROUND(IF(Table2[[#This Row],[Y/A]]&gt;9.2,10,IF(Table2[[#This Row],[Y/A]]&lt;6.26,0,10/(2.2619*9.2-14.16)*(2.2619*Table2[[#This Row],[Y/A]]-14.16))),0)</f>
        <v>7</v>
      </c>
      <c r="AL7">
        <f>ROUND(IF(Table2[[#This Row],[AY/A]]&gt;10,10,IF(Table2[[#This Row],[AY/A]]&lt;5.51,0,10/(1.6571*10-9.1312)*(1.6571*Table2[[#This Row],[AY/A]]-9.1312))),0)</f>
        <v>7</v>
      </c>
      <c r="AM7">
        <f>ROUND(IF(Table2[[#This Row],[40 Yd Dash]]&lt;4.75,10,IF(Table2[[#This Row],[40 Yd Dash]]&gt;5.191,0,10/(-66.95*LN(4.75)+110.26)*(-66.95*LN(Table2[[#This Row],[40 Yd Dash]])+110.26))),0)</f>
        <v>10</v>
      </c>
      <c r="AN7">
        <f>ROUND(IF(Table2[[#This Row],[Hand Size]]&gt;10.25,10,IF(Table2[[#This Row],[Hand Size]]&lt;9,0,10/(15.49*LN(10.25)-30.577)*(15.49*LN(Table2[[#This Row],[Hand Size]])-30.577))),0)</f>
        <v>8</v>
      </c>
    </row>
    <row r="8" spans="1:40">
      <c r="A8">
        <v>2016</v>
      </c>
      <c r="B8">
        <v>1</v>
      </c>
      <c r="C8" t="s">
        <v>219</v>
      </c>
      <c r="D8" t="s">
        <v>26</v>
      </c>
      <c r="E8">
        <v>6.7</v>
      </c>
      <c r="F8" t="s">
        <v>222</v>
      </c>
      <c r="G8">
        <f>SUMIFS('NFL QB Data By Year'!$Q:$Q,'NFL QB Data By Year'!$D:$D,Table2[[#This Row],[Player Name]],'NFL QB Data By Year'!$B:$B,Table2[[#This Row],[Draft Year]]+G$1)</f>
        <v>16</v>
      </c>
      <c r="H8">
        <f>SUMIFS('NFL QB Data By Year'!$P:$P,'NFL QB Data By Year'!$D:$D,Table2[[#This Row],[Player Name]],'NFL QB Data By Year'!$B:$B,Table2[[#This Row],[Draft Year]]+H$1)</f>
        <v>213.5</v>
      </c>
      <c r="I8">
        <f>SUMIFS('NFL QB Data By Year'!$Q:$Q,'NFL QB Data By Year'!$D:$D,Table2[[#This Row],[Player Name]],'NFL QB Data By Year'!$B:$B,Table2[[#This Row],[Draft Year]]+I$1)</f>
        <v>13</v>
      </c>
      <c r="J8">
        <f>SUMIFS('NFL QB Data By Year'!$P:$P,'NFL QB Data By Year'!$D:$D,Table2[[#This Row],[Player Name]],'NFL QB Data By Year'!$B:$B,Table2[[#This Row],[Draft Year]]+J$1)</f>
        <v>283.7</v>
      </c>
      <c r="K8">
        <f>SUMIFS('NFL QB Data By Year'!$Q:$Q,'NFL QB Data By Year'!$D:$D,Table2[[#This Row],[Player Name]],'NFL QB Data By Year'!$B:$B,Table2[[#This Row],[Draft Year]]+K$1)</f>
        <v>11</v>
      </c>
      <c r="L8">
        <f>SUMIFS('NFL QB Data By Year'!$P:$P,'NFL QB Data By Year'!$D:$D,Table2[[#This Row],[Player Name]],'NFL QB Data By Year'!$B:$B,Table2[[#This Row],[Draft Year]]+L$1)</f>
        <v>192.9</v>
      </c>
      <c r="M8">
        <f>Table2[[#This Row],[Year 1 G]]+Table2[[#This Row],[Year 2 G]]+Table2[[#This Row],[Year 3 G]]</f>
        <v>40</v>
      </c>
      <c r="N8">
        <f>Table2[[#This Row],[Year 1 FPTs]]+Table2[[#This Row],[Year 2 FPTs]]+Table2[[#This Row],[Year 3 FPTs]]</f>
        <v>690.1</v>
      </c>
      <c r="O8" s="7">
        <f>IFERROR(Table2[[#This Row],[Total FPTs]]/Table2[[#This Row],[Total G]],0)</f>
        <v>17.252500000000001</v>
      </c>
      <c r="P8">
        <v>3</v>
      </c>
      <c r="Q8" s="8">
        <f xml:space="preserve"> IFERROR(SUMIFS('College Data By Year'!J:J,'College Data By Year'!A:A,Table2[[#This Row],[Player Name]])/SUMIFS('College Data By Year'!L:L,'College Data By Year'!A:A,Table2[[#This Row],[Player Name]]),"")</f>
        <v>7.2256976172067194E-2</v>
      </c>
      <c r="R8" s="11">
        <f xml:space="preserve"> IFERROR(SUMIFS('College Data By Year'!D:D,'College Data By Year'!A:A,Table2[[#This Row],[Player Name]])/SUMIFS('College Data By Year'!B:B,'College Data By Year'!A:A,Table2[[#This Row],[Player Name]]),"")</f>
        <v>7.3529411764705885E-2</v>
      </c>
      <c r="S8">
        <f>IF(SUMIFS('College Data By Year'!H:H,'College Data By Year'!A:A,Table2[[#This Row],[Player Name]])=0,"",SUMIFS('College Data By Year'!H:H,'College Data By Year'!A:A,Table2[[#This Row],[Player Name]]))</f>
        <v>153.9</v>
      </c>
      <c r="T8" s="7">
        <f>IFERROR(SUMIFS('College Data By Year'!D:D,'College Data By Year'!A:A,Table2[[#This Row],[Player Name]])/SUMIFS('College Data By Year'!E:E,'College Data By Year'!A:A,Table2[[#This Row],[Player Name]]),"")</f>
        <v>3.2142857142857144</v>
      </c>
      <c r="U8" s="7">
        <f>IFERROR(SUMIFS('College Data By Year'!B:B,'College Data By Year'!A:A,Table2[[#This Row],[Player Name]])/SUMIFS('College Data By Year'!I:I,'College Data By Year'!A:A,Table2[[#This Row],[Player Name]]),"")</f>
        <v>2.8333333333333335</v>
      </c>
      <c r="V8">
        <f>IF(SUMIFS('College Data By Year'!F:F,'College Data By Year'!A:A,Table2[[#This Row],[Player Name]])=0,"",SUMIFS('College Data By Year'!F:F,'College Data By Year'!A:A,Table2[[#This Row],[Player Name]]))</f>
        <v>8.4</v>
      </c>
      <c r="W8">
        <f>IF(SUMIFS('College Data By Year'!G:G,'College Data By Year'!A:A,Table2[[#This Row],[Player Name]])=0,"",SUMIFS('College Data By Year'!G:G,'College Data By Year'!A:A,Table2[[#This Row],[Player Name]]))</f>
        <v>8.8000000000000007</v>
      </c>
      <c r="X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3.6231884057971016E-2</v>
      </c>
      <c r="Y8">
        <v>4.7699999999999996</v>
      </c>
      <c r="Z8">
        <v>10</v>
      </c>
      <c r="AA8" t="s">
        <v>225</v>
      </c>
      <c r="AB8">
        <v>237</v>
      </c>
      <c r="AC8">
        <v>28.1</v>
      </c>
      <c r="AD8">
        <f>ROUND(IF(Table2[[#This Row],[LZ Grade]]=0,10/(9.297*7-49.141)*(9.297*5.723-49.141),IF(Table2[[#This Row],[LZ Grade]]&lt;5.285,0,IF(Table2[[#This Row],[LZ Grade]]&gt;=7,10,10/(9.297*7-49.141)*(9.297*Table2[[#This Row],[LZ Grade]]-49.141)))),0)</f>
        <v>8</v>
      </c>
      <c r="AE8">
        <f>ROUND(IF(Table2[[#This Row],[Draft Round]]=1,10,IF(Table2[[#This Row],[Draft Round]]=8,0,10/(20.884*EXP(-0.381*1))*(20.884*EXP(-0.381*Table2[[#This Row],[Draft Round]])))),0)</f>
        <v>10</v>
      </c>
      <c r="AF8">
        <f>ROUND(IF(Table2[[#This Row],[College BF Dominator]]&gt;0.3,10,IF(Table2[[#This Row],[College BF Dominator]]&lt;-0.156,0,10/(20.818*0.3+3.2667)*(20.818*Table2[[#This Row],[College BF Dominator]]+3.2667))),0)</f>
        <v>5</v>
      </c>
      <c r="AG8">
        <f>ROUND(IF(Table2[[#This Row],[College PTDR]]&gt;0.085,10,IF(Table2[[#This Row],[College PTDR]]&lt;0.04,0,10/(105.24*0.085-1.7837)*(105.24*Table2[[#This Row],[College PTDR]]-1.7837))),0)</f>
        <v>8</v>
      </c>
      <c r="AH8">
        <f>ROUND(IF(Table2[[#This Row],[College Passer Rating]]&gt;170,10,IF(Table2[[#This Row],[College Passer Rating]]&lt;112.475,0,10/(0.1495*170-16.815)*(0.1495*Table2[[#This Row],[College Passer Rating]]-16.815))),0)</f>
        <v>7</v>
      </c>
      <c r="AI8">
        <f>ROUND(IF(Table2[[#This Row],[PTD:INT]]&gt;4,10,IF(Table2[[#This Row],[PTD:INT]]&lt;1,0,10/(4.7442*LN(4)+0.4256)*(4.7442*LN(Table2[[#This Row],[PTD:INT]])+0.4256))),0)</f>
        <v>9</v>
      </c>
      <c r="AJ8">
        <f>ROUND(IF(Table2[[#This Row],[Patt:Ratt]]&lt;2.5,10,IF(Table2[[#This Row],[Patt:Ratt]]&gt;15,0,10/(-2.684*LN(2.5)+9.0869)*(-2.684*LN(Table2[[#This Row],[Patt:Ratt]])+9.0869))),0)</f>
        <v>9</v>
      </c>
      <c r="AK8">
        <f>ROUND(IF(Table2[[#This Row],[Y/A]]&gt;9.2,10,IF(Table2[[#This Row],[Y/A]]&lt;6.26,0,10/(2.2619*9.2-14.16)*(2.2619*Table2[[#This Row],[Y/A]]-14.16))),0)</f>
        <v>7</v>
      </c>
      <c r="AL8">
        <f>ROUND(IF(Table2[[#This Row],[AY/A]]&gt;10,10,IF(Table2[[#This Row],[AY/A]]&lt;5.51,0,10/(1.6571*10-9.1312)*(1.6571*Table2[[#This Row],[AY/A]]-9.1312))),0)</f>
        <v>7</v>
      </c>
      <c r="AM8">
        <f>ROUND(IF(Table2[[#This Row],[40 Yd Dash]]&lt;4.75,10,IF(Table2[[#This Row],[40 Yd Dash]]&gt;5.191,0,10/(-66.95*LN(4.75)+110.26)*(-66.95*LN(Table2[[#This Row],[40 Yd Dash]])+110.26))),0)</f>
        <v>10</v>
      </c>
      <c r="AN8">
        <f>ROUND(IF(Table2[[#This Row],[Hand Size]]&gt;10.25,10,IF(Table2[[#This Row],[Hand Size]]&lt;9,0,10/(15.49*LN(10.25)-30.577)*(15.49*LN(Table2[[#This Row],[Hand Size]])-30.577))),0)</f>
        <v>9</v>
      </c>
    </row>
    <row r="9" spans="1:40">
      <c r="A9">
        <v>2015</v>
      </c>
      <c r="B9">
        <v>1</v>
      </c>
      <c r="C9" t="s">
        <v>219</v>
      </c>
      <c r="D9" t="s">
        <v>23</v>
      </c>
      <c r="E9">
        <v>7</v>
      </c>
      <c r="F9" t="s">
        <v>226</v>
      </c>
      <c r="G9">
        <f>SUMIFS('NFL QB Data By Year'!$Q:$Q,'NFL QB Data By Year'!$D:$D,Table2[[#This Row],[Player Name]],'NFL QB Data By Year'!$B:$B,Table2[[#This Row],[Draft Year]]+G$1)</f>
        <v>16</v>
      </c>
      <c r="H9">
        <f>SUMIFS('NFL QB Data By Year'!$P:$P,'NFL QB Data By Year'!$D:$D,Table2[[#This Row],[Player Name]],'NFL QB Data By Year'!$B:$B,Table2[[#This Row],[Draft Year]]+H$1)</f>
        <v>275.2</v>
      </c>
      <c r="I9">
        <f>SUMIFS('NFL QB Data By Year'!$Q:$Q,'NFL QB Data By Year'!$D:$D,Table2[[#This Row],[Player Name]],'NFL QB Data By Year'!$B:$B,Table2[[#This Row],[Draft Year]]+I$1)</f>
        <v>16</v>
      </c>
      <c r="J9">
        <f>SUMIFS('NFL QB Data By Year'!$P:$P,'NFL QB Data By Year'!$D:$D,Table2[[#This Row],[Player Name]],'NFL QB Data By Year'!$B:$B,Table2[[#This Row],[Draft Year]]+J$1)</f>
        <v>256.5</v>
      </c>
      <c r="K9">
        <f>SUMIFS('NFL QB Data By Year'!$Q:$Q,'NFL QB Data By Year'!$D:$D,Table2[[#This Row],[Player Name]],'NFL QB Data By Year'!$B:$B,Table2[[#This Row],[Draft Year]]+K$1)</f>
        <v>13</v>
      </c>
      <c r="L9">
        <f>SUMIFS('NFL QB Data By Year'!$P:$P,'NFL QB Data By Year'!$D:$D,Table2[[#This Row],[Player Name]],'NFL QB Data By Year'!$B:$B,Table2[[#This Row],[Draft Year]]+L$1)</f>
        <v>201.8</v>
      </c>
      <c r="M9">
        <f>Table2[[#This Row],[Year 1 G]]+Table2[[#This Row],[Year 2 G]]+Table2[[#This Row],[Year 3 G]]</f>
        <v>45</v>
      </c>
      <c r="N9">
        <f>Table2[[#This Row],[Year 1 FPTs]]+Table2[[#This Row],[Year 2 FPTs]]+Table2[[#This Row],[Year 3 FPTs]]</f>
        <v>733.5</v>
      </c>
      <c r="O9" s="7">
        <f>IFERROR(Table2[[#This Row],[Total FPTs]]/Table2[[#This Row],[Total G]],0)</f>
        <v>16.3</v>
      </c>
      <c r="P9">
        <v>3</v>
      </c>
      <c r="Q9" s="8">
        <f xml:space="preserve"> IFERROR(SUMIFS('College Data By Year'!J:J,'College Data By Year'!A:A,Table2[[#This Row],[Player Name]])/SUMIFS('College Data By Year'!L:L,'College Data By Year'!A:A,Table2[[#This Row],[Player Name]]),"")</f>
        <v>5.9451538622566462E-2</v>
      </c>
      <c r="R9" s="11">
        <f xml:space="preserve"> IFERROR(SUMIFS('College Data By Year'!D:D,'College Data By Year'!A:A,Table2[[#This Row],[Player Name]])/SUMIFS('College Data By Year'!B:B,'College Data By Year'!A:A,Table2[[#This Row],[Player Name]]),"")</f>
        <v>7.6380728554641591E-2</v>
      </c>
      <c r="S9">
        <f>IF(SUMIFS('College Data By Year'!H:H,'College Data By Year'!A:A,Table2[[#This Row],[Player Name]])=0,"",SUMIFS('College Data By Year'!H:H,'College Data By Year'!A:A,Table2[[#This Row],[Player Name]]))</f>
        <v>163.30000000000001</v>
      </c>
      <c r="T9" s="7">
        <f>IFERROR(SUMIFS('College Data By Year'!D:D,'College Data By Year'!A:A,Table2[[#This Row],[Player Name]])/SUMIFS('College Data By Year'!E:E,'College Data By Year'!A:A,Table2[[#This Row],[Player Name]]),"")</f>
        <v>2.3214285714285716</v>
      </c>
      <c r="U9" s="7">
        <f>IFERROR(SUMIFS('College Data By Year'!B:B,'College Data By Year'!A:A,Table2[[#This Row],[Player Name]])/SUMIFS('College Data By Year'!I:I,'College Data By Year'!A:A,Table2[[#This Row],[Player Name]]),"")</f>
        <v>5.8689655172413797</v>
      </c>
      <c r="V9">
        <f>IF(SUMIFS('College Data By Year'!F:F,'College Data By Year'!A:A,Table2[[#This Row],[Player Name]])=0,"",SUMIFS('College Data By Year'!F:F,'College Data By Year'!A:A,Table2[[#This Row],[Player Name]]))</f>
        <v>9.4</v>
      </c>
      <c r="W9">
        <f>IF(SUMIFS('College Data By Year'!G:G,'College Data By Year'!A:A,Table2[[#This Row],[Player Name]])=0,"",SUMIFS('College Data By Year'!G:G,'College Data By Year'!A:A,Table2[[#This Row],[Player Name]]))</f>
        <v>9.4</v>
      </c>
      <c r="X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4.4176706827309238E-2</v>
      </c>
      <c r="Y9">
        <v>4.97</v>
      </c>
      <c r="Z9">
        <v>9.375</v>
      </c>
      <c r="AA9" t="s">
        <v>227</v>
      </c>
      <c r="AB9">
        <v>231</v>
      </c>
      <c r="AC9">
        <v>28.1</v>
      </c>
      <c r="AD9">
        <f>ROUND(IF(Table2[[#This Row],[LZ Grade]]=0,10/(9.297*7-49.141)*(9.297*5.723-49.141),IF(Table2[[#This Row],[LZ Grade]]&lt;5.285,0,IF(Table2[[#This Row],[LZ Grade]]&gt;=7,10,10/(9.297*7-49.141)*(9.297*Table2[[#This Row],[LZ Grade]]-49.141)))),0)</f>
        <v>10</v>
      </c>
      <c r="AE9">
        <f>ROUND(IF(Table2[[#This Row],[Draft Round]]=1,10,IF(Table2[[#This Row],[Draft Round]]=8,0,10/(20.884*EXP(-0.381*1))*(20.884*EXP(-0.381*Table2[[#This Row],[Draft Round]])))),0)</f>
        <v>10</v>
      </c>
      <c r="AF9">
        <f>ROUND(IF(Table2[[#This Row],[College BF Dominator]]&gt;0.3,10,IF(Table2[[#This Row],[College BF Dominator]]&lt;-0.156,0,10/(20.818*0.3+3.2667)*(20.818*Table2[[#This Row],[College BF Dominator]]+3.2667))),0)</f>
        <v>5</v>
      </c>
      <c r="AG9">
        <f>ROUND(IF(Table2[[#This Row],[College PTDR]]&gt;0.085,10,IF(Table2[[#This Row],[College PTDR]]&lt;0.04,0,10/(105.24*0.085-1.7837)*(105.24*Table2[[#This Row],[College PTDR]]-1.7837))),0)</f>
        <v>9</v>
      </c>
      <c r="AH9">
        <f>ROUND(IF(Table2[[#This Row],[College Passer Rating]]&gt;170,10,IF(Table2[[#This Row],[College Passer Rating]]&lt;112.475,0,10/(0.1495*170-16.815)*(0.1495*Table2[[#This Row],[College Passer Rating]]-16.815))),0)</f>
        <v>9</v>
      </c>
      <c r="AI9">
        <f>ROUND(IF(Table2[[#This Row],[PTD:INT]]&gt;4,10,IF(Table2[[#This Row],[PTD:INT]]&lt;1,0,10/(4.7442*LN(4)+0.4256)*(4.7442*LN(Table2[[#This Row],[PTD:INT]])+0.4256))),0)</f>
        <v>6</v>
      </c>
      <c r="AJ9">
        <f>ROUND(IF(Table2[[#This Row],[Patt:Ratt]]&lt;2.5,10,IF(Table2[[#This Row],[Patt:Ratt]]&gt;15,0,10/(-2.684*LN(2.5)+9.0869)*(-2.684*LN(Table2[[#This Row],[Patt:Ratt]])+9.0869))),0)</f>
        <v>7</v>
      </c>
      <c r="AK9">
        <f>ROUND(IF(Table2[[#This Row],[Y/A]]&gt;9.2,10,IF(Table2[[#This Row],[Y/A]]&lt;6.26,0,10/(2.2619*9.2-14.16)*(2.2619*Table2[[#This Row],[Y/A]]-14.16))),0)</f>
        <v>10</v>
      </c>
      <c r="AL9">
        <f>ROUND(IF(Table2[[#This Row],[AY/A]]&gt;10,10,IF(Table2[[#This Row],[AY/A]]&lt;5.51,0,10/(1.6571*10-9.1312)*(1.6571*Table2[[#This Row],[AY/A]]-9.1312))),0)</f>
        <v>9</v>
      </c>
      <c r="AM9">
        <f>ROUND(IF(Table2[[#This Row],[40 Yd Dash]]&lt;4.75,10,IF(Table2[[#This Row],[40 Yd Dash]]&gt;5.191,0,10/(-66.95*LN(4.75)+110.26)*(-66.95*LN(Table2[[#This Row],[40 Yd Dash]])+110.26))),0)</f>
        <v>5</v>
      </c>
      <c r="AN9">
        <f>ROUND(IF(Table2[[#This Row],[Hand Size]]&gt;10.25,10,IF(Table2[[#This Row],[Hand Size]]&lt;9,0,10/(15.49*LN(10.25)-30.577)*(15.49*LN(Table2[[#This Row],[Hand Size]])-30.577))),0)</f>
        <v>7</v>
      </c>
    </row>
    <row r="10" spans="1:40">
      <c r="A10">
        <v>2016</v>
      </c>
      <c r="B10">
        <v>1</v>
      </c>
      <c r="C10" t="s">
        <v>219</v>
      </c>
      <c r="D10" t="s">
        <v>27</v>
      </c>
      <c r="E10">
        <v>7</v>
      </c>
      <c r="F10" t="s">
        <v>226</v>
      </c>
      <c r="G10">
        <f>SUMIFS('NFL QB Data By Year'!$Q:$Q,'NFL QB Data By Year'!$D:$D,Table2[[#This Row],[Player Name]],'NFL QB Data By Year'!$B:$B,Table2[[#This Row],[Draft Year]]+G$1)</f>
        <v>7</v>
      </c>
      <c r="H10">
        <f>SUMIFS('NFL QB Data By Year'!$P:$P,'NFL QB Data By Year'!$D:$D,Table2[[#This Row],[Player Name]],'NFL QB Data By Year'!$B:$B,Table2[[#This Row],[Draft Year]]+H$1)</f>
        <v>53.2</v>
      </c>
      <c r="I10">
        <f>SUMIFS('NFL QB Data By Year'!$Q:$Q,'NFL QB Data By Year'!$D:$D,Table2[[#This Row],[Player Name]],'NFL QB Data By Year'!$B:$B,Table2[[#This Row],[Draft Year]]+I$1)</f>
        <v>15</v>
      </c>
      <c r="J10">
        <f>SUMIFS('NFL QB Data By Year'!$P:$P,'NFL QB Data By Year'!$D:$D,Table2[[#This Row],[Player Name]],'NFL QB Data By Year'!$B:$B,Table2[[#This Row],[Draft Year]]+J$1)</f>
        <v>255.5</v>
      </c>
      <c r="K10">
        <f>SUMIFS('NFL QB Data By Year'!$Q:$Q,'NFL QB Data By Year'!$D:$D,Table2[[#This Row],[Player Name]],'NFL QB Data By Year'!$B:$B,Table2[[#This Row],[Draft Year]]+K$1)</f>
        <v>16</v>
      </c>
      <c r="L10">
        <f>SUMIFS('NFL QB Data By Year'!$P:$P,'NFL QB Data By Year'!$D:$D,Table2[[#This Row],[Player Name]],'NFL QB Data By Year'!$B:$B,Table2[[#This Row],[Draft Year]]+L$1)</f>
        <v>310.3</v>
      </c>
      <c r="M10">
        <f>Table2[[#This Row],[Year 1 G]]+Table2[[#This Row],[Year 2 G]]+Table2[[#This Row],[Year 3 G]]</f>
        <v>38</v>
      </c>
      <c r="N10">
        <f>Table2[[#This Row],[Year 1 FPTs]]+Table2[[#This Row],[Year 2 FPTs]]+Table2[[#This Row],[Year 3 FPTs]]</f>
        <v>619</v>
      </c>
      <c r="O10" s="7">
        <f>IFERROR(Table2[[#This Row],[Total FPTs]]/Table2[[#This Row],[Total G]],0)</f>
        <v>16.289473684210527</v>
      </c>
      <c r="P10">
        <v>3</v>
      </c>
      <c r="Q10" s="8">
        <f xml:space="preserve"> IFERROR(SUMIFS('College Data By Year'!J:J,'College Data By Year'!A:A,Table2[[#This Row],[Player Name]])/SUMIFS('College Data By Year'!L:L,'College Data By Year'!A:A,Table2[[#This Row],[Player Name]]),"")</f>
        <v>-2.1868405908306156E-2</v>
      </c>
      <c r="R10" s="11">
        <f xml:space="preserve"> IFERROR(SUMIFS('College Data By Year'!D:D,'College Data By Year'!A:A,Table2[[#This Row],[Player Name]])/SUMIFS('College Data By Year'!B:B,'College Data By Year'!A:A,Table2[[#This Row],[Player Name]]),"")</f>
        <v>6.1224489795918366E-2</v>
      </c>
      <c r="S10">
        <f>IF(SUMIFS('College Data By Year'!H:H,'College Data By Year'!A:A,Table2[[#This Row],[Player Name]])=0,"",SUMIFS('College Data By Year'!H:H,'College Data By Year'!A:A,Table2[[#This Row],[Player Name]]))</f>
        <v>144</v>
      </c>
      <c r="T10" s="7">
        <f>IFERROR(SUMIFS('College Data By Year'!D:D,'College Data By Year'!A:A,Table2[[#This Row],[Player Name]])/SUMIFS('College Data By Year'!E:E,'College Data By Year'!A:A,Table2[[#This Row],[Player Name]]),"")</f>
        <v>3.2</v>
      </c>
      <c r="U10" s="7">
        <f>IFERROR(SUMIFS('College Data By Year'!B:B,'College Data By Year'!A:A,Table2[[#This Row],[Player Name]])/SUMIFS('College Data By Year'!I:I,'College Data By Year'!A:A,Table2[[#This Row],[Player Name]]),"")</f>
        <v>9.2235294117647051</v>
      </c>
      <c r="V10">
        <f>IF(SUMIFS('College Data By Year'!F:F,'College Data By Year'!A:A,Table2[[#This Row],[Player Name]])=0,"",SUMIFS('College Data By Year'!F:F,'College Data By Year'!A:A,Table2[[#This Row],[Player Name]]))</f>
        <v>7.8</v>
      </c>
      <c r="W10">
        <f>IF(SUMIFS('College Data By Year'!G:G,'College Data By Year'!A:A,Table2[[#This Row],[Player Name]])=0,"",SUMIFS('College Data By Year'!G:G,'College Data By Year'!A:A,Table2[[#This Row],[Player Name]]))</f>
        <v>8.1</v>
      </c>
      <c r="X1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4.8331415420023012E-2</v>
      </c>
      <c r="Y10">
        <v>4.82</v>
      </c>
      <c r="Z10">
        <v>9</v>
      </c>
      <c r="AA10" t="s">
        <v>227</v>
      </c>
      <c r="AB10">
        <v>215</v>
      </c>
      <c r="AC10">
        <v>26.2</v>
      </c>
      <c r="AD10">
        <f>ROUND(IF(Table2[[#This Row],[LZ Grade]]=0,10/(9.297*7-49.141)*(9.297*5.723-49.141),IF(Table2[[#This Row],[LZ Grade]]&lt;5.285,0,IF(Table2[[#This Row],[LZ Grade]]&gt;=7,10,10/(9.297*7-49.141)*(9.297*Table2[[#This Row],[LZ Grade]]-49.141)))),0)</f>
        <v>10</v>
      </c>
      <c r="AE10">
        <f>ROUND(IF(Table2[[#This Row],[Draft Round]]=1,10,IF(Table2[[#This Row],[Draft Round]]=8,0,10/(20.884*EXP(-0.381*1))*(20.884*EXP(-0.381*Table2[[#This Row],[Draft Round]])))),0)</f>
        <v>10</v>
      </c>
      <c r="AF10">
        <f>ROUND(IF(Table2[[#This Row],[College BF Dominator]]&gt;0.3,10,IF(Table2[[#This Row],[College BF Dominator]]&lt;-0.156,0,10/(20.818*0.3+3.2667)*(20.818*Table2[[#This Row],[College BF Dominator]]+3.2667))),0)</f>
        <v>3</v>
      </c>
      <c r="AG10">
        <f>ROUND(IF(Table2[[#This Row],[College PTDR]]&gt;0.085,10,IF(Table2[[#This Row],[College PTDR]]&lt;0.04,0,10/(105.24*0.085-1.7837)*(105.24*Table2[[#This Row],[College PTDR]]-1.7837))),0)</f>
        <v>7</v>
      </c>
      <c r="AH10">
        <f>ROUND(IF(Table2[[#This Row],[College Passer Rating]]&gt;170,10,IF(Table2[[#This Row],[College Passer Rating]]&lt;112.475,0,10/(0.1495*170-16.815)*(0.1495*Table2[[#This Row],[College Passer Rating]]-16.815))),0)</f>
        <v>5</v>
      </c>
      <c r="AI10">
        <f>ROUND(IF(Table2[[#This Row],[PTD:INT]]&gt;4,10,IF(Table2[[#This Row],[PTD:INT]]&lt;1,0,10/(4.7442*LN(4)+0.4256)*(4.7442*LN(Table2[[#This Row],[PTD:INT]])+0.4256))),0)</f>
        <v>8</v>
      </c>
      <c r="AJ10">
        <f>ROUND(IF(Table2[[#This Row],[Patt:Ratt]]&lt;2.5,10,IF(Table2[[#This Row],[Patt:Ratt]]&gt;15,0,10/(-2.684*LN(2.5)+9.0869)*(-2.684*LN(Table2[[#This Row],[Patt:Ratt]])+9.0869))),0)</f>
        <v>5</v>
      </c>
      <c r="AK10">
        <f>ROUND(IF(Table2[[#This Row],[Y/A]]&gt;9.2,10,IF(Table2[[#This Row],[Y/A]]&lt;6.26,0,10/(2.2619*9.2-14.16)*(2.2619*Table2[[#This Row],[Y/A]]-14.16))),0)</f>
        <v>5</v>
      </c>
      <c r="AL10">
        <f>ROUND(IF(Table2[[#This Row],[AY/A]]&gt;10,10,IF(Table2[[#This Row],[AY/A]]&lt;5.51,0,10/(1.6571*10-9.1312)*(1.6571*Table2[[#This Row],[AY/A]]-9.1312))),0)</f>
        <v>6</v>
      </c>
      <c r="AM10">
        <f>ROUND(IF(Table2[[#This Row],[40 Yd Dash]]&lt;4.75,10,IF(Table2[[#This Row],[40 Yd Dash]]&gt;5.191,0,10/(-66.95*LN(4.75)+110.26)*(-66.95*LN(Table2[[#This Row],[40 Yd Dash]])+110.26))),0)</f>
        <v>8</v>
      </c>
      <c r="AN10">
        <f>ROUND(IF(Table2[[#This Row],[Hand Size]]&gt;10.25,10,IF(Table2[[#This Row],[Hand Size]]&lt;9,0,10/(15.49*LN(10.25)-30.577)*(15.49*LN(Table2[[#This Row],[Hand Size]])-30.577))),0)</f>
        <v>6</v>
      </c>
    </row>
    <row r="11" spans="1:40">
      <c r="A11">
        <v>2015</v>
      </c>
      <c r="B11">
        <v>1</v>
      </c>
      <c r="C11" t="s">
        <v>219</v>
      </c>
      <c r="D11" t="s">
        <v>19</v>
      </c>
      <c r="E11">
        <v>6.8</v>
      </c>
      <c r="F11" t="s">
        <v>222</v>
      </c>
      <c r="G11">
        <f>SUMIFS('NFL QB Data By Year'!$Q:$Q,'NFL QB Data By Year'!$D:$D,Table2[[#This Row],[Player Name]],'NFL QB Data By Year'!$B:$B,Table2[[#This Row],[Draft Year]]+G$1)</f>
        <v>12</v>
      </c>
      <c r="H11">
        <f>SUMIFS('NFL QB Data By Year'!$P:$P,'NFL QB Data By Year'!$D:$D,Table2[[#This Row],[Player Name]],'NFL QB Data By Year'!$B:$B,Table2[[#This Row],[Draft Year]]+H$1)</f>
        <v>210.6</v>
      </c>
      <c r="I11">
        <f>SUMIFS('NFL QB Data By Year'!$Q:$Q,'NFL QB Data By Year'!$D:$D,Table2[[#This Row],[Player Name]],'NFL QB Data By Year'!$B:$B,Table2[[#This Row],[Draft Year]]+I$1)</f>
        <v>15</v>
      </c>
      <c r="J11">
        <f>SUMIFS('NFL QB Data By Year'!$P:$P,'NFL QB Data By Year'!$D:$D,Table2[[#This Row],[Player Name]],'NFL QB Data By Year'!$B:$B,Table2[[#This Row],[Draft Year]]+J$1)</f>
        <v>260.7</v>
      </c>
      <c r="K11">
        <f>SUMIFS('NFL QB Data By Year'!$Q:$Q,'NFL QB Data By Year'!$D:$D,Table2[[#This Row],[Player Name]],'NFL QB Data By Year'!$B:$B,Table2[[#This Row],[Draft Year]]+K$1)</f>
        <v>15</v>
      </c>
      <c r="L11">
        <f>SUMIFS('NFL QB Data By Year'!$P:$P,'NFL QB Data By Year'!$D:$D,Table2[[#This Row],[Player Name]],'NFL QB Data By Year'!$B:$B,Table2[[#This Row],[Draft Year]]+L$1)</f>
        <v>210.4</v>
      </c>
      <c r="M11">
        <f>Table2[[#This Row],[Year 1 G]]+Table2[[#This Row],[Year 2 G]]+Table2[[#This Row],[Year 3 G]]</f>
        <v>42</v>
      </c>
      <c r="N11">
        <f>Table2[[#This Row],[Year 1 FPTs]]+Table2[[#This Row],[Year 2 FPTs]]+Table2[[#This Row],[Year 3 FPTs]]</f>
        <v>681.69999999999993</v>
      </c>
      <c r="O11" s="7">
        <f>IFERROR(Table2[[#This Row],[Total FPTs]]/Table2[[#This Row],[Total G]],0)</f>
        <v>16.230952380952381</v>
      </c>
      <c r="P11">
        <v>3</v>
      </c>
      <c r="Q11" s="8">
        <f xml:space="preserve"> IFERROR(SUMIFS('College Data By Year'!J:J,'College Data By Year'!A:A,Table2[[#This Row],[Player Name]])/SUMIFS('College Data By Year'!L:L,'College Data By Year'!A:A,Table2[[#This Row],[Player Name]]),"")</f>
        <v>0.20023272466881489</v>
      </c>
      <c r="R11" s="11">
        <f xml:space="preserve"> IFERROR(SUMIFS('College Data By Year'!D:D,'College Data By Year'!A:A,Table2[[#This Row],[Player Name]])/SUMIFS('College Data By Year'!B:B,'College Data By Year'!A:A,Table2[[#This Row],[Player Name]]),"")</f>
        <v>8.9974293059125965E-2</v>
      </c>
      <c r="S11">
        <f>IF(SUMIFS('College Data By Year'!H:H,'College Data By Year'!A:A,Table2[[#This Row],[Player Name]])=0,"",SUMIFS('College Data By Year'!H:H,'College Data By Year'!A:A,Table2[[#This Row],[Player Name]]))</f>
        <v>171.8</v>
      </c>
      <c r="T11" s="7">
        <f>IFERROR(SUMIFS('College Data By Year'!D:D,'College Data By Year'!A:A,Table2[[#This Row],[Player Name]])/SUMIFS('College Data By Year'!E:E,'College Data By Year'!A:A,Table2[[#This Row],[Player Name]]),"")</f>
        <v>7.5</v>
      </c>
      <c r="U11" s="7">
        <f>IFERROR(SUMIFS('College Data By Year'!B:B,'College Data By Year'!A:A,Table2[[#This Row],[Player Name]])/SUMIFS('College Data By Year'!I:I,'College Data By Year'!A:A,Table2[[#This Row],[Player Name]]),"")</f>
        <v>3.4629080118694362</v>
      </c>
      <c r="V11">
        <f>IF(SUMIFS('College Data By Year'!F:F,'College Data By Year'!A:A,Table2[[#This Row],[Player Name]])=0,"",SUMIFS('College Data By Year'!F:F,'College Data By Year'!A:A,Table2[[#This Row],[Player Name]]))</f>
        <v>9.3000000000000007</v>
      </c>
      <c r="W11">
        <f>IF(SUMIFS('College Data By Year'!G:G,'College Data By Year'!A:A,Table2[[#This Row],[Player Name]])=0,"",SUMIFS('College Data By Year'!G:G,'College Data By Year'!A:A,Table2[[#This Row],[Player Name]]))</f>
        <v>10.5</v>
      </c>
      <c r="X1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4.3882978723404256E-2</v>
      </c>
      <c r="Y11">
        <v>4.5199999999999996</v>
      </c>
      <c r="Z11">
        <v>9.875</v>
      </c>
      <c r="AA11" t="s">
        <v>227</v>
      </c>
      <c r="AB11">
        <v>222</v>
      </c>
      <c r="AC11">
        <v>27</v>
      </c>
      <c r="AD11">
        <f>ROUND(IF(Table2[[#This Row],[LZ Grade]]=0,10/(9.297*7-49.141)*(9.297*5.723-49.141),IF(Table2[[#This Row],[LZ Grade]]&lt;5.285,0,IF(Table2[[#This Row],[LZ Grade]]&gt;=7,10,10/(9.297*7-49.141)*(9.297*Table2[[#This Row],[LZ Grade]]-49.141)))),0)</f>
        <v>9</v>
      </c>
      <c r="AE11">
        <f>ROUND(IF(Table2[[#This Row],[Draft Round]]=1,10,IF(Table2[[#This Row],[Draft Round]]=8,0,10/(20.884*EXP(-0.381*1))*(20.884*EXP(-0.381*Table2[[#This Row],[Draft Round]])))),0)</f>
        <v>10</v>
      </c>
      <c r="AF11">
        <f>ROUND(IF(Table2[[#This Row],[College BF Dominator]]&gt;0.3,10,IF(Table2[[#This Row],[College BF Dominator]]&lt;-0.156,0,10/(20.818*0.3+3.2667)*(20.818*Table2[[#This Row],[College BF Dominator]]+3.2667))),0)</f>
        <v>8</v>
      </c>
      <c r="AG11">
        <f>ROUND(IF(Table2[[#This Row],[College PTDR]]&gt;0.085,10,IF(Table2[[#This Row],[College PTDR]]&lt;0.04,0,10/(105.24*0.085-1.7837)*(105.24*Table2[[#This Row],[College PTDR]]-1.7837))),0)</f>
        <v>10</v>
      </c>
      <c r="AH11">
        <f>ROUND(IF(Table2[[#This Row],[College Passer Rating]]&gt;170,10,IF(Table2[[#This Row],[College Passer Rating]]&lt;112.475,0,10/(0.1495*170-16.815)*(0.1495*Table2[[#This Row],[College Passer Rating]]-16.815))),0)</f>
        <v>10</v>
      </c>
      <c r="AI11">
        <f>ROUND(IF(Table2[[#This Row],[PTD:INT]]&gt;4,10,IF(Table2[[#This Row],[PTD:INT]]&lt;1,0,10/(4.7442*LN(4)+0.4256)*(4.7442*LN(Table2[[#This Row],[PTD:INT]])+0.4256))),0)</f>
        <v>10</v>
      </c>
      <c r="AJ11">
        <f>ROUND(IF(Table2[[#This Row],[Patt:Ratt]]&lt;2.5,10,IF(Table2[[#This Row],[Patt:Ratt]]&gt;15,0,10/(-2.684*LN(2.5)+9.0869)*(-2.684*LN(Table2[[#This Row],[Patt:Ratt]])+9.0869))),0)</f>
        <v>9</v>
      </c>
      <c r="AK11">
        <f>ROUND(IF(Table2[[#This Row],[Y/A]]&gt;9.2,10,IF(Table2[[#This Row],[Y/A]]&lt;6.26,0,10/(2.2619*9.2-14.16)*(2.2619*Table2[[#This Row],[Y/A]]-14.16))),0)</f>
        <v>10</v>
      </c>
      <c r="AL11">
        <f>ROUND(IF(Table2[[#This Row],[AY/A]]&gt;10,10,IF(Table2[[#This Row],[AY/A]]&lt;5.51,0,10/(1.6571*10-9.1312)*(1.6571*Table2[[#This Row],[AY/A]]-9.1312))),0)</f>
        <v>10</v>
      </c>
      <c r="AM11">
        <f>ROUND(IF(Table2[[#This Row],[40 Yd Dash]]&lt;4.75,10,IF(Table2[[#This Row],[40 Yd Dash]]&gt;5.191,0,10/(-66.95*LN(4.75)+110.26)*(-66.95*LN(Table2[[#This Row],[40 Yd Dash]])+110.26))),0)</f>
        <v>10</v>
      </c>
      <c r="AN11">
        <f>ROUND(IF(Table2[[#This Row],[Hand Size]]&gt;10.25,10,IF(Table2[[#This Row],[Hand Size]]&lt;9,0,10/(15.49*LN(10.25)-30.577)*(15.49*LN(Table2[[#This Row],[Hand Size]])-30.577))),0)</f>
        <v>9</v>
      </c>
    </row>
    <row r="12" spans="1:40">
      <c r="A12">
        <v>2018</v>
      </c>
      <c r="B12">
        <v>1</v>
      </c>
      <c r="C12" t="s">
        <v>219</v>
      </c>
      <c r="D12" t="s">
        <v>24</v>
      </c>
      <c r="E12">
        <v>6.7</v>
      </c>
      <c r="F12" t="s">
        <v>222</v>
      </c>
      <c r="G12">
        <f>SUMIFS('NFL QB Data By Year'!$Q:$Q,'NFL QB Data By Year'!$D:$D,Table2[[#This Row],[Player Name]],'NFL QB Data By Year'!$B:$B,Table2[[#This Row],[Draft Year]]+G$1)</f>
        <v>14</v>
      </c>
      <c r="H12">
        <f>SUMIFS('NFL QB Data By Year'!$P:$P,'NFL QB Data By Year'!$D:$D,Table2[[#This Row],[Player Name]],'NFL QB Data By Year'!$B:$B,Table2[[#This Row],[Draft Year]]+H$1)</f>
        <v>240</v>
      </c>
      <c r="I12">
        <f>SUMIFS('NFL QB Data By Year'!$Q:$Q,'NFL QB Data By Year'!$D:$D,Table2[[#This Row],[Player Name]],'NFL QB Data By Year'!$B:$B,Table2[[#This Row],[Draft Year]]+I$1)</f>
        <v>16</v>
      </c>
      <c r="J12">
        <f>SUMIFS('NFL QB Data By Year'!$P:$P,'NFL QB Data By Year'!$D:$D,Table2[[#This Row],[Player Name]],'NFL QB Data By Year'!$B:$B,Table2[[#This Row],[Draft Year]]+J$1)</f>
        <v>250.3</v>
      </c>
      <c r="K12">
        <f>SUMIFS('NFL QB Data By Year'!$Q:$Q,'NFL QB Data By Year'!$D:$D,Table2[[#This Row],[Player Name]],'NFL QB Data By Year'!$B:$B,Table2[[#This Row],[Draft Year]]+K$1)</f>
        <v>16</v>
      </c>
      <c r="L12">
        <f>SUMIFS('NFL QB Data By Year'!$P:$P,'NFL QB Data By Year'!$D:$D,Table2[[#This Row],[Player Name]],'NFL QB Data By Year'!$B:$B,Table2[[#This Row],[Draft Year]]+L$1)</f>
        <v>256.3</v>
      </c>
      <c r="M12">
        <f>Table2[[#This Row],[Year 1 G]]+Table2[[#This Row],[Year 2 G]]+Table2[[#This Row],[Year 3 G]]</f>
        <v>46</v>
      </c>
      <c r="N12">
        <f>Table2[[#This Row],[Year 1 FPTs]]+Table2[[#This Row],[Year 2 FPTs]]+Table2[[#This Row],[Year 3 FPTs]]</f>
        <v>746.6</v>
      </c>
      <c r="O12" s="7">
        <f>IFERROR(Table2[[#This Row],[Total FPTs]]/Table2[[#This Row],[Total G]],0)</f>
        <v>16.230434782608697</v>
      </c>
      <c r="P12">
        <v>3</v>
      </c>
      <c r="Q12" s="8">
        <f xml:space="preserve"> IFERROR(SUMIFS('College Data By Year'!J:J,'College Data By Year'!A:A,Table2[[#This Row],[Player Name]])/SUMIFS('College Data By Year'!L:L,'College Data By Year'!A:A,Table2[[#This Row],[Player Name]]),"")</f>
        <v>0.10265402843601895</v>
      </c>
      <c r="R12" s="11">
        <f xml:space="preserve"> IFERROR(SUMIFS('College Data By Year'!D:D,'College Data By Year'!A:A,Table2[[#This Row],[Player Name]])/SUMIFS('College Data By Year'!B:B,'College Data By Year'!A:A,Table2[[#This Row],[Player Name]]),"")</f>
        <v>8.7508350033400129E-2</v>
      </c>
      <c r="S12">
        <f>IF(SUMIFS('College Data By Year'!H:H,'College Data By Year'!A:A,Table2[[#This Row],[Player Name]])=0,"",SUMIFS('College Data By Year'!H:H,'College Data By Year'!A:A,Table2[[#This Row],[Player Name]]))</f>
        <v>175.4</v>
      </c>
      <c r="T12" s="7">
        <f>IFERROR(SUMIFS('College Data By Year'!D:D,'College Data By Year'!A:A,Table2[[#This Row],[Player Name]])/SUMIFS('College Data By Year'!E:E,'College Data By Year'!A:A,Table2[[#This Row],[Player Name]]),"")</f>
        <v>4.3666666666666663</v>
      </c>
      <c r="U12" s="7">
        <f>IFERROR(SUMIFS('College Data By Year'!B:B,'College Data By Year'!A:A,Table2[[#This Row],[Player Name]])/SUMIFS('College Data By Year'!I:I,'College Data By Year'!A:A,Table2[[#This Row],[Player Name]]),"")</f>
        <v>3.7054455445544554</v>
      </c>
      <c r="V12">
        <f>IF(SUMIFS('College Data By Year'!F:F,'College Data By Year'!A:A,Table2[[#This Row],[Player Name]])=0,"",SUMIFS('College Data By Year'!F:F,'College Data By Year'!A:A,Table2[[#This Row],[Player Name]]))</f>
        <v>9.8000000000000007</v>
      </c>
      <c r="W12">
        <f>IF(SUMIFS('College Data By Year'!G:G,'College Data By Year'!A:A,Table2[[#This Row],[Player Name]])=0,"",SUMIFS('College Data By Year'!G:G,'College Data By Year'!A:A,Table2[[#This Row],[Player Name]]))</f>
        <v>10.6</v>
      </c>
      <c r="X1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5.6286165176223042E-2</v>
      </c>
      <c r="Y12">
        <v>4.84</v>
      </c>
      <c r="Z12">
        <v>9.25</v>
      </c>
      <c r="AA12" t="s">
        <v>228</v>
      </c>
      <c r="AB12">
        <v>215</v>
      </c>
      <c r="AC12">
        <v>28.4</v>
      </c>
      <c r="AD12">
        <f>ROUND(IF(Table2[[#This Row],[LZ Grade]]=0,10/(9.297*7-49.141)*(9.297*5.723-49.141),IF(Table2[[#This Row],[LZ Grade]]&lt;5.285,0,IF(Table2[[#This Row],[LZ Grade]]&gt;=7,10,10/(9.297*7-49.141)*(9.297*Table2[[#This Row],[LZ Grade]]-49.141)))),0)</f>
        <v>8</v>
      </c>
      <c r="AE12">
        <f>ROUND(IF(Table2[[#This Row],[Draft Round]]=1,10,IF(Table2[[#This Row],[Draft Round]]=8,0,10/(20.884*EXP(-0.381*1))*(20.884*EXP(-0.381*Table2[[#This Row],[Draft Round]])))),0)</f>
        <v>10</v>
      </c>
      <c r="AF12">
        <f>ROUND(IF(Table2[[#This Row],[College BF Dominator]]&gt;0.3,10,IF(Table2[[#This Row],[College BF Dominator]]&lt;-0.156,0,10/(20.818*0.3+3.2667)*(20.818*Table2[[#This Row],[College BF Dominator]]+3.2667))),0)</f>
        <v>6</v>
      </c>
      <c r="AG12">
        <f>ROUND(IF(Table2[[#This Row],[College PTDR]]&gt;0.085,10,IF(Table2[[#This Row],[College PTDR]]&lt;0.04,0,10/(105.24*0.085-1.7837)*(105.24*Table2[[#This Row],[College PTDR]]-1.7837))),0)</f>
        <v>10</v>
      </c>
      <c r="AH12">
        <f>ROUND(IF(Table2[[#This Row],[College Passer Rating]]&gt;170,10,IF(Table2[[#This Row],[College Passer Rating]]&lt;112.475,0,10/(0.1495*170-16.815)*(0.1495*Table2[[#This Row],[College Passer Rating]]-16.815))),0)</f>
        <v>10</v>
      </c>
      <c r="AI12">
        <f>ROUND(IF(Table2[[#This Row],[PTD:INT]]&gt;4,10,IF(Table2[[#This Row],[PTD:INT]]&lt;1,0,10/(4.7442*LN(4)+0.4256)*(4.7442*LN(Table2[[#This Row],[PTD:INT]])+0.4256))),0)</f>
        <v>10</v>
      </c>
      <c r="AJ12">
        <f>ROUND(IF(Table2[[#This Row],[Patt:Ratt]]&lt;2.5,10,IF(Table2[[#This Row],[Patt:Ratt]]&gt;15,0,10/(-2.684*LN(2.5)+9.0869)*(-2.684*LN(Table2[[#This Row],[Patt:Ratt]])+9.0869))),0)</f>
        <v>8</v>
      </c>
      <c r="AK12">
        <f>ROUND(IF(Table2[[#This Row],[Y/A]]&gt;9.2,10,IF(Table2[[#This Row],[Y/A]]&lt;6.26,0,10/(2.2619*9.2-14.16)*(2.2619*Table2[[#This Row],[Y/A]]-14.16))),0)</f>
        <v>10</v>
      </c>
      <c r="AL12">
        <f>ROUND(IF(Table2[[#This Row],[AY/A]]&gt;10,10,IF(Table2[[#This Row],[AY/A]]&lt;5.51,0,10/(1.6571*10-9.1312)*(1.6571*Table2[[#This Row],[AY/A]]-9.1312))),0)</f>
        <v>10</v>
      </c>
      <c r="AM12">
        <f>ROUND(IF(Table2[[#This Row],[40 Yd Dash]]&lt;4.75,10,IF(Table2[[#This Row],[40 Yd Dash]]&gt;5.191,0,10/(-66.95*LN(4.75)+110.26)*(-66.95*LN(Table2[[#This Row],[40 Yd Dash]])+110.26))),0)</f>
        <v>8</v>
      </c>
      <c r="AN12">
        <f>ROUND(IF(Table2[[#This Row],[Hand Size]]&gt;10.25,10,IF(Table2[[#This Row],[Hand Size]]&lt;9,0,10/(15.49*LN(10.25)-30.577)*(15.49*LN(Table2[[#This Row],[Hand Size]])-30.577))),0)</f>
        <v>7</v>
      </c>
    </row>
    <row r="13" spans="1:40">
      <c r="A13">
        <v>2019</v>
      </c>
      <c r="B13">
        <v>1</v>
      </c>
      <c r="C13" t="s">
        <v>219</v>
      </c>
      <c r="D13" t="s">
        <v>39</v>
      </c>
      <c r="E13">
        <v>6.3</v>
      </c>
      <c r="F13" t="s">
        <v>220</v>
      </c>
      <c r="G13">
        <f>SUMIFS('NFL QB Data By Year'!$Q:$Q,'NFL QB Data By Year'!$D:$D,Table2[[#This Row],[Player Name]],'NFL QB Data By Year'!$B:$B,Table2[[#This Row],[Draft Year]]+G$1)</f>
        <v>13</v>
      </c>
      <c r="H13">
        <f>SUMIFS('NFL QB Data By Year'!$P:$P,'NFL QB Data By Year'!$D:$D,Table2[[#This Row],[Player Name]],'NFL QB Data By Year'!$B:$B,Table2[[#This Row],[Draft Year]]+H$1)</f>
        <v>226.9</v>
      </c>
      <c r="I13">
        <f>SUMIFS('NFL QB Data By Year'!$Q:$Q,'NFL QB Data By Year'!$D:$D,Table2[[#This Row],[Player Name]],'NFL QB Data By Year'!$B:$B,Table2[[#This Row],[Draft Year]]+I$1)</f>
        <v>14</v>
      </c>
      <c r="J13">
        <f>SUMIFS('NFL QB Data By Year'!$P:$P,'NFL QB Data By Year'!$D:$D,Table2[[#This Row],[Player Name]],'NFL QB Data By Year'!$B:$B,Table2[[#This Row],[Draft Year]]+J$1)</f>
        <v>190.2</v>
      </c>
      <c r="K13">
        <f>SUMIFS('NFL QB Data By Year'!$Q:$Q,'NFL QB Data By Year'!$D:$D,Table2[[#This Row],[Player Name]],'NFL QB Data By Year'!$B:$B,Table2[[#This Row],[Draft Year]]+K$1)</f>
        <v>11</v>
      </c>
      <c r="L13">
        <f>SUMIFS('NFL QB Data By Year'!$P:$P,'NFL QB Data By Year'!$D:$D,Table2[[#This Row],[Player Name]],'NFL QB Data By Year'!$B:$B,Table2[[#This Row],[Draft Year]]+L$1)</f>
        <v>174.1</v>
      </c>
      <c r="M13">
        <f>Table2[[#This Row],[Year 1 G]]+Table2[[#This Row],[Year 2 G]]+Table2[[#This Row],[Year 3 G]]</f>
        <v>38</v>
      </c>
      <c r="N13">
        <f>Table2[[#This Row],[Year 1 FPTs]]+Table2[[#This Row],[Year 2 FPTs]]+Table2[[#This Row],[Year 3 FPTs]]</f>
        <v>591.20000000000005</v>
      </c>
      <c r="O13" s="7">
        <f>IFERROR(Table2[[#This Row],[Total FPTs]]/Table2[[#This Row],[Total G]],0)</f>
        <v>15.557894736842107</v>
      </c>
      <c r="P13">
        <v>4</v>
      </c>
      <c r="Q13" s="8">
        <f xml:space="preserve"> IFERROR(SUMIFS('College Data By Year'!J:J,'College Data By Year'!A:A,Table2[[#This Row],[Player Name]])/SUMIFS('College Data By Year'!L:L,'College Data By Year'!A:A,Table2[[#This Row],[Player Name]]),"")</f>
        <v>0.3202614379084967</v>
      </c>
      <c r="R13" s="11">
        <f xml:space="preserve"> IFERROR(SUMIFS('College Data By Year'!D:D,'College Data By Year'!A:A,Table2[[#This Row],[Player Name]])/SUMIFS('College Data By Year'!B:B,'College Data By Year'!A:A,Table2[[#This Row],[Player Name]]),"")</f>
        <v>4.0784313725490198E-2</v>
      </c>
      <c r="S13">
        <f>IF(SUMIFS('College Data By Year'!H:H,'College Data By Year'!A:A,Table2[[#This Row],[Player Name]])=0,"",SUMIFS('College Data By Year'!H:H,'College Data By Year'!A:A,Table2[[#This Row],[Player Name]]))</f>
        <v>122.9</v>
      </c>
      <c r="T13" s="7">
        <f>IFERROR(SUMIFS('College Data By Year'!D:D,'College Data By Year'!A:A,Table2[[#This Row],[Player Name]])/SUMIFS('College Data By Year'!E:E,'College Data By Year'!A:A,Table2[[#This Row],[Player Name]]),"")</f>
        <v>1.7931034482758621</v>
      </c>
      <c r="U13" s="7">
        <f>IFERROR(SUMIFS('College Data By Year'!B:B,'College Data By Year'!A:A,Table2[[#This Row],[Player Name]])/SUMIFS('College Data By Year'!I:I,'College Data By Year'!A:A,Table2[[#This Row],[Player Name]]),"")</f>
        <v>3.1403940886699506</v>
      </c>
      <c r="V13">
        <f>IF(SUMIFS('College Data By Year'!F:F,'College Data By Year'!A:A,Table2[[#This Row],[Player Name]])=0,"",SUMIFS('College Data By Year'!F:F,'College Data By Year'!A:A,Table2[[#This Row],[Player Name]]))</f>
        <v>6.4</v>
      </c>
      <c r="W13">
        <f>IF(SUMIFS('College Data By Year'!G:G,'College Data By Year'!A:A,Table2[[#This Row],[Player Name]])=0,"",SUMIFS('College Data By Year'!G:G,'College Data By Year'!A:A,Table2[[#This Row],[Player Name]]))</f>
        <v>6.2</v>
      </c>
      <c r="X1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5.0565139797739439E-2</v>
      </c>
      <c r="Y13">
        <v>4.8099999999999996</v>
      </c>
      <c r="Z13">
        <v>9.75</v>
      </c>
      <c r="AA13" t="s">
        <v>225</v>
      </c>
      <c r="AB13">
        <v>221</v>
      </c>
      <c r="AC13">
        <v>26.2</v>
      </c>
      <c r="AD13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13">
        <f>ROUND(IF(Table2[[#This Row],[Draft Round]]=1,10,IF(Table2[[#This Row],[Draft Round]]=8,0,10/(20.884*EXP(-0.381*1))*(20.884*EXP(-0.381*Table2[[#This Row],[Draft Round]])))),0)</f>
        <v>10</v>
      </c>
      <c r="AF13">
        <f>ROUND(IF(Table2[[#This Row],[College BF Dominator]]&gt;0.3,10,IF(Table2[[#This Row],[College BF Dominator]]&lt;-0.156,0,10/(20.818*0.3+3.2667)*(20.818*Table2[[#This Row],[College BF Dominator]]+3.2667))),0)</f>
        <v>10</v>
      </c>
      <c r="AG13">
        <f>ROUND(IF(Table2[[#This Row],[College PTDR]]&gt;0.085,10,IF(Table2[[#This Row],[College PTDR]]&lt;0.04,0,10/(105.24*0.085-1.7837)*(105.24*Table2[[#This Row],[College PTDR]]-1.7837))),0)</f>
        <v>4</v>
      </c>
      <c r="AH13">
        <f>ROUND(IF(Table2[[#This Row],[College Passer Rating]]&gt;170,10,IF(Table2[[#This Row],[College Passer Rating]]&lt;112.475,0,10/(0.1495*170-16.815)*(0.1495*Table2[[#This Row],[College Passer Rating]]-16.815))),0)</f>
        <v>2</v>
      </c>
      <c r="AI13">
        <f>ROUND(IF(Table2[[#This Row],[PTD:INT]]&gt;4,10,IF(Table2[[#This Row],[PTD:INT]]&lt;1,0,10/(4.7442*LN(4)+0.4256)*(4.7442*LN(Table2[[#This Row],[PTD:INT]])+0.4256))),0)</f>
        <v>5</v>
      </c>
      <c r="AJ13">
        <f>ROUND(IF(Table2[[#This Row],[Patt:Ratt]]&lt;2.5,10,IF(Table2[[#This Row],[Patt:Ratt]]&gt;15,0,10/(-2.684*LN(2.5)+9.0869)*(-2.684*LN(Table2[[#This Row],[Patt:Ratt]])+9.0869))),0)</f>
        <v>9</v>
      </c>
      <c r="AK13">
        <f>ROUND(IF(Table2[[#This Row],[Y/A]]&gt;9.2,10,IF(Table2[[#This Row],[Y/A]]&lt;6.26,0,10/(2.2619*9.2-14.16)*(2.2619*Table2[[#This Row],[Y/A]]-14.16))),0)</f>
        <v>0</v>
      </c>
      <c r="AL13">
        <f>ROUND(IF(Table2[[#This Row],[AY/A]]&gt;10,10,IF(Table2[[#This Row],[AY/A]]&lt;5.51,0,10/(1.6571*10-9.1312)*(1.6571*Table2[[#This Row],[AY/A]]-9.1312))),0)</f>
        <v>2</v>
      </c>
      <c r="AM13">
        <f>ROUND(IF(Table2[[#This Row],[40 Yd Dash]]&lt;4.75,10,IF(Table2[[#This Row],[40 Yd Dash]]&gt;5.191,0,10/(-66.95*LN(4.75)+110.26)*(-66.95*LN(Table2[[#This Row],[40 Yd Dash]])+110.26))),0)</f>
        <v>9</v>
      </c>
      <c r="AN13">
        <f>ROUND(IF(Table2[[#This Row],[Hand Size]]&gt;10.25,10,IF(Table2[[#This Row],[Hand Size]]&lt;9,0,10/(15.49*LN(10.25)-30.577)*(15.49*LN(Table2[[#This Row],[Hand Size]])-30.577))),0)</f>
        <v>9</v>
      </c>
    </row>
    <row r="14" spans="1:40">
      <c r="A14">
        <v>2017</v>
      </c>
      <c r="B14">
        <v>1</v>
      </c>
      <c r="C14" t="s">
        <v>219</v>
      </c>
      <c r="D14" t="s">
        <v>21</v>
      </c>
      <c r="E14">
        <v>7</v>
      </c>
      <c r="F14" t="s">
        <v>226</v>
      </c>
      <c r="G14">
        <f>SUMIFS('NFL QB Data By Year'!$Q:$Q,'NFL QB Data By Year'!$D:$D,Table2[[#This Row],[Player Name]],'NFL QB Data By Year'!$B:$B,Table2[[#This Row],[Draft Year]]+G$1)</f>
        <v>12</v>
      </c>
      <c r="H14">
        <f>SUMIFS('NFL QB Data By Year'!$P:$P,'NFL QB Data By Year'!$D:$D,Table2[[#This Row],[Player Name]],'NFL QB Data By Year'!$B:$B,Table2[[#This Row],[Draft Year]]+H$1)</f>
        <v>134.6</v>
      </c>
      <c r="I14">
        <f>SUMIFS('NFL QB Data By Year'!$Q:$Q,'NFL QB Data By Year'!$D:$D,Table2[[#This Row],[Player Name]],'NFL QB Data By Year'!$B:$B,Table2[[#This Row],[Draft Year]]+I$1)</f>
        <v>14</v>
      </c>
      <c r="J14">
        <f>SUMIFS('NFL QB Data By Year'!$P:$P,'NFL QB Data By Year'!$D:$D,Table2[[#This Row],[Player Name]],'NFL QB Data By Year'!$B:$B,Table2[[#This Row],[Draft Year]]+J$1)</f>
        <v>262.89999999999998</v>
      </c>
      <c r="K14">
        <f>SUMIFS('NFL QB Data By Year'!$Q:$Q,'NFL QB Data By Year'!$D:$D,Table2[[#This Row],[Player Name]],'NFL QB Data By Year'!$B:$B,Table2[[#This Row],[Draft Year]]+K$1)</f>
        <v>15</v>
      </c>
      <c r="L14">
        <f>SUMIFS('NFL QB Data By Year'!$P:$P,'NFL QB Data By Year'!$D:$D,Table2[[#This Row],[Player Name]],'NFL QB Data By Year'!$B:$B,Table2[[#This Row],[Draft Year]]+L$1)</f>
        <v>212.8</v>
      </c>
      <c r="M14">
        <f>Table2[[#This Row],[Year 1 G]]+Table2[[#This Row],[Year 2 G]]+Table2[[#This Row],[Year 3 G]]</f>
        <v>41</v>
      </c>
      <c r="N14">
        <f>Table2[[#This Row],[Year 1 FPTs]]+Table2[[#This Row],[Year 2 FPTs]]+Table2[[#This Row],[Year 3 FPTs]]</f>
        <v>610.29999999999995</v>
      </c>
      <c r="O14" s="7">
        <f>IFERROR(Table2[[#This Row],[Total FPTs]]/Table2[[#This Row],[Total G]],0)</f>
        <v>14.885365853658536</v>
      </c>
      <c r="P14">
        <v>4</v>
      </c>
      <c r="Q14" s="8">
        <f xml:space="preserve"> IFERROR(SUMIFS('College Data By Year'!J:J,'College Data By Year'!A:A,Table2[[#This Row],[Player Name]])/SUMIFS('College Data By Year'!L:L,'College Data By Year'!A:A,Table2[[#This Row],[Player Name]]),"")</f>
        <v>6.2615889316787909E-2</v>
      </c>
      <c r="R14" s="11">
        <f xml:space="preserve"> IFERROR(SUMIFS('College Data By Year'!D:D,'College Data By Year'!A:A,Table2[[#This Row],[Player Name]])/SUMIFS('College Data By Year'!B:B,'College Data By Year'!A:A,Table2[[#This Row],[Player Name]]),"")</f>
        <v>7.167832167832168E-2</v>
      </c>
      <c r="S14">
        <f>IF(SUMIFS('College Data By Year'!H:H,'College Data By Year'!A:A,Table2[[#This Row],[Player Name]])=0,"",SUMIFS('College Data By Year'!H:H,'College Data By Year'!A:A,Table2[[#This Row],[Player Name]]))</f>
        <v>157.6</v>
      </c>
      <c r="T14" s="7">
        <f>IFERROR(SUMIFS('College Data By Year'!D:D,'College Data By Year'!A:A,Table2[[#This Row],[Player Name]])/SUMIFS('College Data By Year'!E:E,'College Data By Year'!A:A,Table2[[#This Row],[Player Name]]),"")</f>
        <v>4.0999999999999996</v>
      </c>
      <c r="U14" s="7">
        <f>IFERROR(SUMIFS('College Data By Year'!B:B,'College Data By Year'!A:A,Table2[[#This Row],[Player Name]])/SUMIFS('College Data By Year'!I:I,'College Data By Year'!A:A,Table2[[#This Row],[Player Name]]),"")</f>
        <v>4.7666666666666666</v>
      </c>
      <c r="V14">
        <f>IF(SUMIFS('College Data By Year'!F:F,'College Data By Year'!A:A,Table2[[#This Row],[Player Name]])=0,"",SUMIFS('College Data By Year'!F:F,'College Data By Year'!A:A,Table2[[#This Row],[Player Name]]))</f>
        <v>8.3000000000000007</v>
      </c>
      <c r="W14">
        <f>IF(SUMIFS('College Data By Year'!G:G,'College Data By Year'!A:A,Table2[[#This Row],[Player Name]])=0,"",SUMIFS('College Data By Year'!G:G,'College Data By Year'!A:A,Table2[[#This Row],[Player Name]]))</f>
        <v>9</v>
      </c>
      <c r="X1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3.3236994219653176E-2</v>
      </c>
      <c r="Y14">
        <v>4.67</v>
      </c>
      <c r="Z14">
        <v>9.5</v>
      </c>
      <c r="AA14" t="s">
        <v>221</v>
      </c>
      <c r="AB14">
        <v>222</v>
      </c>
      <c r="AC14">
        <v>28.5</v>
      </c>
      <c r="AD14">
        <f>ROUND(IF(Table2[[#This Row],[LZ Grade]]=0,10/(9.297*7-49.141)*(9.297*5.723-49.141),IF(Table2[[#This Row],[LZ Grade]]&lt;5.285,0,IF(Table2[[#This Row],[LZ Grade]]&gt;=7,10,10/(9.297*7-49.141)*(9.297*Table2[[#This Row],[LZ Grade]]-49.141)))),0)</f>
        <v>10</v>
      </c>
      <c r="AE14">
        <f>ROUND(IF(Table2[[#This Row],[Draft Round]]=1,10,IF(Table2[[#This Row],[Draft Round]]=8,0,10/(20.884*EXP(-0.381*1))*(20.884*EXP(-0.381*Table2[[#This Row],[Draft Round]])))),0)</f>
        <v>10</v>
      </c>
      <c r="AF14">
        <f>ROUND(IF(Table2[[#This Row],[College BF Dominator]]&gt;0.3,10,IF(Table2[[#This Row],[College BF Dominator]]&lt;-0.156,0,10/(20.818*0.3+3.2667)*(20.818*Table2[[#This Row],[College BF Dominator]]+3.2667))),0)</f>
        <v>5</v>
      </c>
      <c r="AG14">
        <f>ROUND(IF(Table2[[#This Row],[College PTDR]]&gt;0.085,10,IF(Table2[[#This Row],[College PTDR]]&lt;0.04,0,10/(105.24*0.085-1.7837)*(105.24*Table2[[#This Row],[College PTDR]]-1.7837))),0)</f>
        <v>8</v>
      </c>
      <c r="AH14">
        <f>ROUND(IF(Table2[[#This Row],[College Passer Rating]]&gt;170,10,IF(Table2[[#This Row],[College Passer Rating]]&lt;112.475,0,10/(0.1495*170-16.815)*(0.1495*Table2[[#This Row],[College Passer Rating]]-16.815))),0)</f>
        <v>8</v>
      </c>
      <c r="AI14">
        <f>ROUND(IF(Table2[[#This Row],[PTD:INT]]&gt;4,10,IF(Table2[[#This Row],[PTD:INT]]&lt;1,0,10/(4.7442*LN(4)+0.4256)*(4.7442*LN(Table2[[#This Row],[PTD:INT]])+0.4256))),0)</f>
        <v>10</v>
      </c>
      <c r="AJ14">
        <f>ROUND(IF(Table2[[#This Row],[Patt:Ratt]]&lt;2.5,10,IF(Table2[[#This Row],[Patt:Ratt]]&gt;15,0,10/(-2.684*LN(2.5)+9.0869)*(-2.684*LN(Table2[[#This Row],[Patt:Ratt]])+9.0869))),0)</f>
        <v>7</v>
      </c>
      <c r="AK14">
        <f>ROUND(IF(Table2[[#This Row],[Y/A]]&gt;9.2,10,IF(Table2[[#This Row],[Y/A]]&lt;6.26,0,10/(2.2619*9.2-14.16)*(2.2619*Table2[[#This Row],[Y/A]]-14.16))),0)</f>
        <v>7</v>
      </c>
      <c r="AL14">
        <f>ROUND(IF(Table2[[#This Row],[AY/A]]&gt;10,10,IF(Table2[[#This Row],[AY/A]]&lt;5.51,0,10/(1.6571*10-9.1312)*(1.6571*Table2[[#This Row],[AY/A]]-9.1312))),0)</f>
        <v>8</v>
      </c>
      <c r="AM14">
        <f>ROUND(IF(Table2[[#This Row],[40 Yd Dash]]&lt;4.75,10,IF(Table2[[#This Row],[40 Yd Dash]]&gt;5.191,0,10/(-66.95*LN(4.75)+110.26)*(-66.95*LN(Table2[[#This Row],[40 Yd Dash]])+110.26))),0)</f>
        <v>10</v>
      </c>
      <c r="AN14">
        <f>ROUND(IF(Table2[[#This Row],[Hand Size]]&gt;10.25,10,IF(Table2[[#This Row],[Hand Size]]&lt;9,0,10/(15.49*LN(10.25)-30.577)*(15.49*LN(Table2[[#This Row],[Hand Size]])-30.577))),0)</f>
        <v>8</v>
      </c>
    </row>
    <row r="15" spans="1:40">
      <c r="A15">
        <v>2018</v>
      </c>
      <c r="B15">
        <v>1</v>
      </c>
      <c r="C15" t="s">
        <v>219</v>
      </c>
      <c r="D15" t="s">
        <v>25</v>
      </c>
      <c r="E15">
        <v>7.1</v>
      </c>
      <c r="F15" t="s">
        <v>226</v>
      </c>
      <c r="G15">
        <f>SUMIFS('NFL QB Data By Year'!$Q:$Q,'NFL QB Data By Year'!$D:$D,Table2[[#This Row],[Player Name]],'NFL QB Data By Year'!$B:$B,Table2[[#This Row],[Draft Year]]+G$1)</f>
        <v>13</v>
      </c>
      <c r="H15">
        <f>SUMIFS('NFL QB Data By Year'!$P:$P,'NFL QB Data By Year'!$D:$D,Table2[[#This Row],[Player Name]],'NFL QB Data By Year'!$B:$B,Table2[[#This Row],[Draft Year]]+H$1)</f>
        <v>168.4</v>
      </c>
      <c r="I15">
        <f>SUMIFS('NFL QB Data By Year'!$Q:$Q,'NFL QB Data By Year'!$D:$D,Table2[[#This Row],[Player Name]],'NFL QB Data By Year'!$B:$B,Table2[[#This Row],[Draft Year]]+I$1)</f>
        <v>13</v>
      </c>
      <c r="J15">
        <f>SUMIFS('NFL QB Data By Year'!$P:$P,'NFL QB Data By Year'!$D:$D,Table2[[#This Row],[Player Name]],'NFL QB Data By Year'!$B:$B,Table2[[#This Row],[Draft Year]]+J$1)</f>
        <v>202.1</v>
      </c>
      <c r="K15">
        <f>SUMIFS('NFL QB Data By Year'!$Q:$Q,'NFL QB Data By Year'!$D:$D,Table2[[#This Row],[Player Name]],'NFL QB Data By Year'!$B:$B,Table2[[#This Row],[Draft Year]]+K$1)</f>
        <v>12</v>
      </c>
      <c r="L15">
        <f>SUMIFS('NFL QB Data By Year'!$P:$P,'NFL QB Data By Year'!$D:$D,Table2[[#This Row],[Player Name]],'NFL QB Data By Year'!$B:$B,Table2[[#This Row],[Draft Year]]+L$1)</f>
        <v>145</v>
      </c>
      <c r="M15">
        <f>Table2[[#This Row],[Year 1 G]]+Table2[[#This Row],[Year 2 G]]+Table2[[#This Row],[Year 3 G]]</f>
        <v>38</v>
      </c>
      <c r="N15">
        <f>Table2[[#This Row],[Year 1 FPTs]]+Table2[[#This Row],[Year 2 FPTs]]+Table2[[#This Row],[Year 3 FPTs]]</f>
        <v>515.5</v>
      </c>
      <c r="O15" s="7">
        <f>IFERROR(Table2[[#This Row],[Total FPTs]]/Table2[[#This Row],[Total G]],0)</f>
        <v>13.565789473684211</v>
      </c>
      <c r="P15">
        <v>4</v>
      </c>
      <c r="Q15" s="8">
        <f xml:space="preserve"> IFERROR(SUMIFS('College Data By Year'!J:J,'College Data By Year'!A:A,Table2[[#This Row],[Player Name]])/SUMIFS('College Data By Year'!L:L,'College Data By Year'!A:A,Table2[[#This Row],[Player Name]]),"")</f>
        <v>6.3846153846153844E-2</v>
      </c>
      <c r="R15" s="11">
        <f xml:space="preserve"> IFERROR(SUMIFS('College Data By Year'!D:D,'College Data By Year'!A:A,Table2[[#This Row],[Player Name]])/SUMIFS('College Data By Year'!B:B,'College Data By Year'!A:A,Table2[[#This Row],[Player Name]]),"")</f>
        <v>6.7375886524822695E-2</v>
      </c>
      <c r="S15">
        <f>IF(SUMIFS('College Data By Year'!H:H,'College Data By Year'!A:A,Table2[[#This Row],[Player Name]])=0,"",SUMIFS('College Data By Year'!H:H,'College Data By Year'!A:A,Table2[[#This Row],[Player Name]]))</f>
        <v>153.69999999999999</v>
      </c>
      <c r="T15" s="7">
        <f>IFERROR(SUMIFS('College Data By Year'!D:D,'College Data By Year'!A:A,Table2[[#This Row],[Player Name]])/SUMIFS('College Data By Year'!E:E,'College Data By Year'!A:A,Table2[[#This Row],[Player Name]]),"")</f>
        <v>2.5909090909090908</v>
      </c>
      <c r="U15" s="7">
        <f>IFERROR(SUMIFS('College Data By Year'!B:B,'College Data By Year'!A:A,Table2[[#This Row],[Player Name]])/SUMIFS('College Data By Year'!I:I,'College Data By Year'!A:A,Table2[[#This Row],[Player Name]]),"")</f>
        <v>6.1751824817518246</v>
      </c>
      <c r="V15">
        <f>IF(SUMIFS('College Data By Year'!F:F,'College Data By Year'!A:A,Table2[[#This Row],[Player Name]])=0,"",SUMIFS('College Data By Year'!F:F,'College Data By Year'!A:A,Table2[[#This Row],[Player Name]]))</f>
        <v>8.5</v>
      </c>
      <c r="W15">
        <f>IF(SUMIFS('College Data By Year'!G:G,'College Data By Year'!A:A,Table2[[#This Row],[Player Name]])=0,"",SUMIFS('College Data By Year'!G:G,'College Data By Year'!A:A,Table2[[#This Row],[Player Name]]))</f>
        <v>8.6999999999999993</v>
      </c>
      <c r="X1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3.5605289928789419E-2</v>
      </c>
      <c r="Y15">
        <v>4.8499999999999996</v>
      </c>
      <c r="Z15">
        <v>9.375</v>
      </c>
      <c r="AA15" t="s">
        <v>229</v>
      </c>
      <c r="AB15">
        <v>221</v>
      </c>
      <c r="AC15">
        <v>27.6</v>
      </c>
      <c r="AD15">
        <f>ROUND(IF(Table2[[#This Row],[LZ Grade]]=0,10/(9.297*7-49.141)*(9.297*5.723-49.141),IF(Table2[[#This Row],[LZ Grade]]&lt;5.285,0,IF(Table2[[#This Row],[LZ Grade]]&gt;=7,10,10/(9.297*7-49.141)*(9.297*Table2[[#This Row],[LZ Grade]]-49.141)))),0)</f>
        <v>10</v>
      </c>
      <c r="AE15">
        <f>ROUND(IF(Table2[[#This Row],[Draft Round]]=1,10,IF(Table2[[#This Row],[Draft Round]]=8,0,10/(20.884*EXP(-0.381*1))*(20.884*EXP(-0.381*Table2[[#This Row],[Draft Round]])))),0)</f>
        <v>10</v>
      </c>
      <c r="AF15">
        <f>ROUND(IF(Table2[[#This Row],[College BF Dominator]]&gt;0.3,10,IF(Table2[[#This Row],[College BF Dominator]]&lt;-0.156,0,10/(20.818*0.3+3.2667)*(20.818*Table2[[#This Row],[College BF Dominator]]+3.2667))),0)</f>
        <v>5</v>
      </c>
      <c r="AG15">
        <f>ROUND(IF(Table2[[#This Row],[College PTDR]]&gt;0.085,10,IF(Table2[[#This Row],[College PTDR]]&lt;0.04,0,10/(105.24*0.085-1.7837)*(105.24*Table2[[#This Row],[College PTDR]]-1.7837))),0)</f>
        <v>7</v>
      </c>
      <c r="AH15">
        <f>ROUND(IF(Table2[[#This Row],[College Passer Rating]]&gt;170,10,IF(Table2[[#This Row],[College Passer Rating]]&lt;112.475,0,10/(0.1495*170-16.815)*(0.1495*Table2[[#This Row],[College Passer Rating]]-16.815))),0)</f>
        <v>7</v>
      </c>
      <c r="AI15">
        <f>ROUND(IF(Table2[[#This Row],[PTD:INT]]&gt;4,10,IF(Table2[[#This Row],[PTD:INT]]&lt;1,0,10/(4.7442*LN(4)+0.4256)*(4.7442*LN(Table2[[#This Row],[PTD:INT]])+0.4256))),0)</f>
        <v>7</v>
      </c>
      <c r="AJ15">
        <f>ROUND(IF(Table2[[#This Row],[Patt:Ratt]]&lt;2.5,10,IF(Table2[[#This Row],[Patt:Ratt]]&gt;15,0,10/(-2.684*LN(2.5)+9.0869)*(-2.684*LN(Table2[[#This Row],[Patt:Ratt]])+9.0869))),0)</f>
        <v>6</v>
      </c>
      <c r="AK15">
        <f>ROUND(IF(Table2[[#This Row],[Y/A]]&gt;9.2,10,IF(Table2[[#This Row],[Y/A]]&lt;6.26,0,10/(2.2619*9.2-14.16)*(2.2619*Table2[[#This Row],[Y/A]]-14.16))),0)</f>
        <v>8</v>
      </c>
      <c r="AL15">
        <f>ROUND(IF(Table2[[#This Row],[AY/A]]&gt;10,10,IF(Table2[[#This Row],[AY/A]]&lt;5.51,0,10/(1.6571*10-9.1312)*(1.6571*Table2[[#This Row],[AY/A]]-9.1312))),0)</f>
        <v>7</v>
      </c>
      <c r="AM15">
        <f>ROUND(IF(Table2[[#This Row],[40 Yd Dash]]&lt;4.75,10,IF(Table2[[#This Row],[40 Yd Dash]]&gt;5.191,0,10/(-66.95*LN(4.75)+110.26)*(-66.95*LN(Table2[[#This Row],[40 Yd Dash]])+110.26))),0)</f>
        <v>8</v>
      </c>
      <c r="AN15">
        <f>ROUND(IF(Table2[[#This Row],[Hand Size]]&gt;10.25,10,IF(Table2[[#This Row],[Hand Size]]&lt;9,0,10/(15.49*LN(10.25)-30.577)*(15.49*LN(Table2[[#This Row],[Hand Size]])-30.577))),0)</f>
        <v>7</v>
      </c>
    </row>
    <row r="16" spans="1:40">
      <c r="A16">
        <v>2019</v>
      </c>
      <c r="B16">
        <v>1</v>
      </c>
      <c r="C16" t="s">
        <v>219</v>
      </c>
      <c r="D16" t="s">
        <v>28</v>
      </c>
      <c r="E16">
        <v>6.7</v>
      </c>
      <c r="F16" t="s">
        <v>222</v>
      </c>
      <c r="G16">
        <f>SUMIFS('NFL QB Data By Year'!$Q:$Q,'NFL QB Data By Year'!$D:$D,Table2[[#This Row],[Player Name]],'NFL QB Data By Year'!$B:$B,Table2[[#This Row],[Draft Year]]+G$1)</f>
        <v>9</v>
      </c>
      <c r="H16">
        <f>SUMIFS('NFL QB Data By Year'!$P:$P,'NFL QB Data By Year'!$D:$D,Table2[[#This Row],[Player Name]],'NFL QB Data By Year'!$B:$B,Table2[[#This Row],[Draft Year]]+H$1)</f>
        <v>83.7</v>
      </c>
      <c r="I16">
        <f>SUMIFS('NFL QB Data By Year'!$Q:$Q,'NFL QB Data By Year'!$D:$D,Table2[[#This Row],[Player Name]],'NFL QB Data By Year'!$B:$B,Table2[[#This Row],[Draft Year]]+I$1)</f>
        <v>7</v>
      </c>
      <c r="J16">
        <f>SUMIFS('NFL QB Data By Year'!$P:$P,'NFL QB Data By Year'!$D:$D,Table2[[#This Row],[Player Name]],'NFL QB Data By Year'!$B:$B,Table2[[#This Row],[Draft Year]]+J$1)</f>
        <v>75.2</v>
      </c>
      <c r="K16">
        <f>SUMIFS('NFL QB Data By Year'!$Q:$Q,'NFL QB Data By Year'!$D:$D,Table2[[#This Row],[Player Name]],'NFL QB Data By Year'!$B:$B,Table2[[#This Row],[Draft Year]]+K$1)</f>
        <v>0</v>
      </c>
      <c r="L16">
        <f>SUMIFS('NFL QB Data By Year'!$P:$P,'NFL QB Data By Year'!$D:$D,Table2[[#This Row],[Player Name]],'NFL QB Data By Year'!$B:$B,Table2[[#This Row],[Draft Year]]+L$1)</f>
        <v>0</v>
      </c>
      <c r="M16">
        <f>Table2[[#This Row],[Year 1 G]]+Table2[[#This Row],[Year 2 G]]+Table2[[#This Row],[Year 3 G]]</f>
        <v>16</v>
      </c>
      <c r="N16">
        <f>Table2[[#This Row],[Year 1 FPTs]]+Table2[[#This Row],[Year 2 FPTs]]+Table2[[#This Row],[Year 3 FPTs]]</f>
        <v>158.9</v>
      </c>
      <c r="O16" s="7">
        <f>IFERROR(Table2[[#This Row],[Total FPTs]]/Table2[[#This Row],[Total G]],0)</f>
        <v>9.9312500000000004</v>
      </c>
      <c r="P16">
        <v>6</v>
      </c>
      <c r="Q16" s="8">
        <f xml:space="preserve"> IFERROR(SUMIFS('College Data By Year'!J:J,'College Data By Year'!A:A,Table2[[#This Row],[Player Name]])/SUMIFS('College Data By Year'!L:L,'College Data By Year'!A:A,Table2[[#This Row],[Player Name]]),"")</f>
        <v>3.3430983973806651E-2</v>
      </c>
      <c r="R16" s="11">
        <f xml:space="preserve"> IFERROR(SUMIFS('College Data By Year'!D:D,'College Data By Year'!A:A,Table2[[#This Row],[Player Name]])/SUMIFS('College Data By Year'!B:B,'College Data By Year'!A:A,Table2[[#This Row],[Player Name]]),"")</f>
        <v>8.4745762711864403E-2</v>
      </c>
      <c r="S16">
        <f>IF(SUMIFS('College Data By Year'!H:H,'College Data By Year'!A:A,Table2[[#This Row],[Player Name]])=0,"",SUMIFS('College Data By Year'!H:H,'College Data By Year'!A:A,Table2[[#This Row],[Player Name]]))</f>
        <v>174</v>
      </c>
      <c r="T16" s="7">
        <f>IFERROR(SUMIFS('College Data By Year'!D:D,'College Data By Year'!A:A,Table2[[#This Row],[Player Name]])/SUMIFS('College Data By Year'!E:E,'College Data By Year'!A:A,Table2[[#This Row],[Player Name]]),"")</f>
        <v>6.25</v>
      </c>
      <c r="U16" s="7">
        <f>IFERROR(SUMIFS('College Data By Year'!B:B,'College Data By Year'!A:A,Table2[[#This Row],[Player Name]])/SUMIFS('College Data By Year'!I:I,'College Data By Year'!A:A,Table2[[#This Row],[Player Name]]),"")</f>
        <v>5.7281553398058254</v>
      </c>
      <c r="V16">
        <f>IF(SUMIFS('College Data By Year'!F:F,'College Data By Year'!A:A,Table2[[#This Row],[Player Name]])=0,"",SUMIFS('College Data By Year'!F:F,'College Data By Year'!A:A,Table2[[#This Row],[Player Name]]))</f>
        <v>9.1</v>
      </c>
      <c r="W16">
        <f>IF(SUMIFS('College Data By Year'!G:G,'College Data By Year'!A:A,Table2[[#This Row],[Player Name]])=0,"",SUMIFS('College Data By Year'!G:G,'College Data By Year'!A:A,Table2[[#This Row],[Player Name]]))</f>
        <v>10.3</v>
      </c>
      <c r="X1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3.3189033189033192E-2</v>
      </c>
      <c r="Y16">
        <v>5.04</v>
      </c>
      <c r="Z16">
        <v>9.625</v>
      </c>
      <c r="AA16" t="s">
        <v>229</v>
      </c>
      <c r="AB16">
        <v>231</v>
      </c>
      <c r="AC16">
        <v>28.9</v>
      </c>
      <c r="AD16">
        <f>ROUND(IF(Table2[[#This Row],[LZ Grade]]=0,10/(9.297*7-49.141)*(9.297*5.723-49.141),IF(Table2[[#This Row],[LZ Grade]]&lt;5.285,0,IF(Table2[[#This Row],[LZ Grade]]&gt;=7,10,10/(9.297*7-49.141)*(9.297*Table2[[#This Row],[LZ Grade]]-49.141)))),0)</f>
        <v>8</v>
      </c>
      <c r="AE16">
        <f>ROUND(IF(Table2[[#This Row],[Draft Round]]=1,10,IF(Table2[[#This Row],[Draft Round]]=8,0,10/(20.884*EXP(-0.381*1))*(20.884*EXP(-0.381*Table2[[#This Row],[Draft Round]])))),0)</f>
        <v>10</v>
      </c>
      <c r="AF16">
        <f>ROUND(IF(Table2[[#This Row],[College BF Dominator]]&gt;0.3,10,IF(Table2[[#This Row],[College BF Dominator]]&lt;-0.156,0,10/(20.818*0.3+3.2667)*(20.818*Table2[[#This Row],[College BF Dominator]]+3.2667))),0)</f>
        <v>4</v>
      </c>
      <c r="AG16">
        <f>ROUND(IF(Table2[[#This Row],[College PTDR]]&gt;0.085,10,IF(Table2[[#This Row],[College PTDR]]&lt;0.04,0,10/(105.24*0.085-1.7837)*(105.24*Table2[[#This Row],[College PTDR]]-1.7837))),0)</f>
        <v>10</v>
      </c>
      <c r="AH16">
        <f>ROUND(IF(Table2[[#This Row],[College Passer Rating]]&gt;170,10,IF(Table2[[#This Row],[College Passer Rating]]&lt;112.475,0,10/(0.1495*170-16.815)*(0.1495*Table2[[#This Row],[College Passer Rating]]-16.815))),0)</f>
        <v>10</v>
      </c>
      <c r="AI16">
        <f>ROUND(IF(Table2[[#This Row],[PTD:INT]]&gt;4,10,IF(Table2[[#This Row],[PTD:INT]]&lt;1,0,10/(4.7442*LN(4)+0.4256)*(4.7442*LN(Table2[[#This Row],[PTD:INT]])+0.4256))),0)</f>
        <v>10</v>
      </c>
      <c r="AJ16">
        <f>ROUND(IF(Table2[[#This Row],[Patt:Ratt]]&lt;2.5,10,IF(Table2[[#This Row],[Patt:Ratt]]&gt;15,0,10/(-2.684*LN(2.5)+9.0869)*(-2.684*LN(Table2[[#This Row],[Patt:Ratt]])+9.0869))),0)</f>
        <v>7</v>
      </c>
      <c r="AK16">
        <f>ROUND(IF(Table2[[#This Row],[Y/A]]&gt;9.2,10,IF(Table2[[#This Row],[Y/A]]&lt;6.26,0,10/(2.2619*9.2-14.16)*(2.2619*Table2[[#This Row],[Y/A]]-14.16))),0)</f>
        <v>10</v>
      </c>
      <c r="AL16">
        <f>ROUND(IF(Table2[[#This Row],[AY/A]]&gt;10,10,IF(Table2[[#This Row],[AY/A]]&lt;5.51,0,10/(1.6571*10-9.1312)*(1.6571*Table2[[#This Row],[AY/A]]-9.1312))),0)</f>
        <v>10</v>
      </c>
      <c r="AM16">
        <f>ROUND(IF(Table2[[#This Row],[40 Yd Dash]]&lt;4.75,10,IF(Table2[[#This Row],[40 Yd Dash]]&gt;5.191,0,10/(-66.95*LN(4.75)+110.26)*(-66.95*LN(Table2[[#This Row],[40 Yd Dash]])+110.26))),0)</f>
        <v>3</v>
      </c>
      <c r="AN16">
        <f>ROUND(IF(Table2[[#This Row],[Hand Size]]&gt;10.25,10,IF(Table2[[#This Row],[Hand Size]]&lt;9,0,10/(15.49*LN(10.25)-30.577)*(15.49*LN(Table2[[#This Row],[Hand Size]])-30.577))),0)</f>
        <v>8</v>
      </c>
    </row>
    <row r="17" spans="1:40">
      <c r="A17">
        <v>2016</v>
      </c>
      <c r="B17">
        <v>1</v>
      </c>
      <c r="C17" t="s">
        <v>219</v>
      </c>
      <c r="D17" t="s">
        <v>30</v>
      </c>
      <c r="E17">
        <v>6.8</v>
      </c>
      <c r="F17" t="s">
        <v>222</v>
      </c>
      <c r="G17">
        <f>SUMIFS('NFL QB Data By Year'!$Q:$Q,'NFL QB Data By Year'!$D:$D,Table2[[#This Row],[Player Name]],'NFL QB Data By Year'!$B:$B,Table2[[#This Row],[Draft Year]]+G$1)</f>
        <v>3</v>
      </c>
      <c r="H17">
        <f>SUMIFS('NFL QB Data By Year'!$P:$P,'NFL QB Data By Year'!$D:$D,Table2[[#This Row],[Player Name]],'NFL QB Data By Year'!$B:$B,Table2[[#This Row],[Draft Year]]+H$1)</f>
        <v>28.4</v>
      </c>
      <c r="I17">
        <f>SUMIFS('NFL QB Data By Year'!$Q:$Q,'NFL QB Data By Year'!$D:$D,Table2[[#This Row],[Player Name]],'NFL QB Data By Year'!$B:$B,Table2[[#This Row],[Draft Year]]+I$1)</f>
        <v>2</v>
      </c>
      <c r="J17">
        <f>SUMIFS('NFL QB Data By Year'!$P:$P,'NFL QB Data By Year'!$D:$D,Table2[[#This Row],[Player Name]],'NFL QB Data By Year'!$B:$B,Table2[[#This Row],[Draft Year]]+J$1)</f>
        <v>15.1</v>
      </c>
      <c r="K17">
        <f>SUMIFS('NFL QB Data By Year'!$Q:$Q,'NFL QB Data By Year'!$D:$D,Table2[[#This Row],[Player Name]],'NFL QB Data By Year'!$B:$B,Table2[[#This Row],[Draft Year]]+K$1)</f>
        <v>0</v>
      </c>
      <c r="L17">
        <f>SUMIFS('NFL QB Data By Year'!$P:$P,'NFL QB Data By Year'!$D:$D,Table2[[#This Row],[Player Name]],'NFL QB Data By Year'!$B:$B,Table2[[#This Row],[Draft Year]]+L$1)</f>
        <v>0</v>
      </c>
      <c r="M17">
        <f>Table2[[#This Row],[Year 1 G]]+Table2[[#This Row],[Year 2 G]]+Table2[[#This Row],[Year 3 G]]</f>
        <v>5</v>
      </c>
      <c r="N17">
        <f>Table2[[#This Row],[Year 1 FPTs]]+Table2[[#This Row],[Year 2 FPTs]]+Table2[[#This Row],[Year 3 FPTs]]</f>
        <v>43.5</v>
      </c>
      <c r="O17" s="7">
        <f>IFERROR(Table2[[#This Row],[Total FPTs]]/Table2[[#This Row],[Total G]],0)</f>
        <v>8.6999999999999993</v>
      </c>
      <c r="P17">
        <v>6</v>
      </c>
      <c r="Q17" s="8">
        <f xml:space="preserve"> IFERROR(SUMIFS('College Data By Year'!J:J,'College Data By Year'!A:A,Table2[[#This Row],[Player Name]])/SUMIFS('College Data By Year'!L:L,'College Data By Year'!A:A,Table2[[#This Row],[Player Name]]),"")</f>
        <v>0.1061987942494976</v>
      </c>
      <c r="R17" s="11">
        <f xml:space="preserve"> IFERROR(SUMIFS('College Data By Year'!D:D,'College Data By Year'!A:A,Table2[[#This Row],[Player Name]])/SUMIFS('College Data By Year'!B:B,'College Data By Year'!A:A,Table2[[#This Row],[Player Name]]),"")</f>
        <v>4.8962655601659751E-2</v>
      </c>
      <c r="S17">
        <f>IF(SUMIFS('College Data By Year'!H:H,'College Data By Year'!A:A,Table2[[#This Row],[Player Name]])=0,"",SUMIFS('College Data By Year'!H:H,'College Data By Year'!A:A,Table2[[#This Row],[Player Name]]))</f>
        <v>137</v>
      </c>
      <c r="T17" s="7">
        <f>IFERROR(SUMIFS('College Data By Year'!D:D,'College Data By Year'!A:A,Table2[[#This Row],[Player Name]])/SUMIFS('College Data By Year'!E:E,'College Data By Year'!A:A,Table2[[#This Row],[Player Name]]),"")</f>
        <v>2.5652173913043477</v>
      </c>
      <c r="U17" s="7">
        <f>IFERROR(SUMIFS('College Data By Year'!B:B,'College Data By Year'!A:A,Table2[[#This Row],[Player Name]])/SUMIFS('College Data By Year'!I:I,'College Data By Year'!A:A,Table2[[#This Row],[Player Name]]),"")</f>
        <v>4.1840277777777777</v>
      </c>
      <c r="V17">
        <f>IF(SUMIFS('College Data By Year'!F:F,'College Data By Year'!A:A,Table2[[#This Row],[Player Name]])=0,"",SUMIFS('College Data By Year'!F:F,'College Data By Year'!A:A,Table2[[#This Row],[Player Name]]))</f>
        <v>7.4</v>
      </c>
      <c r="W17">
        <f>IF(SUMIFS('College Data By Year'!G:G,'College Data By Year'!A:A,Table2[[#This Row],[Player Name]])=0,"",SUMIFS('College Data By Year'!G:G,'College Data By Year'!A:A,Table2[[#This Row],[Player Name]]))</f>
        <v>7.5</v>
      </c>
      <c r="X1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3.8178164768921635E-2</v>
      </c>
      <c r="Y17">
        <v>4.8600000000000003</v>
      </c>
      <c r="Z17">
        <v>10.25</v>
      </c>
      <c r="AA17" t="s">
        <v>230</v>
      </c>
      <c r="AB17">
        <v>244</v>
      </c>
      <c r="AC17">
        <v>27.5</v>
      </c>
      <c r="AD17">
        <f>ROUND(IF(Table2[[#This Row],[LZ Grade]]=0,10/(9.297*7-49.141)*(9.297*5.723-49.141),IF(Table2[[#This Row],[LZ Grade]]&lt;5.285,0,IF(Table2[[#This Row],[LZ Grade]]&gt;=7,10,10/(9.297*7-49.141)*(9.297*Table2[[#This Row],[LZ Grade]]-49.141)))),0)</f>
        <v>9</v>
      </c>
      <c r="AE17">
        <f>ROUND(IF(Table2[[#This Row],[Draft Round]]=1,10,IF(Table2[[#This Row],[Draft Round]]=8,0,10/(20.884*EXP(-0.381*1))*(20.884*EXP(-0.381*Table2[[#This Row],[Draft Round]])))),0)</f>
        <v>10</v>
      </c>
      <c r="AF17">
        <f>ROUND(IF(Table2[[#This Row],[College BF Dominator]]&gt;0.3,10,IF(Table2[[#This Row],[College BF Dominator]]&lt;-0.156,0,10/(20.818*0.3+3.2667)*(20.818*Table2[[#This Row],[College BF Dominator]]+3.2667))),0)</f>
        <v>6</v>
      </c>
      <c r="AG17">
        <f>ROUND(IF(Table2[[#This Row],[College PTDR]]&gt;0.085,10,IF(Table2[[#This Row],[College PTDR]]&lt;0.04,0,10/(105.24*0.085-1.7837)*(105.24*Table2[[#This Row],[College PTDR]]-1.7837))),0)</f>
        <v>5</v>
      </c>
      <c r="AH17">
        <f>ROUND(IF(Table2[[#This Row],[College Passer Rating]]&gt;170,10,IF(Table2[[#This Row],[College Passer Rating]]&lt;112.475,0,10/(0.1495*170-16.815)*(0.1495*Table2[[#This Row],[College Passer Rating]]-16.815))),0)</f>
        <v>4</v>
      </c>
      <c r="AI17">
        <f>ROUND(IF(Table2[[#This Row],[PTD:INT]]&gt;4,10,IF(Table2[[#This Row],[PTD:INT]]&lt;1,0,10/(4.7442*LN(4)+0.4256)*(4.7442*LN(Table2[[#This Row],[PTD:INT]])+0.4256))),0)</f>
        <v>7</v>
      </c>
      <c r="AJ17">
        <f>ROUND(IF(Table2[[#This Row],[Patt:Ratt]]&lt;2.5,10,IF(Table2[[#This Row],[Patt:Ratt]]&gt;15,0,10/(-2.684*LN(2.5)+9.0869)*(-2.684*LN(Table2[[#This Row],[Patt:Ratt]])+9.0869))),0)</f>
        <v>8</v>
      </c>
      <c r="AK17">
        <f>ROUND(IF(Table2[[#This Row],[Y/A]]&gt;9.2,10,IF(Table2[[#This Row],[Y/A]]&lt;6.26,0,10/(2.2619*9.2-14.16)*(2.2619*Table2[[#This Row],[Y/A]]-14.16))),0)</f>
        <v>4</v>
      </c>
      <c r="AL17">
        <f>ROUND(IF(Table2[[#This Row],[AY/A]]&gt;10,10,IF(Table2[[#This Row],[AY/A]]&lt;5.51,0,10/(1.6571*10-9.1312)*(1.6571*Table2[[#This Row],[AY/A]]-9.1312))),0)</f>
        <v>4</v>
      </c>
      <c r="AM17">
        <f>ROUND(IF(Table2[[#This Row],[40 Yd Dash]]&lt;4.75,10,IF(Table2[[#This Row],[40 Yd Dash]]&gt;5.191,0,10/(-66.95*LN(4.75)+110.26)*(-66.95*LN(Table2[[#This Row],[40 Yd Dash]])+110.26))),0)</f>
        <v>7</v>
      </c>
      <c r="AN17">
        <f>ROUND(IF(Table2[[#This Row],[Hand Size]]&gt;10.25,10,IF(Table2[[#This Row],[Hand Size]]&lt;9,0,10/(15.49*LN(10.25)-30.577)*(15.49*LN(Table2[[#This Row],[Hand Size]])-30.577))),0)</f>
        <v>10</v>
      </c>
    </row>
    <row r="18" spans="1:40">
      <c r="A18">
        <v>2018</v>
      </c>
      <c r="B18">
        <v>1</v>
      </c>
      <c r="C18" t="s">
        <v>219</v>
      </c>
      <c r="D18" t="s">
        <v>37</v>
      </c>
      <c r="E18">
        <v>6.7</v>
      </c>
      <c r="F18" t="s">
        <v>222</v>
      </c>
      <c r="G18">
        <f>SUMIFS('NFL QB Data By Year'!$Q:$Q,'NFL QB Data By Year'!$D:$D,Table2[[#This Row],[Player Name]],'NFL QB Data By Year'!$B:$B,Table2[[#This Row],[Draft Year]]+G$1)</f>
        <v>14</v>
      </c>
      <c r="H18">
        <f>SUMIFS('NFL QB Data By Year'!$P:$P,'NFL QB Data By Year'!$D:$D,Table2[[#This Row],[Player Name]],'NFL QB Data By Year'!$B:$B,Table2[[#This Row],[Draft Year]]+H$1)</f>
        <v>113</v>
      </c>
      <c r="I18">
        <f>SUMIFS('NFL QB Data By Year'!$Q:$Q,'NFL QB Data By Year'!$D:$D,Table2[[#This Row],[Player Name]],'NFL QB Data By Year'!$B:$B,Table2[[#This Row],[Draft Year]]+I$1)</f>
        <v>6</v>
      </c>
      <c r="J18">
        <f>SUMIFS('NFL QB Data By Year'!$P:$P,'NFL QB Data By Year'!$D:$D,Table2[[#This Row],[Player Name]],'NFL QB Data By Year'!$B:$B,Table2[[#This Row],[Draft Year]]+J$1)</f>
        <v>23</v>
      </c>
      <c r="K18">
        <f>SUMIFS('NFL QB Data By Year'!$Q:$Q,'NFL QB Data By Year'!$D:$D,Table2[[#This Row],[Player Name]],'NFL QB Data By Year'!$B:$B,Table2[[#This Row],[Draft Year]]+K$1)</f>
        <v>0</v>
      </c>
      <c r="L18">
        <f>SUMIFS('NFL QB Data By Year'!$P:$P,'NFL QB Data By Year'!$D:$D,Table2[[#This Row],[Player Name]],'NFL QB Data By Year'!$B:$B,Table2[[#This Row],[Draft Year]]+L$1)</f>
        <v>0</v>
      </c>
      <c r="M18">
        <f>Table2[[#This Row],[Year 1 G]]+Table2[[#This Row],[Year 2 G]]+Table2[[#This Row],[Year 3 G]]</f>
        <v>20</v>
      </c>
      <c r="N18">
        <f>Table2[[#This Row],[Year 1 FPTs]]+Table2[[#This Row],[Year 2 FPTs]]+Table2[[#This Row],[Year 3 FPTs]]</f>
        <v>136</v>
      </c>
      <c r="O18" s="7">
        <f>IFERROR(Table2[[#This Row],[Total FPTs]]/Table2[[#This Row],[Total G]],0)</f>
        <v>6.8</v>
      </c>
      <c r="P18">
        <v>7</v>
      </c>
      <c r="Q18" s="8">
        <f xml:space="preserve"> IFERROR(SUMIFS('College Data By Year'!J:J,'College Data By Year'!A:A,Table2[[#This Row],[Player Name]])/SUMIFS('College Data By Year'!L:L,'College Data By Year'!A:A,Table2[[#This Row],[Player Name]]),"")</f>
        <v>-3.2130189860212807E-2</v>
      </c>
      <c r="R18" s="11">
        <f xml:space="preserve"> IFERROR(SUMIFS('College Data By Year'!D:D,'College Data By Year'!A:A,Table2[[#This Row],[Player Name]])/SUMIFS('College Data By Year'!B:B,'College Data By Year'!A:A,Table2[[#This Row],[Player Name]]),"")</f>
        <v>5.0427350427350429E-2</v>
      </c>
      <c r="S18">
        <f>IF(SUMIFS('College Data By Year'!H:H,'College Data By Year'!A:A,Table2[[#This Row],[Player Name]])=0,"",SUMIFS('College Data By Year'!H:H,'College Data By Year'!A:A,Table2[[#This Row],[Player Name]]))</f>
        <v>140.1</v>
      </c>
      <c r="T18" s="7">
        <f>IFERROR(SUMIFS('College Data By Year'!D:D,'College Data By Year'!A:A,Table2[[#This Row],[Player Name]])/SUMIFS('College Data By Year'!E:E,'College Data By Year'!A:A,Table2[[#This Row],[Player Name]]),"")</f>
        <v>2.2692307692307692</v>
      </c>
      <c r="U18" s="7">
        <f>IFERROR(SUMIFS('College Data By Year'!B:B,'College Data By Year'!A:A,Table2[[#This Row],[Player Name]])/SUMIFS('College Data By Year'!I:I,'College Data By Year'!A:A,Table2[[#This Row],[Player Name]]),"")</f>
        <v>10.73394495412844</v>
      </c>
      <c r="V18">
        <f>IF(SUMIFS('College Data By Year'!F:F,'College Data By Year'!A:A,Table2[[#This Row],[Player Name]])=0,"",SUMIFS('College Data By Year'!F:F,'College Data By Year'!A:A,Table2[[#This Row],[Player Name]]))</f>
        <v>8</v>
      </c>
      <c r="W18">
        <f>IF(SUMIFS('College Data By Year'!G:G,'College Data By Year'!A:A,Table2[[#This Row],[Player Name]])=0,"",SUMIFS('College Data By Year'!G:G,'College Data By Year'!A:A,Table2[[#This Row],[Player Name]]))</f>
        <v>8</v>
      </c>
      <c r="X1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4.2220484753713837E-2</v>
      </c>
      <c r="Y18">
        <v>4.92</v>
      </c>
      <c r="Z18">
        <v>9.875</v>
      </c>
      <c r="AA18" t="s">
        <v>227</v>
      </c>
      <c r="AB18">
        <v>226</v>
      </c>
      <c r="AC18">
        <v>27.5</v>
      </c>
      <c r="AD18">
        <f>ROUND(IF(Table2[[#This Row],[LZ Grade]]=0,10/(9.297*7-49.141)*(9.297*5.723-49.141),IF(Table2[[#This Row],[LZ Grade]]&lt;5.285,0,IF(Table2[[#This Row],[LZ Grade]]&gt;=7,10,10/(9.297*7-49.141)*(9.297*Table2[[#This Row],[LZ Grade]]-49.141)))),0)</f>
        <v>8</v>
      </c>
      <c r="AE18">
        <f>ROUND(IF(Table2[[#This Row],[Draft Round]]=1,10,IF(Table2[[#This Row],[Draft Round]]=8,0,10/(20.884*EXP(-0.381*1))*(20.884*EXP(-0.381*Table2[[#This Row],[Draft Round]])))),0)</f>
        <v>10</v>
      </c>
      <c r="AF18">
        <f>ROUND(IF(Table2[[#This Row],[College BF Dominator]]&gt;0.3,10,IF(Table2[[#This Row],[College BF Dominator]]&lt;-0.156,0,10/(20.818*0.3+3.2667)*(20.818*Table2[[#This Row],[College BF Dominator]]+3.2667))),0)</f>
        <v>3</v>
      </c>
      <c r="AG18">
        <f>ROUND(IF(Table2[[#This Row],[College PTDR]]&gt;0.085,10,IF(Table2[[#This Row],[College PTDR]]&lt;0.04,0,10/(105.24*0.085-1.7837)*(105.24*Table2[[#This Row],[College PTDR]]-1.7837))),0)</f>
        <v>5</v>
      </c>
      <c r="AH18">
        <f>ROUND(IF(Table2[[#This Row],[College Passer Rating]]&gt;170,10,IF(Table2[[#This Row],[College Passer Rating]]&lt;112.475,0,10/(0.1495*170-16.815)*(0.1495*Table2[[#This Row],[College Passer Rating]]-16.815))),0)</f>
        <v>5</v>
      </c>
      <c r="AI18">
        <f>ROUND(IF(Table2[[#This Row],[PTD:INT]]&gt;4,10,IF(Table2[[#This Row],[PTD:INT]]&lt;1,0,10/(4.7442*LN(4)+0.4256)*(4.7442*LN(Table2[[#This Row],[PTD:INT]])+0.4256))),0)</f>
        <v>6</v>
      </c>
      <c r="AJ18">
        <f>ROUND(IF(Table2[[#This Row],[Patt:Ratt]]&lt;2.5,10,IF(Table2[[#This Row],[Patt:Ratt]]&gt;15,0,10/(-2.684*LN(2.5)+9.0869)*(-2.684*LN(Table2[[#This Row],[Patt:Ratt]])+9.0869))),0)</f>
        <v>4</v>
      </c>
      <c r="AK18">
        <f>ROUND(IF(Table2[[#This Row],[Y/A]]&gt;9.2,10,IF(Table2[[#This Row],[Y/A]]&lt;6.26,0,10/(2.2619*9.2-14.16)*(2.2619*Table2[[#This Row],[Y/A]]-14.16))),0)</f>
        <v>6</v>
      </c>
      <c r="AL18">
        <f>ROUND(IF(Table2[[#This Row],[AY/A]]&gt;10,10,IF(Table2[[#This Row],[AY/A]]&lt;5.51,0,10/(1.6571*10-9.1312)*(1.6571*Table2[[#This Row],[AY/A]]-9.1312))),0)</f>
        <v>6</v>
      </c>
      <c r="AM18">
        <f>ROUND(IF(Table2[[#This Row],[40 Yd Dash]]&lt;4.75,10,IF(Table2[[#This Row],[40 Yd Dash]]&gt;5.191,0,10/(-66.95*LN(4.75)+110.26)*(-66.95*LN(Table2[[#This Row],[40 Yd Dash]])+110.26))),0)</f>
        <v>6</v>
      </c>
      <c r="AN18">
        <f>ROUND(IF(Table2[[#This Row],[Hand Size]]&gt;10.25,10,IF(Table2[[#This Row],[Hand Size]]&lt;9,0,10/(15.49*LN(10.25)-30.577)*(15.49*LN(Table2[[#This Row],[Hand Size]])-30.577))),0)</f>
        <v>9</v>
      </c>
    </row>
    <row r="19" spans="1:40">
      <c r="A19">
        <v>2019</v>
      </c>
      <c r="B19">
        <v>2</v>
      </c>
      <c r="C19" t="s">
        <v>219</v>
      </c>
      <c r="D19" t="s">
        <v>43</v>
      </c>
      <c r="E19">
        <v>6.4</v>
      </c>
      <c r="F19" t="s">
        <v>224</v>
      </c>
      <c r="G19">
        <f>SUMIFS('NFL QB Data By Year'!$Q:$Q,'NFL QB Data By Year'!$D:$D,Table2[[#This Row],[Player Name]],'NFL QB Data By Year'!$B:$B,Table2[[#This Row],[Draft Year]]+G$1)</f>
        <v>5</v>
      </c>
      <c r="H19">
        <f>SUMIFS('NFL QB Data By Year'!$P:$P,'NFL QB Data By Year'!$D:$D,Table2[[#This Row],[Player Name]],'NFL QB Data By Year'!$B:$B,Table2[[#This Row],[Draft Year]]+H$1)</f>
        <v>71.099999999999994</v>
      </c>
      <c r="I19">
        <f>SUMIFS('NFL QB Data By Year'!$Q:$Q,'NFL QB Data By Year'!$D:$D,Table2[[#This Row],[Player Name]],'NFL QB Data By Year'!$B:$B,Table2[[#This Row],[Draft Year]]+I$1)</f>
        <v>13</v>
      </c>
      <c r="J19">
        <f>SUMIFS('NFL QB Data By Year'!$P:$P,'NFL QB Data By Year'!$D:$D,Table2[[#This Row],[Player Name]],'NFL QB Data By Year'!$B:$B,Table2[[#This Row],[Draft Year]]+J$1)</f>
        <v>196.4</v>
      </c>
      <c r="K19">
        <f>SUMIFS('NFL QB Data By Year'!$Q:$Q,'NFL QB Data By Year'!$D:$D,Table2[[#This Row],[Player Name]],'NFL QB Data By Year'!$B:$B,Table2[[#This Row],[Draft Year]]+K$1)</f>
        <v>6</v>
      </c>
      <c r="L19">
        <f>SUMIFS('NFL QB Data By Year'!$P:$P,'NFL QB Data By Year'!$D:$D,Table2[[#This Row],[Player Name]],'NFL QB Data By Year'!$B:$B,Table2[[#This Row],[Draft Year]]+L$1)</f>
        <v>53.3</v>
      </c>
      <c r="M19">
        <f>Table2[[#This Row],[Year 1 G]]+Table2[[#This Row],[Year 2 G]]+Table2[[#This Row],[Year 3 G]]</f>
        <v>24</v>
      </c>
      <c r="N19">
        <f>Table2[[#This Row],[Year 1 FPTs]]+Table2[[#This Row],[Year 2 FPTs]]+Table2[[#This Row],[Year 3 FPTs]]</f>
        <v>320.8</v>
      </c>
      <c r="O19" s="7">
        <f>IFERROR(Table2[[#This Row],[Total FPTs]]/Table2[[#This Row],[Total G]],0)</f>
        <v>13.366666666666667</v>
      </c>
      <c r="P19">
        <v>4</v>
      </c>
      <c r="Q19" s="8">
        <f xml:space="preserve"> IFERROR(SUMIFS('College Data By Year'!J:J,'College Data By Year'!A:A,Table2[[#This Row],[Player Name]])/SUMIFS('College Data By Year'!L:L,'College Data By Year'!A:A,Table2[[#This Row],[Player Name]]),"")</f>
        <v>4.8647445174217964E-2</v>
      </c>
      <c r="R19" s="11">
        <f xml:space="preserve"> IFERROR(SUMIFS('College Data By Year'!D:D,'College Data By Year'!A:A,Table2[[#This Row],[Player Name]])/SUMIFS('College Data By Year'!B:B,'College Data By Year'!A:A,Table2[[#This Row],[Player Name]]),"")</f>
        <v>6.374758531873792E-2</v>
      </c>
      <c r="S19">
        <f>IF(SUMIFS('College Data By Year'!H:H,'College Data By Year'!A:A,Table2[[#This Row],[Player Name]])=0,"",SUMIFS('College Data By Year'!H:H,'College Data By Year'!A:A,Table2[[#This Row],[Player Name]]))</f>
        <v>138.80000000000001</v>
      </c>
      <c r="T19" s="7">
        <f>IFERROR(SUMIFS('College Data By Year'!D:D,'College Data By Year'!A:A,Table2[[#This Row],[Player Name]])/SUMIFS('College Data By Year'!E:E,'College Data By Year'!A:A,Table2[[#This Row],[Player Name]]),"")</f>
        <v>2.5384615384615383</v>
      </c>
      <c r="U19" s="7">
        <f>IFERROR(SUMIFS('College Data By Year'!B:B,'College Data By Year'!A:A,Table2[[#This Row],[Player Name]])/SUMIFS('College Data By Year'!I:I,'College Data By Year'!A:A,Table2[[#This Row],[Player Name]]),"")</f>
        <v>7.6881188118811883</v>
      </c>
      <c r="V19">
        <f>IF(SUMIFS('College Data By Year'!F:F,'College Data By Year'!A:A,Table2[[#This Row],[Player Name]])=0,"",SUMIFS('College Data By Year'!F:F,'College Data By Year'!A:A,Table2[[#This Row],[Player Name]]))</f>
        <v>7.9</v>
      </c>
      <c r="W19">
        <f>IF(SUMIFS('College Data By Year'!G:G,'College Data By Year'!A:A,Table2[[#This Row],[Player Name]])=0,"",SUMIFS('College Data By Year'!G:G,'College Data By Year'!A:A,Table2[[#This Row],[Player Name]]))</f>
        <v>8</v>
      </c>
      <c r="X1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3.5327635327635325E-2</v>
      </c>
      <c r="Y19">
        <v>4.6900000000000004</v>
      </c>
      <c r="Z19">
        <v>9</v>
      </c>
      <c r="AA19" t="s">
        <v>227</v>
      </c>
      <c r="AB19">
        <v>228</v>
      </c>
      <c r="AC19">
        <v>27.8</v>
      </c>
      <c r="AD19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9">
        <f>ROUND(IF(Table2[[#This Row],[Draft Round]]=1,10,IF(Table2[[#This Row],[Draft Round]]=8,0,10/(20.884*EXP(-0.381*1))*(20.884*EXP(-0.381*Table2[[#This Row],[Draft Round]])))),0)</f>
        <v>7</v>
      </c>
      <c r="AF19">
        <f>ROUND(IF(Table2[[#This Row],[College BF Dominator]]&gt;0.3,10,IF(Table2[[#This Row],[College BF Dominator]]&lt;-0.156,0,10/(20.818*0.3+3.2667)*(20.818*Table2[[#This Row],[College BF Dominator]]+3.2667))),0)</f>
        <v>4</v>
      </c>
      <c r="AG19">
        <f>ROUND(IF(Table2[[#This Row],[College PTDR]]&gt;0.085,10,IF(Table2[[#This Row],[College PTDR]]&lt;0.04,0,10/(105.24*0.085-1.7837)*(105.24*Table2[[#This Row],[College PTDR]]-1.7837))),0)</f>
        <v>7</v>
      </c>
      <c r="AH19">
        <f>ROUND(IF(Table2[[#This Row],[College Passer Rating]]&gt;170,10,IF(Table2[[#This Row],[College Passer Rating]]&lt;112.475,0,10/(0.1495*170-16.815)*(0.1495*Table2[[#This Row],[College Passer Rating]]-16.815))),0)</f>
        <v>5</v>
      </c>
      <c r="AI19">
        <f>ROUND(IF(Table2[[#This Row],[PTD:INT]]&gt;4,10,IF(Table2[[#This Row],[PTD:INT]]&lt;1,0,10/(4.7442*LN(4)+0.4256)*(4.7442*LN(Table2[[#This Row],[PTD:INT]])+0.4256))),0)</f>
        <v>7</v>
      </c>
      <c r="AJ19">
        <f>ROUND(IF(Table2[[#This Row],[Patt:Ratt]]&lt;2.5,10,IF(Table2[[#This Row],[Patt:Ratt]]&gt;15,0,10/(-2.684*LN(2.5)+9.0869)*(-2.684*LN(Table2[[#This Row],[Patt:Ratt]])+9.0869))),0)</f>
        <v>5</v>
      </c>
      <c r="AK19">
        <f>ROUND(IF(Table2[[#This Row],[Y/A]]&gt;9.2,10,IF(Table2[[#This Row],[Y/A]]&lt;6.26,0,10/(2.2619*9.2-14.16)*(2.2619*Table2[[#This Row],[Y/A]]-14.16))),0)</f>
        <v>6</v>
      </c>
      <c r="AL19">
        <f>ROUND(IF(Table2[[#This Row],[AY/A]]&gt;10,10,IF(Table2[[#This Row],[AY/A]]&lt;5.51,0,10/(1.6571*10-9.1312)*(1.6571*Table2[[#This Row],[AY/A]]-9.1312))),0)</f>
        <v>6</v>
      </c>
      <c r="AM19">
        <f>ROUND(IF(Table2[[#This Row],[40 Yd Dash]]&lt;4.75,10,IF(Table2[[#This Row],[40 Yd Dash]]&gt;5.191,0,10/(-66.95*LN(4.75)+110.26)*(-66.95*LN(Table2[[#This Row],[40 Yd Dash]])+110.26))),0)</f>
        <v>10</v>
      </c>
      <c r="AN19">
        <f>ROUND(IF(Table2[[#This Row],[Hand Size]]&gt;10.25,10,IF(Table2[[#This Row],[Hand Size]]&lt;9,0,10/(15.49*LN(10.25)-30.577)*(15.49*LN(Table2[[#This Row],[Hand Size]])-30.577))),0)</f>
        <v>6</v>
      </c>
    </row>
    <row r="20" spans="1:40">
      <c r="A20">
        <v>2017</v>
      </c>
      <c r="B20">
        <v>2</v>
      </c>
      <c r="C20" t="s">
        <v>219</v>
      </c>
      <c r="D20" t="s">
        <v>41</v>
      </c>
      <c r="E20">
        <v>6.3</v>
      </c>
      <c r="F20" t="s">
        <v>220</v>
      </c>
      <c r="G20">
        <f>SUMIFS('NFL QB Data By Year'!$Q:$Q,'NFL QB Data By Year'!$D:$D,Table2[[#This Row],[Player Name]],'NFL QB Data By Year'!$B:$B,Table2[[#This Row],[Draft Year]]+G$1)</f>
        <v>15</v>
      </c>
      <c r="H20">
        <f>SUMIFS('NFL QB Data By Year'!$P:$P,'NFL QB Data By Year'!$D:$D,Table2[[#This Row],[Player Name]],'NFL QB Data By Year'!$B:$B,Table2[[#This Row],[Draft Year]]+H$1)</f>
        <v>175.9</v>
      </c>
      <c r="I20">
        <f>SUMIFS('NFL QB Data By Year'!$Q:$Q,'NFL QB Data By Year'!$D:$D,Table2[[#This Row],[Player Name]],'NFL QB Data By Year'!$B:$B,Table2[[#This Row],[Draft Year]]+I$1)</f>
        <v>3</v>
      </c>
      <c r="J20">
        <f>SUMIFS('NFL QB Data By Year'!$P:$P,'NFL QB Data By Year'!$D:$D,Table2[[#This Row],[Player Name]],'NFL QB Data By Year'!$B:$B,Table2[[#This Row],[Draft Year]]+J$1)</f>
        <v>5.4</v>
      </c>
      <c r="K20">
        <f>SUMIFS('NFL QB Data By Year'!$Q:$Q,'NFL QB Data By Year'!$D:$D,Table2[[#This Row],[Player Name]],'NFL QB Data By Year'!$B:$B,Table2[[#This Row],[Draft Year]]+K$1)</f>
        <v>0</v>
      </c>
      <c r="L20">
        <f>SUMIFS('NFL QB Data By Year'!$P:$P,'NFL QB Data By Year'!$D:$D,Table2[[#This Row],[Player Name]],'NFL QB Data By Year'!$B:$B,Table2[[#This Row],[Draft Year]]+L$1)</f>
        <v>0</v>
      </c>
      <c r="M20">
        <f>Table2[[#This Row],[Year 1 G]]+Table2[[#This Row],[Year 2 G]]+Table2[[#This Row],[Year 3 G]]</f>
        <v>18</v>
      </c>
      <c r="N20">
        <f>Table2[[#This Row],[Year 1 FPTs]]+Table2[[#This Row],[Year 2 FPTs]]+Table2[[#This Row],[Year 3 FPTs]]</f>
        <v>181.3</v>
      </c>
      <c r="O20" s="7">
        <f>IFERROR(Table2[[#This Row],[Total FPTs]]/Table2[[#This Row],[Total G]],0)</f>
        <v>10.072222222222223</v>
      </c>
      <c r="P20">
        <v>6</v>
      </c>
      <c r="Q20" s="8">
        <f xml:space="preserve"> IFERROR(SUMIFS('College Data By Year'!J:J,'College Data By Year'!A:A,Table2[[#This Row],[Player Name]])/SUMIFS('College Data By Year'!L:L,'College Data By Year'!A:A,Table2[[#This Row],[Player Name]]),"")</f>
        <v>0.21399441940330544</v>
      </c>
      <c r="R20" s="11">
        <f xml:space="preserve"> IFERROR(SUMIFS('College Data By Year'!D:D,'College Data By Year'!A:A,Table2[[#This Row],[Player Name]])/SUMIFS('College Data By Year'!B:B,'College Data By Year'!A:A,Table2[[#This Row],[Player Name]]),"")</f>
        <v>6.7625899280575538E-2</v>
      </c>
      <c r="S20">
        <f>IF(SUMIFS('College Data By Year'!H:H,'College Data By Year'!A:A,Table2[[#This Row],[Player Name]])=0,"",SUMIFS('College Data By Year'!H:H,'College Data By Year'!A:A,Table2[[#This Row],[Player Name]]))</f>
        <v>147.69999999999999</v>
      </c>
      <c r="T20" s="7">
        <f>IFERROR(SUMIFS('College Data By Year'!D:D,'College Data By Year'!A:A,Table2[[#This Row],[Player Name]])/SUMIFS('College Data By Year'!E:E,'College Data By Year'!A:A,Table2[[#This Row],[Player Name]]),"")</f>
        <v>2.4736842105263159</v>
      </c>
      <c r="U20" s="7">
        <f>IFERROR(SUMIFS('College Data By Year'!B:B,'College Data By Year'!A:A,Table2[[#This Row],[Player Name]])/SUMIFS('College Data By Year'!I:I,'College Data By Year'!A:A,Table2[[#This Row],[Player Name]]),"")</f>
        <v>2.6325757575757578</v>
      </c>
      <c r="V20">
        <f>IF(SUMIFS('College Data By Year'!F:F,'College Data By Year'!A:A,Table2[[#This Row],[Player Name]])=0,"",SUMIFS('College Data By Year'!F:F,'College Data By Year'!A:A,Table2[[#This Row],[Player Name]]))</f>
        <v>8.4</v>
      </c>
      <c r="W20">
        <f>IF(SUMIFS('College Data By Year'!G:G,'College Data By Year'!A:A,Table2[[#This Row],[Player Name]])=0,"",SUMIFS('College Data By Year'!G:G,'College Data By Year'!A:A,Table2[[#This Row],[Player Name]]))</f>
        <v>8.5</v>
      </c>
      <c r="X2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5.0052137643378521E-2</v>
      </c>
      <c r="Y20">
        <v>4.83</v>
      </c>
      <c r="Z20">
        <v>9.875</v>
      </c>
      <c r="AA20" t="s">
        <v>227</v>
      </c>
      <c r="AB20">
        <v>233</v>
      </c>
      <c r="AC20">
        <v>28.4</v>
      </c>
      <c r="AD20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20">
        <f>ROUND(IF(Table2[[#This Row],[Draft Round]]=1,10,IF(Table2[[#This Row],[Draft Round]]=8,0,10/(20.884*EXP(-0.381*1))*(20.884*EXP(-0.381*Table2[[#This Row],[Draft Round]])))),0)</f>
        <v>7</v>
      </c>
      <c r="AF20">
        <f>ROUND(IF(Table2[[#This Row],[College BF Dominator]]&gt;0.3,10,IF(Table2[[#This Row],[College BF Dominator]]&lt;-0.156,0,10/(20.818*0.3+3.2667)*(20.818*Table2[[#This Row],[College BF Dominator]]+3.2667))),0)</f>
        <v>8</v>
      </c>
      <c r="AG20">
        <f>ROUND(IF(Table2[[#This Row],[College PTDR]]&gt;0.085,10,IF(Table2[[#This Row],[College PTDR]]&lt;0.04,0,10/(105.24*0.085-1.7837)*(105.24*Table2[[#This Row],[College PTDR]]-1.7837))),0)</f>
        <v>7</v>
      </c>
      <c r="AH20">
        <f>ROUND(IF(Table2[[#This Row],[College Passer Rating]]&gt;170,10,IF(Table2[[#This Row],[College Passer Rating]]&lt;112.475,0,10/(0.1495*170-16.815)*(0.1495*Table2[[#This Row],[College Passer Rating]]-16.815))),0)</f>
        <v>6</v>
      </c>
      <c r="AI20">
        <f>ROUND(IF(Table2[[#This Row],[PTD:INT]]&gt;4,10,IF(Table2[[#This Row],[PTD:INT]]&lt;1,0,10/(4.7442*LN(4)+0.4256)*(4.7442*LN(Table2[[#This Row],[PTD:INT]])+0.4256))),0)</f>
        <v>7</v>
      </c>
      <c r="AJ20">
        <f>ROUND(IF(Table2[[#This Row],[Patt:Ratt]]&lt;2.5,10,IF(Table2[[#This Row],[Patt:Ratt]]&gt;15,0,10/(-2.684*LN(2.5)+9.0869)*(-2.684*LN(Table2[[#This Row],[Patt:Ratt]])+9.0869))),0)</f>
        <v>10</v>
      </c>
      <c r="AK20">
        <f>ROUND(IF(Table2[[#This Row],[Y/A]]&gt;9.2,10,IF(Table2[[#This Row],[Y/A]]&lt;6.26,0,10/(2.2619*9.2-14.16)*(2.2619*Table2[[#This Row],[Y/A]]-14.16))),0)</f>
        <v>7</v>
      </c>
      <c r="AL20">
        <f>ROUND(IF(Table2[[#This Row],[AY/A]]&gt;10,10,IF(Table2[[#This Row],[AY/A]]&lt;5.51,0,10/(1.6571*10-9.1312)*(1.6571*Table2[[#This Row],[AY/A]]-9.1312))),0)</f>
        <v>7</v>
      </c>
      <c r="AM20">
        <f>ROUND(IF(Table2[[#This Row],[40 Yd Dash]]&lt;4.75,10,IF(Table2[[#This Row],[40 Yd Dash]]&gt;5.191,0,10/(-66.95*LN(4.75)+110.26)*(-66.95*LN(Table2[[#This Row],[40 Yd Dash]])+110.26))),0)</f>
        <v>8</v>
      </c>
      <c r="AN20">
        <f>ROUND(IF(Table2[[#This Row],[Hand Size]]&gt;10.25,10,IF(Table2[[#This Row],[Hand Size]]&lt;9,0,10/(15.49*LN(10.25)-30.577)*(15.49*LN(Table2[[#This Row],[Hand Size]])-30.577))),0)</f>
        <v>9</v>
      </c>
    </row>
    <row r="21" spans="1:40">
      <c r="A21">
        <v>2016</v>
      </c>
      <c r="B21">
        <v>2</v>
      </c>
      <c r="C21" t="s">
        <v>219</v>
      </c>
      <c r="D21" t="s">
        <v>53</v>
      </c>
      <c r="E21">
        <v>6.1</v>
      </c>
      <c r="F21" t="s">
        <v>231</v>
      </c>
      <c r="G21">
        <f>SUMIFS('NFL QB Data By Year'!$Q:$Q,'NFL QB Data By Year'!$D:$D,Table2[[#This Row],[Player Name]],'NFL QB Data By Year'!$B:$B,Table2[[#This Row],[Draft Year]]+G$1)</f>
        <v>0</v>
      </c>
      <c r="H21">
        <f>SUMIFS('NFL QB Data By Year'!$P:$P,'NFL QB Data By Year'!$D:$D,Table2[[#This Row],[Player Name]],'NFL QB Data By Year'!$B:$B,Table2[[#This Row],[Draft Year]]+H$1)</f>
        <v>0</v>
      </c>
      <c r="I21">
        <f>SUMIFS('NFL QB Data By Year'!$Q:$Q,'NFL QB Data By Year'!$D:$D,Table2[[#This Row],[Player Name]],'NFL QB Data By Year'!$B:$B,Table2[[#This Row],[Draft Year]]+I$1)</f>
        <v>0</v>
      </c>
      <c r="J21">
        <f>SUMIFS('NFL QB Data By Year'!$P:$P,'NFL QB Data By Year'!$D:$D,Table2[[#This Row],[Player Name]],'NFL QB Data By Year'!$B:$B,Table2[[#This Row],[Draft Year]]+J$1)</f>
        <v>0</v>
      </c>
      <c r="K21">
        <f>SUMIFS('NFL QB Data By Year'!$Q:$Q,'NFL QB Data By Year'!$D:$D,Table2[[#This Row],[Player Name]],'NFL QB Data By Year'!$B:$B,Table2[[#This Row],[Draft Year]]+K$1)</f>
        <v>0</v>
      </c>
      <c r="L21">
        <f>SUMIFS('NFL QB Data By Year'!$P:$P,'NFL QB Data By Year'!$D:$D,Table2[[#This Row],[Player Name]],'NFL QB Data By Year'!$B:$B,Table2[[#This Row],[Draft Year]]+L$1)</f>
        <v>0</v>
      </c>
      <c r="M21">
        <f>Table2[[#This Row],[Year 1 G]]+Table2[[#This Row],[Year 2 G]]+Table2[[#This Row],[Year 3 G]]</f>
        <v>0</v>
      </c>
      <c r="N21">
        <f>Table2[[#This Row],[Year 1 FPTs]]+Table2[[#This Row],[Year 2 FPTs]]+Table2[[#This Row],[Year 3 FPTs]]</f>
        <v>0</v>
      </c>
      <c r="O21" s="7">
        <f>IFERROR(Table2[[#This Row],[Total FPTs]]/Table2[[#This Row],[Total G]],0)</f>
        <v>0</v>
      </c>
      <c r="P21">
        <v>10</v>
      </c>
      <c r="Q21" s="8">
        <f xml:space="preserve"> IFERROR(SUMIFS('College Data By Year'!J:J,'College Data By Year'!A:A,Table2[[#This Row],[Player Name]])/SUMIFS('College Data By Year'!L:L,'College Data By Year'!A:A,Table2[[#This Row],[Player Name]]),"")</f>
        <v>-4.6926507659491953E-2</v>
      </c>
      <c r="R21" s="11">
        <f xml:space="preserve"> IFERROR(SUMIFS('College Data By Year'!D:D,'College Data By Year'!A:A,Table2[[#This Row],[Player Name]])/SUMIFS('College Data By Year'!B:B,'College Data By Year'!A:A,Table2[[#This Row],[Player Name]]),"")</f>
        <v>3.8866396761133605E-2</v>
      </c>
      <c r="S21">
        <f>IF(SUMIFS('College Data By Year'!H:H,'College Data By Year'!A:A,Table2[[#This Row],[Player Name]])=0,"",SUMIFS('College Data By Year'!H:H,'College Data By Year'!A:A,Table2[[#This Row],[Player Name]]))</f>
        <v>121.4</v>
      </c>
      <c r="T21" s="7">
        <f>IFERROR(SUMIFS('College Data By Year'!D:D,'College Data By Year'!A:A,Table2[[#This Row],[Player Name]])/SUMIFS('College Data By Year'!E:E,'College Data By Year'!A:A,Table2[[#This Row],[Player Name]]),"")</f>
        <v>1.5483870967741935</v>
      </c>
      <c r="U21" s="7">
        <f>IFERROR(SUMIFS('College Data By Year'!B:B,'College Data By Year'!A:A,Table2[[#This Row],[Player Name]])/SUMIFS('College Data By Year'!I:I,'College Data By Year'!A:A,Table2[[#This Row],[Player Name]]),"")</f>
        <v>5.9375</v>
      </c>
      <c r="V21">
        <f>IF(SUMIFS('College Data By Year'!F:F,'College Data By Year'!A:A,Table2[[#This Row],[Player Name]])=0,"",SUMIFS('College Data By Year'!F:F,'College Data By Year'!A:A,Table2[[#This Row],[Player Name]]))</f>
        <v>6.8</v>
      </c>
      <c r="W21">
        <f>IF(SUMIFS('College Data By Year'!G:G,'College Data By Year'!A:A,Table2[[#This Row],[Player Name]])=0,"",SUMIFS('College Data By Year'!G:G,'College Data By Year'!A:A,Table2[[#This Row],[Player Name]]))</f>
        <v>6.5</v>
      </c>
      <c r="X2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7.1379071379071374E-2</v>
      </c>
      <c r="Y21">
        <v>4.78</v>
      </c>
      <c r="Z21">
        <v>9</v>
      </c>
      <c r="AA21" t="s">
        <v>227</v>
      </c>
      <c r="AB21">
        <v>223</v>
      </c>
      <c r="AC21">
        <v>27.1</v>
      </c>
      <c r="AD21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21">
        <f>ROUND(IF(Table2[[#This Row],[Draft Round]]=1,10,IF(Table2[[#This Row],[Draft Round]]=8,0,10/(20.884*EXP(-0.381*1))*(20.884*EXP(-0.381*Table2[[#This Row],[Draft Round]])))),0)</f>
        <v>7</v>
      </c>
      <c r="AF21">
        <f>ROUND(IF(Table2[[#This Row],[College BF Dominator]]&gt;0.3,10,IF(Table2[[#This Row],[College BF Dominator]]&lt;-0.156,0,10/(20.818*0.3+3.2667)*(20.818*Table2[[#This Row],[College BF Dominator]]+3.2667))),0)</f>
        <v>2</v>
      </c>
      <c r="AG21">
        <f>ROUND(IF(Table2[[#This Row],[College PTDR]]&gt;0.085,10,IF(Table2[[#This Row],[College PTDR]]&lt;0.04,0,10/(105.24*0.085-1.7837)*(105.24*Table2[[#This Row],[College PTDR]]-1.7837))),0)</f>
        <v>0</v>
      </c>
      <c r="AH21">
        <f>ROUND(IF(Table2[[#This Row],[College Passer Rating]]&gt;170,10,IF(Table2[[#This Row],[College Passer Rating]]&lt;112.475,0,10/(0.1495*170-16.815)*(0.1495*Table2[[#This Row],[College Passer Rating]]-16.815))),0)</f>
        <v>2</v>
      </c>
      <c r="AI21">
        <f>ROUND(IF(Table2[[#This Row],[PTD:INT]]&gt;4,10,IF(Table2[[#This Row],[PTD:INT]]&lt;1,0,10/(4.7442*LN(4)+0.4256)*(4.7442*LN(Table2[[#This Row],[PTD:INT]])+0.4256))),0)</f>
        <v>4</v>
      </c>
      <c r="AJ21">
        <f>ROUND(IF(Table2[[#This Row],[Patt:Ratt]]&lt;2.5,10,IF(Table2[[#This Row],[Patt:Ratt]]&gt;15,0,10/(-2.684*LN(2.5)+9.0869)*(-2.684*LN(Table2[[#This Row],[Patt:Ratt]])+9.0869))),0)</f>
        <v>6</v>
      </c>
      <c r="AK21">
        <f>ROUND(IF(Table2[[#This Row],[Y/A]]&gt;9.2,10,IF(Table2[[#This Row],[Y/A]]&lt;6.26,0,10/(2.2619*9.2-14.16)*(2.2619*Table2[[#This Row],[Y/A]]-14.16))),0)</f>
        <v>2</v>
      </c>
      <c r="AL21">
        <f>ROUND(IF(Table2[[#This Row],[AY/A]]&gt;10,10,IF(Table2[[#This Row],[AY/A]]&lt;5.51,0,10/(1.6571*10-9.1312)*(1.6571*Table2[[#This Row],[AY/A]]-9.1312))),0)</f>
        <v>2</v>
      </c>
      <c r="AM21">
        <f>ROUND(IF(Table2[[#This Row],[40 Yd Dash]]&lt;4.75,10,IF(Table2[[#This Row],[40 Yd Dash]]&gt;5.191,0,10/(-66.95*LN(4.75)+110.26)*(-66.95*LN(Table2[[#This Row],[40 Yd Dash]])+110.26))),0)</f>
        <v>9</v>
      </c>
      <c r="AN21">
        <f>ROUND(IF(Table2[[#This Row],[Hand Size]]&gt;10.25,10,IF(Table2[[#This Row],[Hand Size]]&lt;9,0,10/(15.49*LN(10.25)-30.577)*(15.49*LN(Table2[[#This Row],[Hand Size]])-30.577))),0)</f>
        <v>6</v>
      </c>
    </row>
    <row r="22" spans="1:40">
      <c r="A22">
        <v>2017</v>
      </c>
      <c r="B22">
        <v>3</v>
      </c>
      <c r="C22" t="s">
        <v>219</v>
      </c>
      <c r="D22" t="s">
        <v>72</v>
      </c>
      <c r="E22">
        <v>5.5</v>
      </c>
      <c r="F22" t="s">
        <v>232</v>
      </c>
      <c r="G22">
        <f>SUMIFS('NFL QB Data By Year'!$Q:$Q,'NFL QB Data By Year'!$D:$D,Table2[[#This Row],[Player Name]],'NFL QB Data By Year'!$B:$B,Table2[[#This Row],[Draft Year]]+G$1)</f>
        <v>7</v>
      </c>
      <c r="H22">
        <f>SUMIFS('NFL QB Data By Year'!$P:$P,'NFL QB Data By Year'!$D:$D,Table2[[#This Row],[Player Name]],'NFL QB Data By Year'!$B:$B,Table2[[#This Row],[Draft Year]]+H$1)</f>
        <v>88.8</v>
      </c>
      <c r="I22">
        <f>SUMIFS('NFL QB Data By Year'!$Q:$Q,'NFL QB Data By Year'!$D:$D,Table2[[#This Row],[Player Name]],'NFL QB Data By Year'!$B:$B,Table2[[#This Row],[Draft Year]]+I$1)</f>
        <v>6</v>
      </c>
      <c r="J22">
        <f>SUMIFS('NFL QB Data By Year'!$P:$P,'NFL QB Data By Year'!$D:$D,Table2[[#This Row],[Player Name]],'NFL QB Data By Year'!$B:$B,Table2[[#This Row],[Draft Year]]+J$1)</f>
        <v>75</v>
      </c>
      <c r="K22">
        <f>SUMIFS('NFL QB Data By Year'!$Q:$Q,'NFL QB Data By Year'!$D:$D,Table2[[#This Row],[Player Name]],'NFL QB Data By Year'!$B:$B,Table2[[#This Row],[Draft Year]]+K$1)</f>
        <v>1</v>
      </c>
      <c r="L22">
        <f>SUMIFS('NFL QB Data By Year'!$P:$P,'NFL QB Data By Year'!$D:$D,Table2[[#This Row],[Player Name]],'NFL QB Data By Year'!$B:$B,Table2[[#This Row],[Draft Year]]+L$1)</f>
        <v>0</v>
      </c>
      <c r="M22">
        <f>Table2[[#This Row],[Year 1 G]]+Table2[[#This Row],[Year 2 G]]+Table2[[#This Row],[Year 3 G]]</f>
        <v>14</v>
      </c>
      <c r="N22">
        <f>Table2[[#This Row],[Year 1 FPTs]]+Table2[[#This Row],[Year 2 FPTs]]+Table2[[#This Row],[Year 3 FPTs]]</f>
        <v>163.80000000000001</v>
      </c>
      <c r="O22" s="7">
        <f>IFERROR(Table2[[#This Row],[Total FPTs]]/Table2[[#This Row],[Total G]],0)</f>
        <v>11.700000000000001</v>
      </c>
      <c r="P22">
        <v>5</v>
      </c>
      <c r="Q22" s="8">
        <f xml:space="preserve"> IFERROR(SUMIFS('College Data By Year'!J:J,'College Data By Year'!A:A,Table2[[#This Row],[Player Name]])/SUMIFS('College Data By Year'!L:L,'College Data By Year'!A:A,Table2[[#This Row],[Player Name]]),"")</f>
        <v>4.6443650535888274E-2</v>
      </c>
      <c r="R22" s="11">
        <f xml:space="preserve"> IFERROR(SUMIFS('College Data By Year'!D:D,'College Data By Year'!A:A,Table2[[#This Row],[Player Name]])/SUMIFS('College Data By Year'!B:B,'College Data By Year'!A:A,Table2[[#This Row],[Player Name]]),"")</f>
        <v>5.1150895140664961E-2</v>
      </c>
      <c r="S22">
        <f>IF(SUMIFS('College Data By Year'!H:H,'College Data By Year'!A:A,Table2[[#This Row],[Player Name]])=0,"",SUMIFS('College Data By Year'!H:H,'College Data By Year'!A:A,Table2[[#This Row],[Player Name]]))</f>
        <v>129.80000000000001</v>
      </c>
      <c r="T22" s="7">
        <f>IFERROR(SUMIFS('College Data By Year'!D:D,'College Data By Year'!A:A,Table2[[#This Row],[Player Name]])/SUMIFS('College Data By Year'!E:E,'College Data By Year'!A:A,Table2[[#This Row],[Player Name]]),"")</f>
        <v>2.1052631578947367</v>
      </c>
      <c r="U22" s="7">
        <f>IFERROR(SUMIFS('College Data By Year'!B:B,'College Data By Year'!A:A,Table2[[#This Row],[Player Name]])/SUMIFS('College Data By Year'!I:I,'College Data By Year'!A:A,Table2[[#This Row],[Player Name]]),"")</f>
        <v>3.4910714285714284</v>
      </c>
      <c r="V22">
        <f>IF(SUMIFS('College Data By Year'!F:F,'College Data By Year'!A:A,Table2[[#This Row],[Player Name]])=0,"",SUMIFS('College Data By Year'!F:F,'College Data By Year'!A:A,Table2[[#This Row],[Player Name]]))</f>
        <v>7.1</v>
      </c>
      <c r="W22">
        <f>IF(SUMIFS('College Data By Year'!G:G,'College Data By Year'!A:A,Table2[[#This Row],[Player Name]])=0,"",SUMIFS('College Data By Year'!G:G,'College Data By Year'!A:A,Table2[[#This Row],[Player Name]]))</f>
        <v>7</v>
      </c>
      <c r="X2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6.3618290258449298E-2</v>
      </c>
      <c r="Y22">
        <v>4.6500000000000004</v>
      </c>
      <c r="Z22">
        <v>9.375</v>
      </c>
      <c r="AA22" t="s">
        <v>221</v>
      </c>
      <c r="AB22">
        <v>219</v>
      </c>
      <c r="AC22">
        <v>28.1</v>
      </c>
      <c r="AD22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22">
        <f>ROUND(IF(Table2[[#This Row],[Draft Round]]=1,10,IF(Table2[[#This Row],[Draft Round]]=8,0,10/(20.884*EXP(-0.381*1))*(20.884*EXP(-0.381*Table2[[#This Row],[Draft Round]])))),0)</f>
        <v>5</v>
      </c>
      <c r="AF22">
        <f>ROUND(IF(Table2[[#This Row],[College BF Dominator]]&gt;0.3,10,IF(Table2[[#This Row],[College BF Dominator]]&lt;-0.156,0,10/(20.818*0.3+3.2667)*(20.818*Table2[[#This Row],[College BF Dominator]]+3.2667))),0)</f>
        <v>4</v>
      </c>
      <c r="AG22">
        <f>ROUND(IF(Table2[[#This Row],[College PTDR]]&gt;0.085,10,IF(Table2[[#This Row],[College PTDR]]&lt;0.04,0,10/(105.24*0.085-1.7837)*(105.24*Table2[[#This Row],[College PTDR]]-1.7837))),0)</f>
        <v>5</v>
      </c>
      <c r="AH22">
        <f>ROUND(IF(Table2[[#This Row],[College Passer Rating]]&gt;170,10,IF(Table2[[#This Row],[College Passer Rating]]&lt;112.475,0,10/(0.1495*170-16.815)*(0.1495*Table2[[#This Row],[College Passer Rating]]-16.815))),0)</f>
        <v>3</v>
      </c>
      <c r="AI22">
        <f>ROUND(IF(Table2[[#This Row],[PTD:INT]]&gt;4,10,IF(Table2[[#This Row],[PTD:INT]]&lt;1,0,10/(4.7442*LN(4)+0.4256)*(4.7442*LN(Table2[[#This Row],[PTD:INT]])+0.4256))),0)</f>
        <v>6</v>
      </c>
      <c r="AJ22">
        <f>ROUND(IF(Table2[[#This Row],[Patt:Ratt]]&lt;2.5,10,IF(Table2[[#This Row],[Patt:Ratt]]&gt;15,0,10/(-2.684*LN(2.5)+9.0869)*(-2.684*LN(Table2[[#This Row],[Patt:Ratt]])+9.0869))),0)</f>
        <v>9</v>
      </c>
      <c r="AK22">
        <f>ROUND(IF(Table2[[#This Row],[Y/A]]&gt;9.2,10,IF(Table2[[#This Row],[Y/A]]&lt;6.26,0,10/(2.2619*9.2-14.16)*(2.2619*Table2[[#This Row],[Y/A]]-14.16))),0)</f>
        <v>3</v>
      </c>
      <c r="AL22">
        <f>ROUND(IF(Table2[[#This Row],[AY/A]]&gt;10,10,IF(Table2[[#This Row],[AY/A]]&lt;5.51,0,10/(1.6571*10-9.1312)*(1.6571*Table2[[#This Row],[AY/A]]-9.1312))),0)</f>
        <v>3</v>
      </c>
      <c r="AM22">
        <f>ROUND(IF(Table2[[#This Row],[40 Yd Dash]]&lt;4.75,10,IF(Table2[[#This Row],[40 Yd Dash]]&gt;5.191,0,10/(-66.95*LN(4.75)+110.26)*(-66.95*LN(Table2[[#This Row],[40 Yd Dash]])+110.26))),0)</f>
        <v>10</v>
      </c>
      <c r="AN22">
        <f>ROUND(IF(Table2[[#This Row],[Hand Size]]&gt;10.25,10,IF(Table2[[#This Row],[Hand Size]]&lt;9,0,10/(15.49*LN(10.25)-30.577)*(15.49*LN(Table2[[#This Row],[Hand Size]])-30.577))),0)</f>
        <v>7</v>
      </c>
    </row>
    <row r="23" spans="1:40">
      <c r="A23">
        <v>2016</v>
      </c>
      <c r="B23">
        <v>3</v>
      </c>
      <c r="C23" t="s">
        <v>219</v>
      </c>
      <c r="D23" t="s">
        <v>57</v>
      </c>
      <c r="E23">
        <v>6.1</v>
      </c>
      <c r="F23" t="s">
        <v>231</v>
      </c>
      <c r="G23">
        <f>SUMIFS('NFL QB Data By Year'!$Q:$Q,'NFL QB Data By Year'!$D:$D,Table2[[#This Row],[Player Name]],'NFL QB Data By Year'!$B:$B,Table2[[#This Row],[Draft Year]]+G$1)</f>
        <v>3</v>
      </c>
      <c r="H23">
        <f>SUMIFS('NFL QB Data By Year'!$P:$P,'NFL QB Data By Year'!$D:$D,Table2[[#This Row],[Player Name]],'NFL QB Data By Year'!$B:$B,Table2[[#This Row],[Draft Year]]+H$1)</f>
        <v>28.3</v>
      </c>
      <c r="I23">
        <f>SUMIFS('NFL QB Data By Year'!$Q:$Q,'NFL QB Data By Year'!$D:$D,Table2[[#This Row],[Player Name]],'NFL QB Data By Year'!$B:$B,Table2[[#This Row],[Draft Year]]+I$1)</f>
        <v>16</v>
      </c>
      <c r="J23">
        <f>SUMIFS('NFL QB Data By Year'!$P:$P,'NFL QB Data By Year'!$D:$D,Table2[[#This Row],[Player Name]],'NFL QB Data By Year'!$B:$B,Table2[[#This Row],[Draft Year]]+J$1)</f>
        <v>206</v>
      </c>
      <c r="K23">
        <f>SUMIFS('NFL QB Data By Year'!$Q:$Q,'NFL QB Data By Year'!$D:$D,Table2[[#This Row],[Player Name]],'NFL QB Data By Year'!$B:$B,Table2[[#This Row],[Draft Year]]+K$1)</f>
        <v>4</v>
      </c>
      <c r="L23">
        <f>SUMIFS('NFL QB Data By Year'!$P:$P,'NFL QB Data By Year'!$D:$D,Table2[[#This Row],[Player Name]],'NFL QB Data By Year'!$B:$B,Table2[[#This Row],[Draft Year]]+L$1)</f>
        <v>-0.6</v>
      </c>
      <c r="M23">
        <f>Table2[[#This Row],[Year 1 G]]+Table2[[#This Row],[Year 2 G]]+Table2[[#This Row],[Year 3 G]]</f>
        <v>23</v>
      </c>
      <c r="N23">
        <f>Table2[[#This Row],[Year 1 FPTs]]+Table2[[#This Row],[Year 2 FPTs]]+Table2[[#This Row],[Year 3 FPTs]]</f>
        <v>233.70000000000002</v>
      </c>
      <c r="O23" s="7">
        <f>IFERROR(Table2[[#This Row],[Total FPTs]]/Table2[[#This Row],[Total G]],0)</f>
        <v>10.160869565217393</v>
      </c>
      <c r="P23">
        <v>6</v>
      </c>
      <c r="Q23" s="8">
        <f xml:space="preserve"> IFERROR(SUMIFS('College Data By Year'!J:J,'College Data By Year'!A:A,Table2[[#This Row],[Player Name]])/SUMIFS('College Data By Year'!L:L,'College Data By Year'!A:A,Table2[[#This Row],[Player Name]]),"")</f>
        <v>9.410537297861242E-2</v>
      </c>
      <c r="R23" s="11">
        <f xml:space="preserve"> IFERROR(SUMIFS('College Data By Year'!D:D,'College Data By Year'!A:A,Table2[[#This Row],[Player Name]])/SUMIFS('College Data By Year'!B:B,'College Data By Year'!A:A,Table2[[#This Row],[Player Name]]),"")</f>
        <v>5.4827175208581644E-2</v>
      </c>
      <c r="S23">
        <f>IF(SUMIFS('College Data By Year'!H:H,'College Data By Year'!A:A,Table2[[#This Row],[Player Name]])=0,"",SUMIFS('College Data By Year'!H:H,'College Data By Year'!A:A,Table2[[#This Row],[Player Name]]))</f>
        <v>131.30000000000001</v>
      </c>
      <c r="T23" s="7">
        <f>IFERROR(SUMIFS('College Data By Year'!D:D,'College Data By Year'!A:A,Table2[[#This Row],[Player Name]])/SUMIFS('College Data By Year'!E:E,'College Data By Year'!A:A,Table2[[#This Row],[Player Name]]),"")</f>
        <v>3.0666666666666669</v>
      </c>
      <c r="U23" s="7">
        <f>IFERROR(SUMIFS('College Data By Year'!B:B,'College Data By Year'!A:A,Table2[[#This Row],[Player Name]])/SUMIFS('College Data By Year'!I:I,'College Data By Year'!A:A,Table2[[#This Row],[Player Name]]),"")</f>
        <v>2.9646643109540638</v>
      </c>
      <c r="V23">
        <f>IF(SUMIFS('College Data By Year'!F:F,'College Data By Year'!A:A,Table2[[#This Row],[Player Name]])=0,"",SUMIFS('College Data By Year'!F:F,'College Data By Year'!A:A,Table2[[#This Row],[Player Name]]))</f>
        <v>6.8</v>
      </c>
      <c r="W23">
        <f>IF(SUMIFS('College Data By Year'!G:G,'College Data By Year'!A:A,Table2[[#This Row],[Player Name]])=0,"",SUMIFS('College Data By Year'!G:G,'College Data By Year'!A:A,Table2[[#This Row],[Player Name]]))</f>
        <v>7.1</v>
      </c>
      <c r="X2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6.5953654188948302E-2</v>
      </c>
      <c r="Y23">
        <v>4.9400000000000004</v>
      </c>
      <c r="Z23">
        <v>9.75</v>
      </c>
      <c r="AA23" t="s">
        <v>227</v>
      </c>
      <c r="AB23">
        <v>231</v>
      </c>
      <c r="AC23">
        <v>28.1</v>
      </c>
      <c r="AD23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23">
        <f>ROUND(IF(Table2[[#This Row],[Draft Round]]=1,10,IF(Table2[[#This Row],[Draft Round]]=8,0,10/(20.884*EXP(-0.381*1))*(20.884*EXP(-0.381*Table2[[#This Row],[Draft Round]])))),0)</f>
        <v>5</v>
      </c>
      <c r="AF23">
        <f>ROUND(IF(Table2[[#This Row],[College BF Dominator]]&gt;0.3,10,IF(Table2[[#This Row],[College BF Dominator]]&lt;-0.156,0,10/(20.818*0.3+3.2667)*(20.818*Table2[[#This Row],[College BF Dominator]]+3.2667))),0)</f>
        <v>5</v>
      </c>
      <c r="AG23">
        <f>ROUND(IF(Table2[[#This Row],[College PTDR]]&gt;0.085,10,IF(Table2[[#This Row],[College PTDR]]&lt;0.04,0,10/(105.24*0.085-1.7837)*(105.24*Table2[[#This Row],[College PTDR]]-1.7837))),0)</f>
        <v>6</v>
      </c>
      <c r="AH23">
        <f>ROUND(IF(Table2[[#This Row],[College Passer Rating]]&gt;170,10,IF(Table2[[#This Row],[College Passer Rating]]&lt;112.475,0,10/(0.1495*170-16.815)*(0.1495*Table2[[#This Row],[College Passer Rating]]-16.815))),0)</f>
        <v>3</v>
      </c>
      <c r="AI23">
        <f>ROUND(IF(Table2[[#This Row],[PTD:INT]]&gt;4,10,IF(Table2[[#This Row],[PTD:INT]]&lt;1,0,10/(4.7442*LN(4)+0.4256)*(4.7442*LN(Table2[[#This Row],[PTD:INT]])+0.4256))),0)</f>
        <v>8</v>
      </c>
      <c r="AJ23">
        <f>ROUND(IF(Table2[[#This Row],[Patt:Ratt]]&lt;2.5,10,IF(Table2[[#This Row],[Patt:Ratt]]&gt;15,0,10/(-2.684*LN(2.5)+9.0869)*(-2.684*LN(Table2[[#This Row],[Patt:Ratt]])+9.0869))),0)</f>
        <v>9</v>
      </c>
      <c r="AK23">
        <f>ROUND(IF(Table2[[#This Row],[Y/A]]&gt;9.2,10,IF(Table2[[#This Row],[Y/A]]&lt;6.26,0,10/(2.2619*9.2-14.16)*(2.2619*Table2[[#This Row],[Y/A]]-14.16))),0)</f>
        <v>2</v>
      </c>
      <c r="AL23">
        <f>ROUND(IF(Table2[[#This Row],[AY/A]]&gt;10,10,IF(Table2[[#This Row],[AY/A]]&lt;5.51,0,10/(1.6571*10-9.1312)*(1.6571*Table2[[#This Row],[AY/A]]-9.1312))),0)</f>
        <v>4</v>
      </c>
      <c r="AM23">
        <f>ROUND(IF(Table2[[#This Row],[40 Yd Dash]]&lt;4.75,10,IF(Table2[[#This Row],[40 Yd Dash]]&gt;5.191,0,10/(-66.95*LN(4.75)+110.26)*(-66.95*LN(Table2[[#This Row],[40 Yd Dash]])+110.26))),0)</f>
        <v>6</v>
      </c>
      <c r="AN23">
        <f>ROUND(IF(Table2[[#This Row],[Hand Size]]&gt;10.25,10,IF(Table2[[#This Row],[Hand Size]]&lt;9,0,10/(15.49*LN(10.25)-30.577)*(15.49*LN(Table2[[#This Row],[Hand Size]])-30.577))),0)</f>
        <v>9</v>
      </c>
    </row>
    <row r="24" spans="1:40">
      <c r="A24">
        <v>2018</v>
      </c>
      <c r="B24">
        <v>3</v>
      </c>
      <c r="C24" t="s">
        <v>219</v>
      </c>
      <c r="D24" t="s">
        <v>45</v>
      </c>
      <c r="E24">
        <v>6.2</v>
      </c>
      <c r="F24" t="s">
        <v>233</v>
      </c>
      <c r="G24">
        <f>SUMIFS('NFL QB Data By Year'!$Q:$Q,'NFL QB Data By Year'!$D:$D,Table2[[#This Row],[Player Name]],'NFL QB Data By Year'!$B:$B,Table2[[#This Row],[Draft Year]]+G$1)</f>
        <v>0</v>
      </c>
      <c r="H24">
        <f>SUMIFS('NFL QB Data By Year'!$P:$P,'NFL QB Data By Year'!$D:$D,Table2[[#This Row],[Player Name]],'NFL QB Data By Year'!$B:$B,Table2[[#This Row],[Draft Year]]+H$1)</f>
        <v>0</v>
      </c>
      <c r="I24">
        <f>SUMIFS('NFL QB Data By Year'!$Q:$Q,'NFL QB Data By Year'!$D:$D,Table2[[#This Row],[Player Name]],'NFL QB Data By Year'!$B:$B,Table2[[#This Row],[Draft Year]]+I$1)</f>
        <v>10</v>
      </c>
      <c r="J24">
        <f>SUMIFS('NFL QB Data By Year'!$P:$P,'NFL QB Data By Year'!$D:$D,Table2[[#This Row],[Player Name]],'NFL QB Data By Year'!$B:$B,Table2[[#This Row],[Draft Year]]+J$1)</f>
        <v>117.8</v>
      </c>
      <c r="K24">
        <f>SUMIFS('NFL QB Data By Year'!$Q:$Q,'NFL QB Data By Year'!$D:$D,Table2[[#This Row],[Player Name]],'NFL QB Data By Year'!$B:$B,Table2[[#This Row],[Draft Year]]+K$1)</f>
        <v>5</v>
      </c>
      <c r="L24">
        <f>SUMIFS('NFL QB Data By Year'!$P:$P,'NFL QB Data By Year'!$D:$D,Table2[[#This Row],[Player Name]],'NFL QB Data By Year'!$B:$B,Table2[[#This Row],[Draft Year]]+L$1)</f>
        <v>19.3</v>
      </c>
      <c r="M24">
        <f>Table2[[#This Row],[Year 1 G]]+Table2[[#This Row],[Year 2 G]]+Table2[[#This Row],[Year 3 G]]</f>
        <v>15</v>
      </c>
      <c r="N24">
        <f>Table2[[#This Row],[Year 1 FPTs]]+Table2[[#This Row],[Year 2 FPTs]]+Table2[[#This Row],[Year 3 FPTs]]</f>
        <v>137.1</v>
      </c>
      <c r="O24" s="7">
        <f>IFERROR(Table2[[#This Row],[Total FPTs]]/Table2[[#This Row],[Total G]],0)</f>
        <v>9.1399999999999988</v>
      </c>
      <c r="P24">
        <v>6</v>
      </c>
      <c r="Q24" s="8">
        <f xml:space="preserve"> IFERROR(SUMIFS('College Data By Year'!J:J,'College Data By Year'!A:A,Table2[[#This Row],[Player Name]])/SUMIFS('College Data By Year'!L:L,'College Data By Year'!A:A,Table2[[#This Row],[Player Name]]),"")</f>
        <v>3.5074533383439811E-3</v>
      </c>
      <c r="R24" s="11">
        <f xml:space="preserve"> IFERROR(SUMIFS('College Data By Year'!D:D,'College Data By Year'!A:A,Table2[[#This Row],[Player Name]])/SUMIFS('College Data By Year'!B:B,'College Data By Year'!A:A,Table2[[#This Row],[Player Name]]),"")</f>
        <v>6.3579820317899105E-2</v>
      </c>
      <c r="S24">
        <f>IF(SUMIFS('College Data By Year'!H:H,'College Data By Year'!A:A,Table2[[#This Row],[Player Name]])=0,"",SUMIFS('College Data By Year'!H:H,'College Data By Year'!A:A,Table2[[#This Row],[Player Name]]))</f>
        <v>159.69999999999999</v>
      </c>
      <c r="T24" s="7">
        <f>IFERROR(SUMIFS('College Data By Year'!D:D,'College Data By Year'!A:A,Table2[[#This Row],[Player Name]])/SUMIFS('College Data By Year'!E:E,'College Data By Year'!A:A,Table2[[#This Row],[Player Name]]),"")</f>
        <v>3.5384615384615383</v>
      </c>
      <c r="U24" s="7">
        <f>IFERROR(SUMIFS('College Data By Year'!B:B,'College Data By Year'!A:A,Table2[[#This Row],[Player Name]])/SUMIFS('College Data By Year'!I:I,'College Data By Year'!A:A,Table2[[#This Row],[Player Name]]),"")</f>
        <v>6.431111111111111</v>
      </c>
      <c r="V24">
        <f>IF(SUMIFS('College Data By Year'!F:F,'College Data By Year'!A:A,Table2[[#This Row],[Player Name]])=0,"",SUMIFS('College Data By Year'!F:F,'College Data By Year'!A:A,Table2[[#This Row],[Player Name]]))</f>
        <v>9.4</v>
      </c>
      <c r="W24">
        <f>IF(SUMIFS('College Data By Year'!G:G,'College Data By Year'!A:A,Table2[[#This Row],[Player Name]])=0,"",SUMIFS('College Data By Year'!G:G,'College Data By Year'!A:A,Table2[[#This Row],[Player Name]]))</f>
        <v>9.9</v>
      </c>
      <c r="X2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5.5622009569377989E-2</v>
      </c>
      <c r="Y24">
        <v>4.9000000000000004</v>
      </c>
      <c r="Z24">
        <v>9.125</v>
      </c>
      <c r="AA24" t="s">
        <v>225</v>
      </c>
      <c r="AB24">
        <v>235</v>
      </c>
      <c r="AC24">
        <v>27.9</v>
      </c>
      <c r="AD24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24">
        <f>ROUND(IF(Table2[[#This Row],[Draft Round]]=1,10,IF(Table2[[#This Row],[Draft Round]]=8,0,10/(20.884*EXP(-0.381*1))*(20.884*EXP(-0.381*Table2[[#This Row],[Draft Round]])))),0)</f>
        <v>5</v>
      </c>
      <c r="AF24">
        <f>ROUND(IF(Table2[[#This Row],[College BF Dominator]]&gt;0.3,10,IF(Table2[[#This Row],[College BF Dominator]]&lt;-0.156,0,10/(20.818*0.3+3.2667)*(20.818*Table2[[#This Row],[College BF Dominator]]+3.2667))),0)</f>
        <v>4</v>
      </c>
      <c r="AG24">
        <f>ROUND(IF(Table2[[#This Row],[College PTDR]]&gt;0.085,10,IF(Table2[[#This Row],[College PTDR]]&lt;0.04,0,10/(105.24*0.085-1.7837)*(105.24*Table2[[#This Row],[College PTDR]]-1.7837))),0)</f>
        <v>7</v>
      </c>
      <c r="AH24">
        <f>ROUND(IF(Table2[[#This Row],[College Passer Rating]]&gt;170,10,IF(Table2[[#This Row],[College Passer Rating]]&lt;112.475,0,10/(0.1495*170-16.815)*(0.1495*Table2[[#This Row],[College Passer Rating]]-16.815))),0)</f>
        <v>8</v>
      </c>
      <c r="AI24">
        <f>ROUND(IF(Table2[[#This Row],[PTD:INT]]&gt;4,10,IF(Table2[[#This Row],[PTD:INT]]&lt;1,0,10/(4.7442*LN(4)+0.4256)*(4.7442*LN(Table2[[#This Row],[PTD:INT]])+0.4256))),0)</f>
        <v>9</v>
      </c>
      <c r="AJ24">
        <f>ROUND(IF(Table2[[#This Row],[Patt:Ratt]]&lt;2.5,10,IF(Table2[[#This Row],[Patt:Ratt]]&gt;15,0,10/(-2.684*LN(2.5)+9.0869)*(-2.684*LN(Table2[[#This Row],[Patt:Ratt]])+9.0869))),0)</f>
        <v>6</v>
      </c>
      <c r="AK24">
        <f>ROUND(IF(Table2[[#This Row],[Y/A]]&gt;9.2,10,IF(Table2[[#This Row],[Y/A]]&lt;6.26,0,10/(2.2619*9.2-14.16)*(2.2619*Table2[[#This Row],[Y/A]]-14.16))),0)</f>
        <v>10</v>
      </c>
      <c r="AL24">
        <f>ROUND(IF(Table2[[#This Row],[AY/A]]&gt;10,10,IF(Table2[[#This Row],[AY/A]]&lt;5.51,0,10/(1.6571*10-9.1312)*(1.6571*Table2[[#This Row],[AY/A]]-9.1312))),0)</f>
        <v>10</v>
      </c>
      <c r="AM24">
        <f>ROUND(IF(Table2[[#This Row],[40 Yd Dash]]&lt;4.75,10,IF(Table2[[#This Row],[40 Yd Dash]]&gt;5.191,0,10/(-66.95*LN(4.75)+110.26)*(-66.95*LN(Table2[[#This Row],[40 Yd Dash]])+110.26))),0)</f>
        <v>6</v>
      </c>
      <c r="AN24">
        <f>ROUND(IF(Table2[[#This Row],[Hand Size]]&gt;10.25,10,IF(Table2[[#This Row],[Hand Size]]&lt;9,0,10/(15.49*LN(10.25)-30.577)*(15.49*LN(Table2[[#This Row],[Hand Size]])-30.577))),0)</f>
        <v>7</v>
      </c>
    </row>
    <row r="25" spans="1:40">
      <c r="A25">
        <v>2016</v>
      </c>
      <c r="B25">
        <v>3</v>
      </c>
      <c r="C25" t="s">
        <v>219</v>
      </c>
      <c r="D25" t="s">
        <v>51</v>
      </c>
      <c r="E25">
        <v>5.9</v>
      </c>
      <c r="F25" t="s">
        <v>234</v>
      </c>
      <c r="G25">
        <f>SUMIFS('NFL QB Data By Year'!$Q:$Q,'NFL QB Data By Year'!$D:$D,Table2[[#This Row],[Player Name]],'NFL QB Data By Year'!$B:$B,Table2[[#This Row],[Draft Year]]+G$1)</f>
        <v>9</v>
      </c>
      <c r="H25">
        <f>SUMIFS('NFL QB Data By Year'!$P:$P,'NFL QB Data By Year'!$D:$D,Table2[[#This Row],[Player Name]],'NFL QB Data By Year'!$B:$B,Table2[[#This Row],[Draft Year]]+H$1)</f>
        <v>76.900000000000006</v>
      </c>
      <c r="I25">
        <f>SUMIFS('NFL QB Data By Year'!$Q:$Q,'NFL QB Data By Year'!$D:$D,Table2[[#This Row],[Player Name]],'NFL QB Data By Year'!$B:$B,Table2[[#This Row],[Draft Year]]+I$1)</f>
        <v>3</v>
      </c>
      <c r="J25">
        <f>SUMIFS('NFL QB Data By Year'!$P:$P,'NFL QB Data By Year'!$D:$D,Table2[[#This Row],[Player Name]],'NFL QB Data By Year'!$B:$B,Table2[[#This Row],[Draft Year]]+J$1)</f>
        <v>2.9</v>
      </c>
      <c r="K25">
        <f>SUMIFS('NFL QB Data By Year'!$Q:$Q,'NFL QB Data By Year'!$D:$D,Table2[[#This Row],[Player Name]],'NFL QB Data By Year'!$B:$B,Table2[[#This Row],[Draft Year]]+K$1)</f>
        <v>6</v>
      </c>
      <c r="L25">
        <f>SUMIFS('NFL QB Data By Year'!$P:$P,'NFL QB Data By Year'!$D:$D,Table2[[#This Row],[Player Name]],'NFL QB Data By Year'!$B:$B,Table2[[#This Row],[Draft Year]]+L$1)</f>
        <v>38.6</v>
      </c>
      <c r="M25">
        <f>Table2[[#This Row],[Year 1 G]]+Table2[[#This Row],[Year 2 G]]+Table2[[#This Row],[Year 3 G]]</f>
        <v>18</v>
      </c>
      <c r="N25">
        <f>Table2[[#This Row],[Year 1 FPTs]]+Table2[[#This Row],[Year 2 FPTs]]+Table2[[#This Row],[Year 3 FPTs]]</f>
        <v>118.4</v>
      </c>
      <c r="O25" s="7">
        <f>IFERROR(Table2[[#This Row],[Total FPTs]]/Table2[[#This Row],[Total G]],0)</f>
        <v>6.5777777777777784</v>
      </c>
      <c r="P25">
        <v>7</v>
      </c>
      <c r="Q25" s="8">
        <f xml:space="preserve"> IFERROR(SUMIFS('College Data By Year'!J:J,'College Data By Year'!A:A,Table2[[#This Row],[Player Name]])/SUMIFS('College Data By Year'!L:L,'College Data By Year'!A:A,Table2[[#This Row],[Player Name]]),"")</f>
        <v>-4.8164097914777881E-2</v>
      </c>
      <c r="R25" s="11">
        <f xml:space="preserve"> IFERROR(SUMIFS('College Data By Year'!D:D,'College Data By Year'!A:A,Table2[[#This Row],[Player Name]])/SUMIFS('College Data By Year'!B:B,'College Data By Year'!A:A,Table2[[#This Row],[Player Name]]),"")</f>
        <v>6.9785884218873911E-2</v>
      </c>
      <c r="S25">
        <f>IF(SUMIFS('College Data By Year'!H:H,'College Data By Year'!A:A,Table2[[#This Row],[Player Name]])=0,"",SUMIFS('College Data By Year'!H:H,'College Data By Year'!A:A,Table2[[#This Row],[Player Name]]))</f>
        <v>156.4</v>
      </c>
      <c r="T25" s="7">
        <f>IFERROR(SUMIFS('College Data By Year'!D:D,'College Data By Year'!A:A,Table2[[#This Row],[Player Name]])/SUMIFS('College Data By Year'!E:E,'College Data By Year'!A:A,Table2[[#This Row],[Player Name]]),"")</f>
        <v>4.6315789473684212</v>
      </c>
      <c r="U25" s="7">
        <f>IFERROR(SUMIFS('College Data By Year'!B:B,'College Data By Year'!A:A,Table2[[#This Row],[Player Name]])/SUMIFS('College Data By Year'!I:I,'College Data By Year'!A:A,Table2[[#This Row],[Player Name]]),"")</f>
        <v>7.981012658227848</v>
      </c>
      <c r="V25">
        <f>IF(SUMIFS('College Data By Year'!F:F,'College Data By Year'!A:A,Table2[[#This Row],[Player Name]])=0,"",SUMIFS('College Data By Year'!F:F,'College Data By Year'!A:A,Table2[[#This Row],[Player Name]]))</f>
        <v>8.1999999999999993</v>
      </c>
      <c r="W25">
        <f>IF(SUMIFS('College Data By Year'!G:G,'College Data By Year'!A:A,Table2[[#This Row],[Player Name]])=0,"",SUMIFS('College Data By Year'!G:G,'College Data By Year'!A:A,Table2[[#This Row],[Player Name]]))</f>
        <v>8.9</v>
      </c>
      <c r="X2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7.0472163495419307E-2</v>
      </c>
      <c r="Y25">
        <v>4.8899999999999997</v>
      </c>
      <c r="Z25">
        <v>10.875</v>
      </c>
      <c r="AA25" t="s">
        <v>228</v>
      </c>
      <c r="AB25">
        <v>220</v>
      </c>
      <c r="AC25">
        <v>29</v>
      </c>
      <c r="AD25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25">
        <f>ROUND(IF(Table2[[#This Row],[Draft Round]]=1,10,IF(Table2[[#This Row],[Draft Round]]=8,0,10/(20.884*EXP(-0.381*1))*(20.884*EXP(-0.381*Table2[[#This Row],[Draft Round]])))),0)</f>
        <v>5</v>
      </c>
      <c r="AF25">
        <f>ROUND(IF(Table2[[#This Row],[College BF Dominator]]&gt;0.3,10,IF(Table2[[#This Row],[College BF Dominator]]&lt;-0.156,0,10/(20.818*0.3+3.2667)*(20.818*Table2[[#This Row],[College BF Dominator]]+3.2667))),0)</f>
        <v>2</v>
      </c>
      <c r="AG25">
        <f>ROUND(IF(Table2[[#This Row],[College PTDR]]&gt;0.085,10,IF(Table2[[#This Row],[College PTDR]]&lt;0.04,0,10/(105.24*0.085-1.7837)*(105.24*Table2[[#This Row],[College PTDR]]-1.7837))),0)</f>
        <v>8</v>
      </c>
      <c r="AH25">
        <f>ROUND(IF(Table2[[#This Row],[College Passer Rating]]&gt;170,10,IF(Table2[[#This Row],[College Passer Rating]]&lt;112.475,0,10/(0.1495*170-16.815)*(0.1495*Table2[[#This Row],[College Passer Rating]]-16.815))),0)</f>
        <v>8</v>
      </c>
      <c r="AI25">
        <f>ROUND(IF(Table2[[#This Row],[PTD:INT]]&gt;4,10,IF(Table2[[#This Row],[PTD:INT]]&lt;1,0,10/(4.7442*LN(4)+0.4256)*(4.7442*LN(Table2[[#This Row],[PTD:INT]])+0.4256))),0)</f>
        <v>10</v>
      </c>
      <c r="AJ25">
        <f>ROUND(IF(Table2[[#This Row],[Patt:Ratt]]&lt;2.5,10,IF(Table2[[#This Row],[Patt:Ratt]]&gt;15,0,10/(-2.684*LN(2.5)+9.0869)*(-2.684*LN(Table2[[#This Row],[Patt:Ratt]])+9.0869))),0)</f>
        <v>5</v>
      </c>
      <c r="AK25">
        <f>ROUND(IF(Table2[[#This Row],[Y/A]]&gt;9.2,10,IF(Table2[[#This Row],[Y/A]]&lt;6.26,0,10/(2.2619*9.2-14.16)*(2.2619*Table2[[#This Row],[Y/A]]-14.16))),0)</f>
        <v>7</v>
      </c>
      <c r="AL25">
        <f>ROUND(IF(Table2[[#This Row],[AY/A]]&gt;10,10,IF(Table2[[#This Row],[AY/A]]&lt;5.51,0,10/(1.6571*10-9.1312)*(1.6571*Table2[[#This Row],[AY/A]]-9.1312))),0)</f>
        <v>8</v>
      </c>
      <c r="AM25">
        <f>ROUND(IF(Table2[[#This Row],[40 Yd Dash]]&lt;4.75,10,IF(Table2[[#This Row],[40 Yd Dash]]&gt;5.191,0,10/(-66.95*LN(4.75)+110.26)*(-66.95*LN(Table2[[#This Row],[40 Yd Dash]])+110.26))),0)</f>
        <v>7</v>
      </c>
      <c r="AN25">
        <f>ROUND(IF(Table2[[#This Row],[Hand Size]]&gt;10.25,10,IF(Table2[[#This Row],[Hand Size]]&lt;9,0,10/(15.49*LN(10.25)-30.577)*(15.49*LN(Table2[[#This Row],[Hand Size]])-30.577))),0)</f>
        <v>10</v>
      </c>
    </row>
    <row r="26" spans="1:40">
      <c r="A26">
        <v>2019</v>
      </c>
      <c r="B26">
        <v>3</v>
      </c>
      <c r="C26" t="s">
        <v>219</v>
      </c>
      <c r="D26" t="s">
        <v>47</v>
      </c>
      <c r="E26">
        <v>5.9</v>
      </c>
      <c r="F26" t="s">
        <v>234</v>
      </c>
      <c r="G26">
        <f>SUMIFS('NFL QB Data By Year'!$Q:$Q,'NFL QB Data By Year'!$D:$D,Table2[[#This Row],[Player Name]],'NFL QB Data By Year'!$B:$B,Table2[[#This Row],[Draft Year]]+G$1)</f>
        <v>2</v>
      </c>
      <c r="H26">
        <f>SUMIFS('NFL QB Data By Year'!$P:$P,'NFL QB Data By Year'!$D:$D,Table2[[#This Row],[Player Name]],'NFL QB Data By Year'!$B:$B,Table2[[#This Row],[Draft Year]]+H$1)</f>
        <v>5.4</v>
      </c>
      <c r="I26">
        <f>SUMIFS('NFL QB Data By Year'!$Q:$Q,'NFL QB Data By Year'!$D:$D,Table2[[#This Row],[Player Name]],'NFL QB Data By Year'!$B:$B,Table2[[#This Row],[Draft Year]]+I$1)</f>
        <v>0</v>
      </c>
      <c r="J26">
        <f>SUMIFS('NFL QB Data By Year'!$P:$P,'NFL QB Data By Year'!$D:$D,Table2[[#This Row],[Player Name]],'NFL QB Data By Year'!$B:$B,Table2[[#This Row],[Draft Year]]+J$1)</f>
        <v>0</v>
      </c>
      <c r="K26">
        <f>SUMIFS('NFL QB Data By Year'!$Q:$Q,'NFL QB Data By Year'!$D:$D,Table2[[#This Row],[Player Name]],'NFL QB Data By Year'!$B:$B,Table2[[#This Row],[Draft Year]]+K$1)</f>
        <v>0</v>
      </c>
      <c r="L26">
        <f>SUMIFS('NFL QB Data By Year'!$P:$P,'NFL QB Data By Year'!$D:$D,Table2[[#This Row],[Player Name]],'NFL QB Data By Year'!$B:$B,Table2[[#This Row],[Draft Year]]+L$1)</f>
        <v>0</v>
      </c>
      <c r="M26">
        <f>Table2[[#This Row],[Year 1 G]]+Table2[[#This Row],[Year 2 G]]+Table2[[#This Row],[Year 3 G]]</f>
        <v>2</v>
      </c>
      <c r="N26">
        <f>Table2[[#This Row],[Year 1 FPTs]]+Table2[[#This Row],[Year 2 FPTs]]+Table2[[#This Row],[Year 3 FPTs]]</f>
        <v>5.4</v>
      </c>
      <c r="O26" s="7">
        <f>IFERROR(Table2[[#This Row],[Total FPTs]]/Table2[[#This Row],[Total G]],0)</f>
        <v>2.7</v>
      </c>
      <c r="P26">
        <v>9</v>
      </c>
      <c r="Q26" s="8">
        <f xml:space="preserve"> IFERROR(SUMIFS('College Data By Year'!J:J,'College Data By Year'!A:A,Table2[[#This Row],[Player Name]])/SUMIFS('College Data By Year'!L:L,'College Data By Year'!A:A,Table2[[#This Row],[Player Name]]),"")</f>
        <v>2.6139173436948077E-2</v>
      </c>
      <c r="R26" s="11">
        <f xml:space="preserve"> IFERROR(SUMIFS('College Data By Year'!D:D,'College Data By Year'!A:A,Table2[[#This Row],[Player Name]])/SUMIFS('College Data By Year'!B:B,'College Data By Year'!A:A,Table2[[#This Row],[Player Name]]),"")</f>
        <v>8.5714285714285715E-2</v>
      </c>
      <c r="S26">
        <f>IF(SUMIFS('College Data By Year'!H:H,'College Data By Year'!A:A,Table2[[#This Row],[Player Name]])=0,"",SUMIFS('College Data By Year'!H:H,'College Data By Year'!A:A,Table2[[#This Row],[Player Name]]))</f>
        <v>165.2</v>
      </c>
      <c r="T26" s="7">
        <f>IFERROR(SUMIFS('College Data By Year'!D:D,'College Data By Year'!A:A,Table2[[#This Row],[Player Name]])/SUMIFS('College Data By Year'!E:E,'College Data By Year'!A:A,Table2[[#This Row],[Player Name]]),"")</f>
        <v>3.5217391304347827</v>
      </c>
      <c r="U26" s="7">
        <f>IFERROR(SUMIFS('College Data By Year'!B:B,'College Data By Year'!A:A,Table2[[#This Row],[Player Name]])/SUMIFS('College Data By Year'!I:I,'College Data By Year'!A:A,Table2[[#This Row],[Player Name]]),"")</f>
        <v>6.4285714285714288</v>
      </c>
      <c r="V26">
        <f>IF(SUMIFS('College Data By Year'!F:F,'College Data By Year'!A:A,Table2[[#This Row],[Player Name]])=0,"",SUMIFS('College Data By Year'!F:F,'College Data By Year'!A:A,Table2[[#This Row],[Player Name]]))</f>
        <v>9.1</v>
      </c>
      <c r="W26">
        <f>IF(SUMIFS('College Data By Year'!G:G,'College Data By Year'!A:A,Table2[[#This Row],[Player Name]])=0,"",SUMIFS('College Data By Year'!G:G,'College Data By Year'!A:A,Table2[[#This Row],[Player Name]]))</f>
        <v>9.6999999999999993</v>
      </c>
      <c r="X2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4.6703296703296704E-2</v>
      </c>
      <c r="Y26">
        <v>4.84</v>
      </c>
      <c r="Z26">
        <v>9.375</v>
      </c>
      <c r="AA26" t="s">
        <v>221</v>
      </c>
      <c r="AB26">
        <v>217</v>
      </c>
      <c r="AC26">
        <v>27.9</v>
      </c>
      <c r="AD26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26">
        <f>ROUND(IF(Table2[[#This Row],[Draft Round]]=1,10,IF(Table2[[#This Row],[Draft Round]]=8,0,10/(20.884*EXP(-0.381*1))*(20.884*EXP(-0.381*Table2[[#This Row],[Draft Round]])))),0)</f>
        <v>5</v>
      </c>
      <c r="AF26">
        <f>ROUND(IF(Table2[[#This Row],[College BF Dominator]]&gt;0.3,10,IF(Table2[[#This Row],[College BF Dominator]]&lt;-0.156,0,10/(20.818*0.3+3.2667)*(20.818*Table2[[#This Row],[College BF Dominator]]+3.2667))),0)</f>
        <v>4</v>
      </c>
      <c r="AG26">
        <f>ROUND(IF(Table2[[#This Row],[College PTDR]]&gt;0.085,10,IF(Table2[[#This Row],[College PTDR]]&lt;0.04,0,10/(105.24*0.085-1.7837)*(105.24*Table2[[#This Row],[College PTDR]]-1.7837))),0)</f>
        <v>10</v>
      </c>
      <c r="AH26">
        <f>ROUND(IF(Table2[[#This Row],[College Passer Rating]]&gt;170,10,IF(Table2[[#This Row],[College Passer Rating]]&lt;112.475,0,10/(0.1495*170-16.815)*(0.1495*Table2[[#This Row],[College Passer Rating]]-16.815))),0)</f>
        <v>9</v>
      </c>
      <c r="AI26">
        <f>ROUND(IF(Table2[[#This Row],[PTD:INT]]&gt;4,10,IF(Table2[[#This Row],[PTD:INT]]&lt;1,0,10/(4.7442*LN(4)+0.4256)*(4.7442*LN(Table2[[#This Row],[PTD:INT]])+0.4256))),0)</f>
        <v>9</v>
      </c>
      <c r="AJ26">
        <f>ROUND(IF(Table2[[#This Row],[Patt:Ratt]]&lt;2.5,10,IF(Table2[[#This Row],[Patt:Ratt]]&gt;15,0,10/(-2.684*LN(2.5)+9.0869)*(-2.684*LN(Table2[[#This Row],[Patt:Ratt]])+9.0869))),0)</f>
        <v>6</v>
      </c>
      <c r="AK26">
        <f>ROUND(IF(Table2[[#This Row],[Y/A]]&gt;9.2,10,IF(Table2[[#This Row],[Y/A]]&lt;6.26,0,10/(2.2619*9.2-14.16)*(2.2619*Table2[[#This Row],[Y/A]]-14.16))),0)</f>
        <v>10</v>
      </c>
      <c r="AL26">
        <f>ROUND(IF(Table2[[#This Row],[AY/A]]&gt;10,10,IF(Table2[[#This Row],[AY/A]]&lt;5.51,0,10/(1.6571*10-9.1312)*(1.6571*Table2[[#This Row],[AY/A]]-9.1312))),0)</f>
        <v>9</v>
      </c>
      <c r="AM26">
        <f>ROUND(IF(Table2[[#This Row],[40 Yd Dash]]&lt;4.75,10,IF(Table2[[#This Row],[40 Yd Dash]]&gt;5.191,0,10/(-66.95*LN(4.75)+110.26)*(-66.95*LN(Table2[[#This Row],[40 Yd Dash]])+110.26))),0)</f>
        <v>8</v>
      </c>
      <c r="AN26">
        <f>ROUND(IF(Table2[[#This Row],[Hand Size]]&gt;10.25,10,IF(Table2[[#This Row],[Hand Size]]&lt;9,0,10/(15.49*LN(10.25)-30.577)*(15.49*LN(Table2[[#This Row],[Hand Size]])-30.577))),0)</f>
        <v>7</v>
      </c>
    </row>
    <row r="27" spans="1:40">
      <c r="A27">
        <v>2015</v>
      </c>
      <c r="B27">
        <v>3</v>
      </c>
      <c r="C27" t="s">
        <v>219</v>
      </c>
      <c r="D27" t="s">
        <v>77</v>
      </c>
      <c r="E27">
        <v>5.8</v>
      </c>
      <c r="F27" t="s">
        <v>234</v>
      </c>
      <c r="G27">
        <f>SUMIFS('NFL QB Data By Year'!$Q:$Q,'NFL QB Data By Year'!$D:$D,Table2[[#This Row],[Player Name]],'NFL QB Data By Year'!$B:$B,Table2[[#This Row],[Draft Year]]+G$1)</f>
        <v>1</v>
      </c>
      <c r="H27">
        <f>SUMIFS('NFL QB Data By Year'!$P:$P,'NFL QB Data By Year'!$D:$D,Table2[[#This Row],[Player Name]],'NFL QB Data By Year'!$B:$B,Table2[[#This Row],[Draft Year]]+H$1)</f>
        <v>1.2</v>
      </c>
      <c r="I27">
        <f>SUMIFS('NFL QB Data By Year'!$Q:$Q,'NFL QB Data By Year'!$D:$D,Table2[[#This Row],[Player Name]],'NFL QB Data By Year'!$B:$B,Table2[[#This Row],[Draft Year]]+I$1)</f>
        <v>1</v>
      </c>
      <c r="J27">
        <f>SUMIFS('NFL QB Data By Year'!$P:$P,'NFL QB Data By Year'!$D:$D,Table2[[#This Row],[Player Name]],'NFL QB Data By Year'!$B:$B,Table2[[#This Row],[Draft Year]]+J$1)</f>
        <v>-1.3</v>
      </c>
      <c r="K27">
        <f>SUMIFS('NFL QB Data By Year'!$Q:$Q,'NFL QB Data By Year'!$D:$D,Table2[[#This Row],[Player Name]],'NFL QB Data By Year'!$B:$B,Table2[[#This Row],[Draft Year]]+K$1)</f>
        <v>5</v>
      </c>
      <c r="L27">
        <f>SUMIFS('NFL QB Data By Year'!$P:$P,'NFL QB Data By Year'!$D:$D,Table2[[#This Row],[Player Name]],'NFL QB Data By Year'!$B:$B,Table2[[#This Row],[Draft Year]]+L$1)</f>
        <v>5.3</v>
      </c>
      <c r="M27">
        <f>Table2[[#This Row],[Year 1 G]]+Table2[[#This Row],[Year 2 G]]+Table2[[#This Row],[Year 3 G]]</f>
        <v>7</v>
      </c>
      <c r="N27">
        <f>Table2[[#This Row],[Year 1 FPTs]]+Table2[[#This Row],[Year 2 FPTs]]+Table2[[#This Row],[Year 3 FPTs]]</f>
        <v>5.1999999999999993</v>
      </c>
      <c r="O27" s="7">
        <f>IFERROR(Table2[[#This Row],[Total FPTs]]/Table2[[#This Row],[Total G]],0)</f>
        <v>0.74285714285714277</v>
      </c>
      <c r="P27">
        <v>10</v>
      </c>
      <c r="Q27" s="8">
        <f xml:space="preserve"> IFERROR(SUMIFS('College Data By Year'!J:J,'College Data By Year'!A:A,Table2[[#This Row],[Player Name]])/SUMIFS('College Data By Year'!L:L,'College Data By Year'!A:A,Table2[[#This Row],[Player Name]]),"")</f>
        <v>-0.15158371040723981</v>
      </c>
      <c r="R27" s="11">
        <f xml:space="preserve"> IFERROR(SUMIFS('College Data By Year'!D:D,'College Data By Year'!A:A,Table2[[#This Row],[Player Name]])/SUMIFS('College Data By Year'!B:B,'College Data By Year'!A:A,Table2[[#This Row],[Player Name]]),"")</f>
        <v>4.5157780195865069E-2</v>
      </c>
      <c r="S27">
        <f>IF(SUMIFS('College Data By Year'!H:H,'College Data By Year'!A:A,Table2[[#This Row],[Player Name]])=0,"",SUMIFS('College Data By Year'!H:H,'College Data By Year'!A:A,Table2[[#This Row],[Player Name]]))</f>
        <v>135.80000000000001</v>
      </c>
      <c r="T27" s="7">
        <f>IFERROR(SUMIFS('College Data By Year'!D:D,'College Data By Year'!A:A,Table2[[#This Row],[Player Name]])/SUMIFS('College Data By Year'!E:E,'College Data By Year'!A:A,Table2[[#This Row],[Player Name]]),"")</f>
        <v>1.537037037037037</v>
      </c>
      <c r="U27" s="7">
        <f>IFERROR(SUMIFS('College Data By Year'!B:B,'College Data By Year'!A:A,Table2[[#This Row],[Player Name]])/SUMIFS('College Data By Year'!I:I,'College Data By Year'!A:A,Table2[[#This Row],[Player Name]]),"")</f>
        <v>13.924242424242424</v>
      </c>
      <c r="V27">
        <f>IF(SUMIFS('College Data By Year'!F:F,'College Data By Year'!A:A,Table2[[#This Row],[Player Name]])=0,"",SUMIFS('College Data By Year'!F:F,'College Data By Year'!A:A,Table2[[#This Row],[Player Name]]))</f>
        <v>7.4</v>
      </c>
      <c r="W27">
        <f>IF(SUMIFS('College Data By Year'!G:G,'College Data By Year'!A:A,Table2[[#This Row],[Player Name]])=0,"",SUMIFS('College Data By Year'!G:G,'College Data By Year'!A:A,Table2[[#This Row],[Player Name]]))</f>
        <v>7</v>
      </c>
      <c r="X2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4.9238578680203045E-2</v>
      </c>
      <c r="Y27">
        <v>5.14</v>
      </c>
      <c r="Z27">
        <v>9</v>
      </c>
      <c r="AA27" t="s">
        <v>235</v>
      </c>
      <c r="AB27">
        <v>229</v>
      </c>
      <c r="AC27">
        <v>26.5</v>
      </c>
      <c r="AD27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27">
        <f>ROUND(IF(Table2[[#This Row],[Draft Round]]=1,10,IF(Table2[[#This Row],[Draft Round]]=8,0,10/(20.884*EXP(-0.381*1))*(20.884*EXP(-0.381*Table2[[#This Row],[Draft Round]])))),0)</f>
        <v>5</v>
      </c>
      <c r="AF27">
        <f>ROUND(IF(Table2[[#This Row],[College BF Dominator]]&gt;0.3,10,IF(Table2[[#This Row],[College BF Dominator]]&lt;-0.156,0,10/(20.818*0.3+3.2667)*(20.818*Table2[[#This Row],[College BF Dominator]]+3.2667))),0)</f>
        <v>0</v>
      </c>
      <c r="AG27">
        <f>ROUND(IF(Table2[[#This Row],[College PTDR]]&gt;0.085,10,IF(Table2[[#This Row],[College PTDR]]&lt;0.04,0,10/(105.24*0.085-1.7837)*(105.24*Table2[[#This Row],[College PTDR]]-1.7837))),0)</f>
        <v>4</v>
      </c>
      <c r="AH27">
        <f>ROUND(IF(Table2[[#This Row],[College Passer Rating]]&gt;170,10,IF(Table2[[#This Row],[College Passer Rating]]&lt;112.475,0,10/(0.1495*170-16.815)*(0.1495*Table2[[#This Row],[College Passer Rating]]-16.815))),0)</f>
        <v>4</v>
      </c>
      <c r="AI27">
        <f>ROUND(IF(Table2[[#This Row],[PTD:INT]]&gt;4,10,IF(Table2[[#This Row],[PTD:INT]]&lt;1,0,10/(4.7442*LN(4)+0.4256)*(4.7442*LN(Table2[[#This Row],[PTD:INT]])+0.4256))),0)</f>
        <v>4</v>
      </c>
      <c r="AJ27">
        <f>ROUND(IF(Table2[[#This Row],[Patt:Ratt]]&lt;2.5,10,IF(Table2[[#This Row],[Patt:Ratt]]&gt;15,0,10/(-2.684*LN(2.5)+9.0869)*(-2.684*LN(Table2[[#This Row],[Patt:Ratt]])+9.0869))),0)</f>
        <v>3</v>
      </c>
      <c r="AK27">
        <f>ROUND(IF(Table2[[#This Row],[Y/A]]&gt;9.2,10,IF(Table2[[#This Row],[Y/A]]&lt;6.26,0,10/(2.2619*9.2-14.16)*(2.2619*Table2[[#This Row],[Y/A]]-14.16))),0)</f>
        <v>4</v>
      </c>
      <c r="AL27">
        <f>ROUND(IF(Table2[[#This Row],[AY/A]]&gt;10,10,IF(Table2[[#This Row],[AY/A]]&lt;5.51,0,10/(1.6571*10-9.1312)*(1.6571*Table2[[#This Row],[AY/A]]-9.1312))),0)</f>
        <v>3</v>
      </c>
      <c r="AM27">
        <f>ROUND(IF(Table2[[#This Row],[40 Yd Dash]]&lt;4.75,10,IF(Table2[[#This Row],[40 Yd Dash]]&gt;5.191,0,10/(-66.95*LN(4.75)+110.26)*(-66.95*LN(Table2[[#This Row],[40 Yd Dash]])+110.26))),0)</f>
        <v>1</v>
      </c>
      <c r="AN27">
        <f>ROUND(IF(Table2[[#This Row],[Hand Size]]&gt;10.25,10,IF(Table2[[#This Row],[Hand Size]]&lt;9,0,10/(15.49*LN(10.25)-30.577)*(15.49*LN(Table2[[#This Row],[Hand Size]])-30.577))),0)</f>
        <v>6</v>
      </c>
    </row>
    <row r="28" spans="1:40">
      <c r="A28">
        <v>2015</v>
      </c>
      <c r="B28">
        <v>3</v>
      </c>
      <c r="C28" t="s">
        <v>219</v>
      </c>
      <c r="D28" t="s">
        <v>49</v>
      </c>
      <c r="E28">
        <v>5.9</v>
      </c>
      <c r="F28" t="s">
        <v>234</v>
      </c>
      <c r="G28">
        <f>SUMIFS('NFL QB Data By Year'!$Q:$Q,'NFL QB Data By Year'!$D:$D,Table2[[#This Row],[Player Name]],'NFL QB Data By Year'!$B:$B,Table2[[#This Row],[Draft Year]]+G$1)</f>
        <v>0</v>
      </c>
      <c r="H28">
        <f>SUMIFS('NFL QB Data By Year'!$P:$P,'NFL QB Data By Year'!$D:$D,Table2[[#This Row],[Player Name]],'NFL QB Data By Year'!$B:$B,Table2[[#This Row],[Draft Year]]+H$1)</f>
        <v>0</v>
      </c>
      <c r="I28">
        <f>SUMIFS('NFL QB Data By Year'!$Q:$Q,'NFL QB Data By Year'!$D:$D,Table2[[#This Row],[Player Name]],'NFL QB Data By Year'!$B:$B,Table2[[#This Row],[Draft Year]]+I$1)</f>
        <v>0</v>
      </c>
      <c r="J28">
        <f>SUMIFS('NFL QB Data By Year'!$P:$P,'NFL QB Data By Year'!$D:$D,Table2[[#This Row],[Player Name]],'NFL QB Data By Year'!$B:$B,Table2[[#This Row],[Draft Year]]+J$1)</f>
        <v>0</v>
      </c>
      <c r="K28">
        <f>SUMIFS('NFL QB Data By Year'!$Q:$Q,'NFL QB Data By Year'!$D:$D,Table2[[#This Row],[Player Name]],'NFL QB Data By Year'!$B:$B,Table2[[#This Row],[Draft Year]]+K$1)</f>
        <v>0</v>
      </c>
      <c r="L28">
        <f>SUMIFS('NFL QB Data By Year'!$P:$P,'NFL QB Data By Year'!$D:$D,Table2[[#This Row],[Player Name]],'NFL QB Data By Year'!$B:$B,Table2[[#This Row],[Draft Year]]+L$1)</f>
        <v>0</v>
      </c>
      <c r="M28">
        <f>Table2[[#This Row],[Year 1 G]]+Table2[[#This Row],[Year 2 G]]+Table2[[#This Row],[Year 3 G]]</f>
        <v>0</v>
      </c>
      <c r="N28">
        <f>Table2[[#This Row],[Year 1 FPTs]]+Table2[[#This Row],[Year 2 FPTs]]+Table2[[#This Row],[Year 3 FPTs]]</f>
        <v>0</v>
      </c>
      <c r="O28" s="7">
        <f>IFERROR(Table2[[#This Row],[Total FPTs]]/Table2[[#This Row],[Total G]],0)</f>
        <v>0</v>
      </c>
      <c r="P28">
        <v>10</v>
      </c>
      <c r="Q28" s="8">
        <f xml:space="preserve"> IFERROR(SUMIFS('College Data By Year'!J:J,'College Data By Year'!A:A,Table2[[#This Row],[Player Name]])/SUMIFS('College Data By Year'!L:L,'College Data By Year'!A:A,Table2[[#This Row],[Player Name]]),"")</f>
        <v>3.3388390750353943E-2</v>
      </c>
      <c r="R28" s="11">
        <f xml:space="preserve"> IFERROR(SUMIFS('College Data By Year'!D:D,'College Data By Year'!A:A,Table2[[#This Row],[Player Name]])/SUMIFS('College Data By Year'!B:B,'College Data By Year'!A:A,Table2[[#This Row],[Player Name]]),"")</f>
        <v>5.7502246181491468E-2</v>
      </c>
      <c r="S28">
        <f>IF(SUMIFS('College Data By Year'!H:H,'College Data By Year'!A:A,Table2[[#This Row],[Player Name]])=0,"",SUMIFS('College Data By Year'!H:H,'College Data By Year'!A:A,Table2[[#This Row],[Player Name]]))</f>
        <v>145.30000000000001</v>
      </c>
      <c r="T28" s="7">
        <f>IFERROR(SUMIFS('College Data By Year'!D:D,'College Data By Year'!A:A,Table2[[#This Row],[Player Name]])/SUMIFS('College Data By Year'!E:E,'College Data By Year'!A:A,Table2[[#This Row],[Player Name]]),"")</f>
        <v>2.3703703703703702</v>
      </c>
      <c r="U28" s="7">
        <f>IFERROR(SUMIFS('College Data By Year'!B:B,'College Data By Year'!A:A,Table2[[#This Row],[Player Name]])/SUMIFS('College Data By Year'!I:I,'College Data By Year'!A:A,Table2[[#This Row],[Player Name]]),"")</f>
        <v>5.25</v>
      </c>
      <c r="V28">
        <f>IF(SUMIFS('College Data By Year'!F:F,'College Data By Year'!A:A,Table2[[#This Row],[Player Name]])=0,"",SUMIFS('College Data By Year'!F:F,'College Data By Year'!A:A,Table2[[#This Row],[Player Name]]))</f>
        <v>8.3000000000000007</v>
      </c>
      <c r="W28">
        <f>IF(SUMIFS('College Data By Year'!G:G,'College Data By Year'!A:A,Table2[[#This Row],[Player Name]])=0,"",SUMIFS('College Data By Year'!G:G,'College Data By Year'!A:A,Table2[[#This Row],[Player Name]]))</f>
        <v>8.3000000000000007</v>
      </c>
      <c r="X2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5.5849056603773588E-2</v>
      </c>
      <c r="Y28">
        <v>4.75</v>
      </c>
      <c r="Z28">
        <v>10</v>
      </c>
      <c r="AA28" t="s">
        <v>221</v>
      </c>
      <c r="AB28">
        <v>213</v>
      </c>
      <c r="AC28">
        <v>27.3</v>
      </c>
      <c r="AD28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28">
        <f>ROUND(IF(Table2[[#This Row],[Draft Round]]=1,10,IF(Table2[[#This Row],[Draft Round]]=8,0,10/(20.884*EXP(-0.381*1))*(20.884*EXP(-0.381*Table2[[#This Row],[Draft Round]])))),0)</f>
        <v>5</v>
      </c>
      <c r="AF28">
        <f>ROUND(IF(Table2[[#This Row],[College BF Dominator]]&gt;0.3,10,IF(Table2[[#This Row],[College BF Dominator]]&lt;-0.156,0,10/(20.818*0.3+3.2667)*(20.818*Table2[[#This Row],[College BF Dominator]]+3.2667))),0)</f>
        <v>4</v>
      </c>
      <c r="AG28">
        <f>ROUND(IF(Table2[[#This Row],[College PTDR]]&gt;0.085,10,IF(Table2[[#This Row],[College PTDR]]&lt;0.04,0,10/(105.24*0.085-1.7837)*(105.24*Table2[[#This Row],[College PTDR]]-1.7837))),0)</f>
        <v>6</v>
      </c>
      <c r="AH28">
        <f>ROUND(IF(Table2[[#This Row],[College Passer Rating]]&gt;170,10,IF(Table2[[#This Row],[College Passer Rating]]&lt;112.475,0,10/(0.1495*170-16.815)*(0.1495*Table2[[#This Row],[College Passer Rating]]-16.815))),0)</f>
        <v>6</v>
      </c>
      <c r="AI28">
        <f>ROUND(IF(Table2[[#This Row],[PTD:INT]]&gt;4,10,IF(Table2[[#This Row],[PTD:INT]]&lt;1,0,10/(4.7442*LN(4)+0.4256)*(4.7442*LN(Table2[[#This Row],[PTD:INT]])+0.4256))),0)</f>
        <v>6</v>
      </c>
      <c r="AJ28">
        <f>ROUND(IF(Table2[[#This Row],[Patt:Ratt]]&lt;2.5,10,IF(Table2[[#This Row],[Patt:Ratt]]&gt;15,0,10/(-2.684*LN(2.5)+9.0869)*(-2.684*LN(Table2[[#This Row],[Patt:Ratt]])+9.0869))),0)</f>
        <v>7</v>
      </c>
      <c r="AK28">
        <f>ROUND(IF(Table2[[#This Row],[Y/A]]&gt;9.2,10,IF(Table2[[#This Row],[Y/A]]&lt;6.26,0,10/(2.2619*9.2-14.16)*(2.2619*Table2[[#This Row],[Y/A]]-14.16))),0)</f>
        <v>7</v>
      </c>
      <c r="AL28">
        <f>ROUND(IF(Table2[[#This Row],[AY/A]]&gt;10,10,IF(Table2[[#This Row],[AY/A]]&lt;5.51,0,10/(1.6571*10-9.1312)*(1.6571*Table2[[#This Row],[AY/A]]-9.1312))),0)</f>
        <v>6</v>
      </c>
      <c r="AM28">
        <f>ROUND(IF(Table2[[#This Row],[40 Yd Dash]]&lt;4.75,10,IF(Table2[[#This Row],[40 Yd Dash]]&gt;5.191,0,10/(-66.95*LN(4.75)+110.26)*(-66.95*LN(Table2[[#This Row],[40 Yd Dash]])+110.26))),0)</f>
        <v>10</v>
      </c>
      <c r="AN28">
        <f>ROUND(IF(Table2[[#This Row],[Hand Size]]&gt;10.25,10,IF(Table2[[#This Row],[Hand Size]]&lt;9,0,10/(15.49*LN(10.25)-30.577)*(15.49*LN(Table2[[#This Row],[Hand Size]])-30.577))),0)</f>
        <v>9</v>
      </c>
    </row>
    <row r="29" spans="1:40">
      <c r="A29">
        <v>2017</v>
      </c>
      <c r="B29">
        <v>3</v>
      </c>
      <c r="C29" t="s">
        <v>219</v>
      </c>
      <c r="D29" t="s">
        <v>68</v>
      </c>
      <c r="E29">
        <v>5.8</v>
      </c>
      <c r="F29" t="s">
        <v>234</v>
      </c>
      <c r="G29">
        <f>SUMIFS('NFL QB Data By Year'!$Q:$Q,'NFL QB Data By Year'!$D:$D,Table2[[#This Row],[Player Name]],'NFL QB Data By Year'!$B:$B,Table2[[#This Row],[Draft Year]]+G$1)</f>
        <v>0</v>
      </c>
      <c r="H29">
        <f>SUMIFS('NFL QB Data By Year'!$P:$P,'NFL QB Data By Year'!$D:$D,Table2[[#This Row],[Player Name]],'NFL QB Data By Year'!$B:$B,Table2[[#This Row],[Draft Year]]+H$1)</f>
        <v>0</v>
      </c>
      <c r="I29">
        <f>SUMIFS('NFL QB Data By Year'!$Q:$Q,'NFL QB Data By Year'!$D:$D,Table2[[#This Row],[Player Name]],'NFL QB Data By Year'!$B:$B,Table2[[#This Row],[Draft Year]]+I$1)</f>
        <v>0</v>
      </c>
      <c r="J29">
        <f>SUMIFS('NFL QB Data By Year'!$P:$P,'NFL QB Data By Year'!$D:$D,Table2[[#This Row],[Player Name]],'NFL QB Data By Year'!$B:$B,Table2[[#This Row],[Draft Year]]+J$1)</f>
        <v>0</v>
      </c>
      <c r="K29">
        <f>SUMIFS('NFL QB Data By Year'!$Q:$Q,'NFL QB Data By Year'!$D:$D,Table2[[#This Row],[Player Name]],'NFL QB Data By Year'!$B:$B,Table2[[#This Row],[Draft Year]]+K$1)</f>
        <v>0</v>
      </c>
      <c r="L29">
        <f>SUMIFS('NFL QB Data By Year'!$P:$P,'NFL QB Data By Year'!$D:$D,Table2[[#This Row],[Player Name]],'NFL QB Data By Year'!$B:$B,Table2[[#This Row],[Draft Year]]+L$1)</f>
        <v>0</v>
      </c>
      <c r="M29">
        <f>Table2[[#This Row],[Year 1 G]]+Table2[[#This Row],[Year 2 G]]+Table2[[#This Row],[Year 3 G]]</f>
        <v>0</v>
      </c>
      <c r="N29">
        <f>Table2[[#This Row],[Year 1 FPTs]]+Table2[[#This Row],[Year 2 FPTs]]+Table2[[#This Row],[Year 3 FPTs]]</f>
        <v>0</v>
      </c>
      <c r="O29" s="7">
        <f>IFERROR(Table2[[#This Row],[Total FPTs]]/Table2[[#This Row],[Total G]],0)</f>
        <v>0</v>
      </c>
      <c r="P29">
        <v>10</v>
      </c>
      <c r="Q29" s="8">
        <f xml:space="preserve"> IFERROR(SUMIFS('College Data By Year'!J:J,'College Data By Year'!A:A,Table2[[#This Row],[Player Name]])/SUMIFS('College Data By Year'!L:L,'College Data By Year'!A:A,Table2[[#This Row],[Player Name]]),"")</f>
        <v>-1.2968486577616392E-2</v>
      </c>
      <c r="R29" s="11">
        <f xml:space="preserve"> IFERROR(SUMIFS('College Data By Year'!D:D,'College Data By Year'!A:A,Table2[[#This Row],[Player Name]])/SUMIFS('College Data By Year'!B:B,'College Data By Year'!A:A,Table2[[#This Row],[Player Name]]),"")</f>
        <v>6.0716898317483538E-2</v>
      </c>
      <c r="S29">
        <f>IF(SUMIFS('College Data By Year'!H:H,'College Data By Year'!A:A,Table2[[#This Row],[Player Name]])=0,"",SUMIFS('College Data By Year'!H:H,'College Data By Year'!A:A,Table2[[#This Row],[Player Name]]))</f>
        <v>137.1</v>
      </c>
      <c r="T29" s="7">
        <f>IFERROR(SUMIFS('College Data By Year'!D:D,'College Data By Year'!A:A,Table2[[#This Row],[Player Name]])/SUMIFS('College Data By Year'!E:E,'College Data By Year'!A:A,Table2[[#This Row],[Player Name]]),"")</f>
        <v>2.4411764705882355</v>
      </c>
      <c r="U29" s="7">
        <f>IFERROR(SUMIFS('College Data By Year'!B:B,'College Data By Year'!A:A,Table2[[#This Row],[Player Name]])/SUMIFS('College Data By Year'!I:I,'College Data By Year'!A:A,Table2[[#This Row],[Player Name]]),"")</f>
        <v>17.753246753246753</v>
      </c>
      <c r="V29">
        <f>IF(SUMIFS('College Data By Year'!F:F,'College Data By Year'!A:A,Table2[[#This Row],[Player Name]])=0,"",SUMIFS('College Data By Year'!F:F,'College Data By Year'!A:A,Table2[[#This Row],[Player Name]]))</f>
        <v>7.2</v>
      </c>
      <c r="W29">
        <f>IF(SUMIFS('College Data By Year'!G:G,'College Data By Year'!A:A,Table2[[#This Row],[Player Name]])=0,"",SUMIFS('College Data By Year'!G:G,'College Data By Year'!A:A,Table2[[#This Row],[Player Name]]))</f>
        <v>7.3</v>
      </c>
      <c r="X2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1.8698060941828253E-2</v>
      </c>
      <c r="Y29">
        <v>4.79</v>
      </c>
      <c r="Z29">
        <v>9.25</v>
      </c>
      <c r="AA29" t="s">
        <v>225</v>
      </c>
      <c r="AB29">
        <v>229</v>
      </c>
      <c r="AC29">
        <v>27.2</v>
      </c>
      <c r="AD29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29">
        <f>ROUND(IF(Table2[[#This Row],[Draft Round]]=1,10,IF(Table2[[#This Row],[Draft Round]]=8,0,10/(20.884*EXP(-0.381*1))*(20.884*EXP(-0.381*Table2[[#This Row],[Draft Round]])))),0)</f>
        <v>5</v>
      </c>
      <c r="AF29">
        <f>ROUND(IF(Table2[[#This Row],[College BF Dominator]]&gt;0.3,10,IF(Table2[[#This Row],[College BF Dominator]]&lt;-0.156,0,10/(20.818*0.3+3.2667)*(20.818*Table2[[#This Row],[College BF Dominator]]+3.2667))),0)</f>
        <v>3</v>
      </c>
      <c r="AG29">
        <f>ROUND(IF(Table2[[#This Row],[College PTDR]]&gt;0.085,10,IF(Table2[[#This Row],[College PTDR]]&lt;0.04,0,10/(105.24*0.085-1.7837)*(105.24*Table2[[#This Row],[College PTDR]]-1.7837))),0)</f>
        <v>6</v>
      </c>
      <c r="AH29">
        <f>ROUND(IF(Table2[[#This Row],[College Passer Rating]]&gt;170,10,IF(Table2[[#This Row],[College Passer Rating]]&lt;112.475,0,10/(0.1495*170-16.815)*(0.1495*Table2[[#This Row],[College Passer Rating]]-16.815))),0)</f>
        <v>4</v>
      </c>
      <c r="AI29">
        <f>ROUND(IF(Table2[[#This Row],[PTD:INT]]&gt;4,10,IF(Table2[[#This Row],[PTD:INT]]&lt;1,0,10/(4.7442*LN(4)+0.4256)*(4.7442*LN(Table2[[#This Row],[PTD:INT]])+0.4256))),0)</f>
        <v>7</v>
      </c>
      <c r="AJ29">
        <f>ROUND(IF(Table2[[#This Row],[Patt:Ratt]]&lt;2.5,10,IF(Table2[[#This Row],[Patt:Ratt]]&gt;15,0,10/(-2.684*LN(2.5)+9.0869)*(-2.684*LN(Table2[[#This Row],[Patt:Ratt]])+9.0869))),0)</f>
        <v>0</v>
      </c>
      <c r="AK29">
        <f>ROUND(IF(Table2[[#This Row],[Y/A]]&gt;9.2,10,IF(Table2[[#This Row],[Y/A]]&lt;6.26,0,10/(2.2619*9.2-14.16)*(2.2619*Table2[[#This Row],[Y/A]]-14.16))),0)</f>
        <v>3</v>
      </c>
      <c r="AL29">
        <f>ROUND(IF(Table2[[#This Row],[AY/A]]&gt;10,10,IF(Table2[[#This Row],[AY/A]]&lt;5.51,0,10/(1.6571*10-9.1312)*(1.6571*Table2[[#This Row],[AY/A]]-9.1312))),0)</f>
        <v>4</v>
      </c>
      <c r="AM29">
        <f>ROUND(IF(Table2[[#This Row],[40 Yd Dash]]&lt;4.75,10,IF(Table2[[#This Row],[40 Yd Dash]]&gt;5.191,0,10/(-66.95*LN(4.75)+110.26)*(-66.95*LN(Table2[[#This Row],[40 Yd Dash]])+110.26))),0)</f>
        <v>9</v>
      </c>
      <c r="AN29">
        <f>ROUND(IF(Table2[[#This Row],[Hand Size]]&gt;10.25,10,IF(Table2[[#This Row],[Hand Size]]&lt;9,0,10/(15.49*LN(10.25)-30.577)*(15.49*LN(Table2[[#This Row],[Hand Size]])-30.577))),0)</f>
        <v>7</v>
      </c>
    </row>
    <row r="30" spans="1:40">
      <c r="A30">
        <v>2016</v>
      </c>
      <c r="B30">
        <v>4</v>
      </c>
      <c r="C30" t="s">
        <v>219</v>
      </c>
      <c r="D30" t="s">
        <v>61</v>
      </c>
      <c r="E30">
        <v>5.9</v>
      </c>
      <c r="F30" t="s">
        <v>234</v>
      </c>
      <c r="G30">
        <f>SUMIFS('NFL QB Data By Year'!$Q:$Q,'NFL QB Data By Year'!$D:$D,Table2[[#This Row],[Player Name]],'NFL QB Data By Year'!$B:$B,Table2[[#This Row],[Draft Year]]+G$1)</f>
        <v>16</v>
      </c>
      <c r="H30">
        <f>SUMIFS('NFL QB Data By Year'!$P:$P,'NFL QB Data By Year'!$D:$D,Table2[[#This Row],[Player Name]],'NFL QB Data By Year'!$B:$B,Table2[[#This Row],[Draft Year]]+H$1)</f>
        <v>287.10000000000002</v>
      </c>
      <c r="I30">
        <f>SUMIFS('NFL QB Data By Year'!$Q:$Q,'NFL QB Data By Year'!$D:$D,Table2[[#This Row],[Player Name]],'NFL QB Data By Year'!$B:$B,Table2[[#This Row],[Draft Year]]+I$1)</f>
        <v>16</v>
      </c>
      <c r="J30">
        <f>SUMIFS('NFL QB Data By Year'!$P:$P,'NFL QB Data By Year'!$D:$D,Table2[[#This Row],[Player Name]],'NFL QB Data By Year'!$B:$B,Table2[[#This Row],[Draft Year]]+J$1)</f>
        <v>260.8</v>
      </c>
      <c r="K30">
        <f>SUMIFS('NFL QB Data By Year'!$Q:$Q,'NFL QB Data By Year'!$D:$D,Table2[[#This Row],[Player Name]],'NFL QB Data By Year'!$B:$B,Table2[[#This Row],[Draft Year]]+K$1)</f>
        <v>16</v>
      </c>
      <c r="L30">
        <f>SUMIFS('NFL QB Data By Year'!$P:$P,'NFL QB Data By Year'!$D:$D,Table2[[#This Row],[Player Name]],'NFL QB Data By Year'!$B:$B,Table2[[#This Row],[Draft Year]]+L$1)</f>
        <v>285.7</v>
      </c>
      <c r="M30">
        <f>Table2[[#This Row],[Year 1 G]]+Table2[[#This Row],[Year 2 G]]+Table2[[#This Row],[Year 3 G]]</f>
        <v>48</v>
      </c>
      <c r="N30">
        <f>Table2[[#This Row],[Year 1 FPTs]]+Table2[[#This Row],[Year 2 FPTs]]+Table2[[#This Row],[Year 3 FPTs]]</f>
        <v>833.60000000000014</v>
      </c>
      <c r="O30" s="7">
        <f>IFERROR(Table2[[#This Row],[Total FPTs]]/Table2[[#This Row],[Total G]],0)</f>
        <v>17.366666666666671</v>
      </c>
      <c r="P30">
        <v>3</v>
      </c>
      <c r="Q30" s="8">
        <f xml:space="preserve"> IFERROR(SUMIFS('College Data By Year'!J:J,'College Data By Year'!A:A,Table2[[#This Row],[Player Name]])/SUMIFS('College Data By Year'!L:L,'College Data By Year'!A:A,Table2[[#This Row],[Player Name]]),"")</f>
        <v>0.27289456592336003</v>
      </c>
      <c r="R30" s="11">
        <f xml:space="preserve"> IFERROR(SUMIFS('College Data By Year'!D:D,'College Data By Year'!A:A,Table2[[#This Row],[Player Name]])/SUMIFS('College Data By Year'!B:B,'College Data By Year'!A:A,Table2[[#This Row],[Player Name]]),"")</f>
        <v>5.9880239520958084E-2</v>
      </c>
      <c r="S30">
        <f>IF(SUMIFS('College Data By Year'!H:H,'College Data By Year'!A:A,Table2[[#This Row],[Player Name]])=0,"",SUMIFS('College Data By Year'!H:H,'College Data By Year'!A:A,Table2[[#This Row],[Player Name]]))</f>
        <v>146</v>
      </c>
      <c r="T30" s="7">
        <f>IFERROR(SUMIFS('College Data By Year'!D:D,'College Data By Year'!A:A,Table2[[#This Row],[Player Name]])/SUMIFS('College Data By Year'!E:E,'College Data By Year'!A:A,Table2[[#This Row],[Player Name]]),"")</f>
        <v>3.0434782608695654</v>
      </c>
      <c r="U30" s="7">
        <f>IFERROR(SUMIFS('College Data By Year'!B:B,'College Data By Year'!A:A,Table2[[#This Row],[Player Name]])/SUMIFS('College Data By Year'!I:I,'College Data By Year'!A:A,Table2[[#This Row],[Player Name]]),"")</f>
        <v>2.1809701492537314</v>
      </c>
      <c r="V30">
        <f>IF(SUMIFS('College Data By Year'!F:F,'College Data By Year'!A:A,Table2[[#This Row],[Player Name]])=0,"",SUMIFS('College Data By Year'!F:F,'College Data By Year'!A:A,Table2[[#This Row],[Player Name]]))</f>
        <v>8</v>
      </c>
      <c r="W30">
        <f>IF(SUMIFS('College Data By Year'!G:G,'College Data By Year'!A:A,Table2[[#This Row],[Player Name]])=0,"",SUMIFS('College Data By Year'!G:G,'College Data By Year'!A:A,Table2[[#This Row],[Player Name]]))</f>
        <v>8.3000000000000007</v>
      </c>
      <c r="X3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3.6363636363636362E-2</v>
      </c>
      <c r="Y30">
        <v>4.79</v>
      </c>
      <c r="Z30">
        <v>10.875</v>
      </c>
      <c r="AA30" t="s">
        <v>221</v>
      </c>
      <c r="AB30">
        <v>226</v>
      </c>
      <c r="AC30">
        <v>29</v>
      </c>
      <c r="AD30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30">
        <f>ROUND(IF(Table2[[#This Row],[Draft Round]]=1,10,IF(Table2[[#This Row],[Draft Round]]=8,0,10/(20.884*EXP(-0.381*1))*(20.884*EXP(-0.381*Table2[[#This Row],[Draft Round]])))),0)</f>
        <v>3</v>
      </c>
      <c r="AF30">
        <f>ROUND(IF(Table2[[#This Row],[College BF Dominator]]&gt;0.3,10,IF(Table2[[#This Row],[College BF Dominator]]&lt;-0.156,0,10/(20.818*0.3+3.2667)*(20.818*Table2[[#This Row],[College BF Dominator]]+3.2667))),0)</f>
        <v>9</v>
      </c>
      <c r="AG30">
        <f>ROUND(IF(Table2[[#This Row],[College PTDR]]&gt;0.085,10,IF(Table2[[#This Row],[College PTDR]]&lt;0.04,0,10/(105.24*0.085-1.7837)*(105.24*Table2[[#This Row],[College PTDR]]-1.7837))),0)</f>
        <v>6</v>
      </c>
      <c r="AH30">
        <f>ROUND(IF(Table2[[#This Row],[College Passer Rating]]&gt;170,10,IF(Table2[[#This Row],[College Passer Rating]]&lt;112.475,0,10/(0.1495*170-16.815)*(0.1495*Table2[[#This Row],[College Passer Rating]]-16.815))),0)</f>
        <v>6</v>
      </c>
      <c r="AI30">
        <f>ROUND(IF(Table2[[#This Row],[PTD:INT]]&gt;4,10,IF(Table2[[#This Row],[PTD:INT]]&lt;1,0,10/(4.7442*LN(4)+0.4256)*(4.7442*LN(Table2[[#This Row],[PTD:INT]])+0.4256))),0)</f>
        <v>8</v>
      </c>
      <c r="AJ30">
        <f>ROUND(IF(Table2[[#This Row],[Patt:Ratt]]&lt;2.5,10,IF(Table2[[#This Row],[Patt:Ratt]]&gt;15,0,10/(-2.684*LN(2.5)+9.0869)*(-2.684*LN(Table2[[#This Row],[Patt:Ratt]])+9.0869))),0)</f>
        <v>10</v>
      </c>
      <c r="AK30">
        <f>ROUND(IF(Table2[[#This Row],[Y/A]]&gt;9.2,10,IF(Table2[[#This Row],[Y/A]]&lt;6.26,0,10/(2.2619*9.2-14.16)*(2.2619*Table2[[#This Row],[Y/A]]-14.16))),0)</f>
        <v>6</v>
      </c>
      <c r="AL30">
        <f>ROUND(IF(Table2[[#This Row],[AY/A]]&gt;10,10,IF(Table2[[#This Row],[AY/A]]&lt;5.51,0,10/(1.6571*10-9.1312)*(1.6571*Table2[[#This Row],[AY/A]]-9.1312))),0)</f>
        <v>6</v>
      </c>
      <c r="AM30">
        <f>ROUND(IF(Table2[[#This Row],[40 Yd Dash]]&lt;4.75,10,IF(Table2[[#This Row],[40 Yd Dash]]&gt;5.191,0,10/(-66.95*LN(4.75)+110.26)*(-66.95*LN(Table2[[#This Row],[40 Yd Dash]])+110.26))),0)</f>
        <v>9</v>
      </c>
      <c r="AN30">
        <f>ROUND(IF(Table2[[#This Row],[Hand Size]]&gt;10.25,10,IF(Table2[[#This Row],[Hand Size]]&lt;9,0,10/(15.49*LN(10.25)-30.577)*(15.49*LN(Table2[[#This Row],[Hand Size]])-30.577))),0)</f>
        <v>10</v>
      </c>
    </row>
    <row r="31" spans="1:40">
      <c r="A31">
        <v>2016</v>
      </c>
      <c r="B31">
        <v>4</v>
      </c>
      <c r="C31" t="s">
        <v>219</v>
      </c>
      <c r="D31" t="s">
        <v>56</v>
      </c>
      <c r="E31">
        <v>6.3</v>
      </c>
      <c r="F31" t="s">
        <v>220</v>
      </c>
      <c r="G31">
        <f>SUMIFS('NFL QB Data By Year'!$Q:$Q,'NFL QB Data By Year'!$D:$D,Table2[[#This Row],[Player Name]],'NFL QB Data By Year'!$B:$B,Table2[[#This Row],[Draft Year]]+G$1)</f>
        <v>1</v>
      </c>
      <c r="H31">
        <f>SUMIFS('NFL QB Data By Year'!$P:$P,'NFL QB Data By Year'!$D:$D,Table2[[#This Row],[Player Name]],'NFL QB Data By Year'!$B:$B,Table2[[#This Row],[Draft Year]]+H$1)</f>
        <v>6</v>
      </c>
      <c r="I31">
        <f>SUMIFS('NFL QB Data By Year'!$Q:$Q,'NFL QB Data By Year'!$D:$D,Table2[[#This Row],[Player Name]],'NFL QB Data By Year'!$B:$B,Table2[[#This Row],[Draft Year]]+I$1)</f>
        <v>0</v>
      </c>
      <c r="J31">
        <f>SUMIFS('NFL QB Data By Year'!$P:$P,'NFL QB Data By Year'!$D:$D,Table2[[#This Row],[Player Name]],'NFL QB Data By Year'!$B:$B,Table2[[#This Row],[Draft Year]]+J$1)</f>
        <v>0</v>
      </c>
      <c r="K31">
        <f>SUMIFS('NFL QB Data By Year'!$Q:$Q,'NFL QB Data By Year'!$D:$D,Table2[[#This Row],[Player Name]],'NFL QB Data By Year'!$B:$B,Table2[[#This Row],[Draft Year]]+K$1)</f>
        <v>0</v>
      </c>
      <c r="L31">
        <f>SUMIFS('NFL QB Data By Year'!$P:$P,'NFL QB Data By Year'!$D:$D,Table2[[#This Row],[Player Name]],'NFL QB Data By Year'!$B:$B,Table2[[#This Row],[Draft Year]]+L$1)</f>
        <v>0</v>
      </c>
      <c r="M31">
        <f>Table2[[#This Row],[Year 1 G]]+Table2[[#This Row],[Year 2 G]]+Table2[[#This Row],[Year 3 G]]</f>
        <v>1</v>
      </c>
      <c r="N31">
        <f>Table2[[#This Row],[Year 1 FPTs]]+Table2[[#This Row],[Year 2 FPTs]]+Table2[[#This Row],[Year 3 FPTs]]</f>
        <v>6</v>
      </c>
      <c r="O31" s="7">
        <f>IFERROR(Table2[[#This Row],[Total FPTs]]/Table2[[#This Row],[Total G]],0)</f>
        <v>6</v>
      </c>
      <c r="P31">
        <v>7</v>
      </c>
      <c r="Q31" s="8">
        <f xml:space="preserve"> IFERROR(SUMIFS('College Data By Year'!J:J,'College Data By Year'!A:A,Table2[[#This Row],[Player Name]])/SUMIFS('College Data By Year'!L:L,'College Data By Year'!A:A,Table2[[#This Row],[Player Name]]),"")</f>
        <v>2.18848167539267E-2</v>
      </c>
      <c r="R31" s="11">
        <f xml:space="preserve"> IFERROR(SUMIFS('College Data By Year'!D:D,'College Data By Year'!A:A,Table2[[#This Row],[Player Name]])/SUMIFS('College Data By Year'!B:B,'College Data By Year'!A:A,Table2[[#This Row],[Player Name]]),"")</f>
        <v>6.0683760683760683E-2</v>
      </c>
      <c r="S31">
        <f>IF(SUMIFS('College Data By Year'!H:H,'College Data By Year'!A:A,Table2[[#This Row],[Player Name]])=0,"",SUMIFS('College Data By Year'!H:H,'College Data By Year'!A:A,Table2[[#This Row],[Player Name]]))</f>
        <v>139.80000000000001</v>
      </c>
      <c r="T31" s="7">
        <f>IFERROR(SUMIFS('College Data By Year'!D:D,'College Data By Year'!A:A,Table2[[#This Row],[Player Name]])/SUMIFS('College Data By Year'!E:E,'College Data By Year'!A:A,Table2[[#This Row],[Player Name]]),"")</f>
        <v>3.2272727272727271</v>
      </c>
      <c r="U31" s="7">
        <f>IFERROR(SUMIFS('College Data By Year'!B:B,'College Data By Year'!A:A,Table2[[#This Row],[Player Name]])/SUMIFS('College Data By Year'!I:I,'College Data By Year'!A:A,Table2[[#This Row],[Player Name]]),"")</f>
        <v>6.6477272727272725</v>
      </c>
      <c r="V31">
        <f>IF(SUMIFS('College Data By Year'!F:F,'College Data By Year'!A:A,Table2[[#This Row],[Player Name]])=0,"",SUMIFS('College Data By Year'!F:F,'College Data By Year'!A:A,Table2[[#This Row],[Player Name]]))</f>
        <v>7.9</v>
      </c>
      <c r="W31">
        <f>IF(SUMIFS('College Data By Year'!G:G,'College Data By Year'!A:A,Table2[[#This Row],[Player Name]])=0,"",SUMIFS('College Data By Year'!G:G,'College Data By Year'!A:A,Table2[[#This Row],[Player Name]]))</f>
        <v>8.1999999999999993</v>
      </c>
      <c r="X3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3.4175334323922731E-2</v>
      </c>
      <c r="Y31">
        <v>4.79</v>
      </c>
      <c r="Z31">
        <v>9.75</v>
      </c>
      <c r="AA31" t="s">
        <v>227</v>
      </c>
      <c r="AB31">
        <v>217</v>
      </c>
      <c r="AC31">
        <v>26.4</v>
      </c>
      <c r="AD31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31">
        <f>ROUND(IF(Table2[[#This Row],[Draft Round]]=1,10,IF(Table2[[#This Row],[Draft Round]]=8,0,10/(20.884*EXP(-0.381*1))*(20.884*EXP(-0.381*Table2[[#This Row],[Draft Round]])))),0)</f>
        <v>3</v>
      </c>
      <c r="AF31">
        <f>ROUND(IF(Table2[[#This Row],[College BF Dominator]]&gt;0.3,10,IF(Table2[[#This Row],[College BF Dominator]]&lt;-0.156,0,10/(20.818*0.3+3.2667)*(20.818*Table2[[#This Row],[College BF Dominator]]+3.2667))),0)</f>
        <v>4</v>
      </c>
      <c r="AG31">
        <f>ROUND(IF(Table2[[#This Row],[College PTDR]]&gt;0.085,10,IF(Table2[[#This Row],[College PTDR]]&lt;0.04,0,10/(105.24*0.085-1.7837)*(105.24*Table2[[#This Row],[College PTDR]]-1.7837))),0)</f>
        <v>6</v>
      </c>
      <c r="AH31">
        <f>ROUND(IF(Table2[[#This Row],[College Passer Rating]]&gt;170,10,IF(Table2[[#This Row],[College Passer Rating]]&lt;112.475,0,10/(0.1495*170-16.815)*(0.1495*Table2[[#This Row],[College Passer Rating]]-16.815))),0)</f>
        <v>5</v>
      </c>
      <c r="AI31">
        <f>ROUND(IF(Table2[[#This Row],[PTD:INT]]&gt;4,10,IF(Table2[[#This Row],[PTD:INT]]&lt;1,0,10/(4.7442*LN(4)+0.4256)*(4.7442*LN(Table2[[#This Row],[PTD:INT]])+0.4256))),0)</f>
        <v>9</v>
      </c>
      <c r="AJ31">
        <f>ROUND(IF(Table2[[#This Row],[Patt:Ratt]]&lt;2.5,10,IF(Table2[[#This Row],[Patt:Ratt]]&gt;15,0,10/(-2.684*LN(2.5)+9.0869)*(-2.684*LN(Table2[[#This Row],[Patt:Ratt]])+9.0869))),0)</f>
        <v>6</v>
      </c>
      <c r="AK31">
        <f>ROUND(IF(Table2[[#This Row],[Y/A]]&gt;9.2,10,IF(Table2[[#This Row],[Y/A]]&lt;6.26,0,10/(2.2619*9.2-14.16)*(2.2619*Table2[[#This Row],[Y/A]]-14.16))),0)</f>
        <v>6</v>
      </c>
      <c r="AL31">
        <f>ROUND(IF(Table2[[#This Row],[AY/A]]&gt;10,10,IF(Table2[[#This Row],[AY/A]]&lt;5.51,0,10/(1.6571*10-9.1312)*(1.6571*Table2[[#This Row],[AY/A]]-9.1312))),0)</f>
        <v>6</v>
      </c>
      <c r="AM31">
        <f>ROUND(IF(Table2[[#This Row],[40 Yd Dash]]&lt;4.75,10,IF(Table2[[#This Row],[40 Yd Dash]]&gt;5.191,0,10/(-66.95*LN(4.75)+110.26)*(-66.95*LN(Table2[[#This Row],[40 Yd Dash]])+110.26))),0)</f>
        <v>9</v>
      </c>
      <c r="AN31">
        <f>ROUND(IF(Table2[[#This Row],[Hand Size]]&gt;10.25,10,IF(Table2[[#This Row],[Hand Size]]&lt;9,0,10/(15.49*LN(10.25)-30.577)*(15.49*LN(Table2[[#This Row],[Hand Size]])-30.577))),0)</f>
        <v>9</v>
      </c>
    </row>
    <row r="32" spans="1:40">
      <c r="A32">
        <v>2019</v>
      </c>
      <c r="B32">
        <v>4</v>
      </c>
      <c r="C32" t="s">
        <v>219</v>
      </c>
      <c r="D32" t="s">
        <v>66</v>
      </c>
      <c r="E32">
        <v>6.2</v>
      </c>
      <c r="F32" t="s">
        <v>233</v>
      </c>
      <c r="G32">
        <f>SUMIFS('NFL QB Data By Year'!$Q:$Q,'NFL QB Data By Year'!$D:$D,Table2[[#This Row],[Player Name]],'NFL QB Data By Year'!$B:$B,Table2[[#This Row],[Draft Year]]+G$1)</f>
        <v>3</v>
      </c>
      <c r="H32">
        <f>SUMIFS('NFL QB Data By Year'!$P:$P,'NFL QB Data By Year'!$D:$D,Table2[[#This Row],[Player Name]],'NFL QB Data By Year'!$B:$B,Table2[[#This Row],[Draft Year]]+H$1)</f>
        <v>26.7</v>
      </c>
      <c r="I32">
        <f>SUMIFS('NFL QB Data By Year'!$Q:$Q,'NFL QB Data By Year'!$D:$D,Table2[[#This Row],[Player Name]],'NFL QB Data By Year'!$B:$B,Table2[[#This Row],[Draft Year]]+I$1)</f>
        <v>5</v>
      </c>
      <c r="J32">
        <f>SUMIFS('NFL QB Data By Year'!$P:$P,'NFL QB Data By Year'!$D:$D,Table2[[#This Row],[Player Name]],'NFL QB Data By Year'!$B:$B,Table2[[#This Row],[Draft Year]]+J$1)</f>
        <v>21.2</v>
      </c>
      <c r="K32">
        <f>SUMIFS('NFL QB Data By Year'!$Q:$Q,'NFL QB Data By Year'!$D:$D,Table2[[#This Row],[Player Name]],'NFL QB Data By Year'!$B:$B,Table2[[#This Row],[Draft Year]]+K$1)</f>
        <v>0</v>
      </c>
      <c r="L32">
        <f>SUMIFS('NFL QB Data By Year'!$P:$P,'NFL QB Data By Year'!$D:$D,Table2[[#This Row],[Player Name]],'NFL QB Data By Year'!$B:$B,Table2[[#This Row],[Draft Year]]+L$1)</f>
        <v>0</v>
      </c>
      <c r="M32">
        <f>Table2[[#This Row],[Year 1 G]]+Table2[[#This Row],[Year 2 G]]+Table2[[#This Row],[Year 3 G]]</f>
        <v>8</v>
      </c>
      <c r="N32">
        <f>Table2[[#This Row],[Year 1 FPTs]]+Table2[[#This Row],[Year 2 FPTs]]+Table2[[#This Row],[Year 3 FPTs]]</f>
        <v>47.9</v>
      </c>
      <c r="O32" s="7">
        <f>IFERROR(Table2[[#This Row],[Total FPTs]]/Table2[[#This Row],[Total G]],0)</f>
        <v>5.9874999999999998</v>
      </c>
      <c r="P32">
        <v>7</v>
      </c>
      <c r="Q32" s="8">
        <f xml:space="preserve"> IFERROR(SUMIFS('College Data By Year'!J:J,'College Data By Year'!A:A,Table2[[#This Row],[Player Name]])/SUMIFS('College Data By Year'!L:L,'College Data By Year'!A:A,Table2[[#This Row],[Player Name]]),"")</f>
        <v>3.2753150990311238E-2</v>
      </c>
      <c r="R32" s="11">
        <f xml:space="preserve"> IFERROR(SUMIFS('College Data By Year'!D:D,'College Data By Year'!A:A,Table2[[#This Row],[Player Name]])/SUMIFS('College Data By Year'!B:B,'College Data By Year'!A:A,Table2[[#This Row],[Player Name]]),"")</f>
        <v>4.3121149897330596E-2</v>
      </c>
      <c r="S32">
        <f>IF(SUMIFS('College Data By Year'!H:H,'College Data By Year'!A:A,Table2[[#This Row],[Player Name]])=0,"",SUMIFS('College Data By Year'!H:H,'College Data By Year'!A:A,Table2[[#This Row],[Player Name]]))</f>
        <v>138.4</v>
      </c>
      <c r="T32" s="7">
        <f>IFERROR(SUMIFS('College Data By Year'!D:D,'College Data By Year'!A:A,Table2[[#This Row],[Player Name]])/SUMIFS('College Data By Year'!E:E,'College Data By Year'!A:A,Table2[[#This Row],[Player Name]]),"")</f>
        <v>2.1</v>
      </c>
      <c r="U32" s="7">
        <f>IFERROR(SUMIFS('College Data By Year'!B:B,'College Data By Year'!A:A,Table2[[#This Row],[Player Name]])/SUMIFS('College Data By Year'!I:I,'College Data By Year'!A:A,Table2[[#This Row],[Player Name]]),"")</f>
        <v>6.8271028037383177</v>
      </c>
      <c r="V32">
        <f>IF(SUMIFS('College Data By Year'!F:F,'College Data By Year'!A:A,Table2[[#This Row],[Player Name]])=0,"",SUMIFS('College Data By Year'!F:F,'College Data By Year'!A:A,Table2[[#This Row],[Player Name]]))</f>
        <v>7.6</v>
      </c>
      <c r="W32">
        <f>IF(SUMIFS('College Data By Year'!G:G,'College Data By Year'!A:A,Table2[[#This Row],[Player Name]])=0,"",SUMIFS('College Data By Year'!G:G,'College Data By Year'!A:A,Table2[[#This Row],[Player Name]]))</f>
        <v>7.6</v>
      </c>
      <c r="X3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2.746268656716418E-2</v>
      </c>
      <c r="Y32">
        <v>4.7300000000000004</v>
      </c>
      <c r="Z32">
        <v>9.5</v>
      </c>
      <c r="AA32" t="s">
        <v>227</v>
      </c>
      <c r="AB32">
        <v>213</v>
      </c>
      <c r="AC32">
        <v>25.9</v>
      </c>
      <c r="AD32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32">
        <f>ROUND(IF(Table2[[#This Row],[Draft Round]]=1,10,IF(Table2[[#This Row],[Draft Round]]=8,0,10/(20.884*EXP(-0.381*1))*(20.884*EXP(-0.381*Table2[[#This Row],[Draft Round]])))),0)</f>
        <v>3</v>
      </c>
      <c r="AF32">
        <f>ROUND(IF(Table2[[#This Row],[College BF Dominator]]&gt;0.3,10,IF(Table2[[#This Row],[College BF Dominator]]&lt;-0.156,0,10/(20.818*0.3+3.2667)*(20.818*Table2[[#This Row],[College BF Dominator]]+3.2667))),0)</f>
        <v>4</v>
      </c>
      <c r="AG32">
        <f>ROUND(IF(Table2[[#This Row],[College PTDR]]&gt;0.085,10,IF(Table2[[#This Row],[College PTDR]]&lt;0.04,0,10/(105.24*0.085-1.7837)*(105.24*Table2[[#This Row],[College PTDR]]-1.7837))),0)</f>
        <v>4</v>
      </c>
      <c r="AH32">
        <f>ROUND(IF(Table2[[#This Row],[College Passer Rating]]&gt;170,10,IF(Table2[[#This Row],[College Passer Rating]]&lt;112.475,0,10/(0.1495*170-16.815)*(0.1495*Table2[[#This Row],[College Passer Rating]]-16.815))),0)</f>
        <v>5</v>
      </c>
      <c r="AI32">
        <f>ROUND(IF(Table2[[#This Row],[PTD:INT]]&gt;4,10,IF(Table2[[#This Row],[PTD:INT]]&lt;1,0,10/(4.7442*LN(4)+0.4256)*(4.7442*LN(Table2[[#This Row],[PTD:INT]])+0.4256))),0)</f>
        <v>6</v>
      </c>
      <c r="AJ32">
        <f>ROUND(IF(Table2[[#This Row],[Patt:Ratt]]&lt;2.5,10,IF(Table2[[#This Row],[Patt:Ratt]]&gt;15,0,10/(-2.684*LN(2.5)+9.0869)*(-2.684*LN(Table2[[#This Row],[Patt:Ratt]])+9.0869))),0)</f>
        <v>6</v>
      </c>
      <c r="AK32">
        <f>ROUND(IF(Table2[[#This Row],[Y/A]]&gt;9.2,10,IF(Table2[[#This Row],[Y/A]]&lt;6.26,0,10/(2.2619*9.2-14.16)*(2.2619*Table2[[#This Row],[Y/A]]-14.16))),0)</f>
        <v>5</v>
      </c>
      <c r="AL32">
        <f>ROUND(IF(Table2[[#This Row],[AY/A]]&gt;10,10,IF(Table2[[#This Row],[AY/A]]&lt;5.51,0,10/(1.6571*10-9.1312)*(1.6571*Table2[[#This Row],[AY/A]]-9.1312))),0)</f>
        <v>5</v>
      </c>
      <c r="AM32">
        <f>ROUND(IF(Table2[[#This Row],[40 Yd Dash]]&lt;4.75,10,IF(Table2[[#This Row],[40 Yd Dash]]&gt;5.191,0,10/(-66.95*LN(4.75)+110.26)*(-66.95*LN(Table2[[#This Row],[40 Yd Dash]])+110.26))),0)</f>
        <v>10</v>
      </c>
      <c r="AN32">
        <f>ROUND(IF(Table2[[#This Row],[Hand Size]]&gt;10.25,10,IF(Table2[[#This Row],[Hand Size]]&lt;9,0,10/(15.49*LN(10.25)-30.577)*(15.49*LN(Table2[[#This Row],[Hand Size]])-30.577))),0)</f>
        <v>8</v>
      </c>
    </row>
    <row r="33" spans="1:40">
      <c r="A33">
        <v>2015</v>
      </c>
      <c r="B33">
        <v>4</v>
      </c>
      <c r="C33" t="s">
        <v>219</v>
      </c>
      <c r="D33" t="s">
        <v>64</v>
      </c>
      <c r="E33">
        <v>5.8</v>
      </c>
      <c r="F33" t="s">
        <v>234</v>
      </c>
      <c r="G33">
        <f>SUMIFS('NFL QB Data By Year'!$Q:$Q,'NFL QB Data By Year'!$D:$D,Table2[[#This Row],[Player Name]],'NFL QB Data By Year'!$B:$B,Table2[[#This Row],[Draft Year]]+G$1)</f>
        <v>0</v>
      </c>
      <c r="H33">
        <f>SUMIFS('NFL QB Data By Year'!$P:$P,'NFL QB Data By Year'!$D:$D,Table2[[#This Row],[Player Name]],'NFL QB Data By Year'!$B:$B,Table2[[#This Row],[Draft Year]]+H$1)</f>
        <v>0</v>
      </c>
      <c r="I33">
        <f>SUMIFS('NFL QB Data By Year'!$Q:$Q,'NFL QB Data By Year'!$D:$D,Table2[[#This Row],[Player Name]],'NFL QB Data By Year'!$B:$B,Table2[[#This Row],[Draft Year]]+I$1)</f>
        <v>6</v>
      </c>
      <c r="J33">
        <f>SUMIFS('NFL QB Data By Year'!$P:$P,'NFL QB Data By Year'!$D:$D,Table2[[#This Row],[Player Name]],'NFL QB Data By Year'!$B:$B,Table2[[#This Row],[Draft Year]]+J$1)</f>
        <v>32.299999999999997</v>
      </c>
      <c r="K33">
        <f>SUMIFS('NFL QB Data By Year'!$Q:$Q,'NFL QB Data By Year'!$D:$D,Table2[[#This Row],[Player Name]],'NFL QB Data By Year'!$B:$B,Table2[[#This Row],[Draft Year]]+K$1)</f>
        <v>4</v>
      </c>
      <c r="L33">
        <f>SUMIFS('NFL QB Data By Year'!$P:$P,'NFL QB Data By Year'!$D:$D,Table2[[#This Row],[Player Name]],'NFL QB Data By Year'!$B:$B,Table2[[#This Row],[Draft Year]]+L$1)</f>
        <v>25.4</v>
      </c>
      <c r="M33">
        <f>Table2[[#This Row],[Year 1 G]]+Table2[[#This Row],[Year 2 G]]+Table2[[#This Row],[Year 3 G]]</f>
        <v>10</v>
      </c>
      <c r="N33">
        <f>Table2[[#This Row],[Year 1 FPTs]]+Table2[[#This Row],[Year 2 FPTs]]+Table2[[#This Row],[Year 3 FPTs]]</f>
        <v>57.699999999999996</v>
      </c>
      <c r="O33" s="7">
        <f>IFERROR(Table2[[#This Row],[Total FPTs]]/Table2[[#This Row],[Total G]],0)</f>
        <v>5.77</v>
      </c>
      <c r="P33">
        <v>7</v>
      </c>
      <c r="Q33" s="8">
        <f xml:space="preserve"> IFERROR(SUMIFS('College Data By Year'!J:J,'College Data By Year'!A:A,Table2[[#This Row],[Player Name]])/SUMIFS('College Data By Year'!L:L,'College Data By Year'!A:A,Table2[[#This Row],[Player Name]]),"")</f>
        <v>2.7585081204602954E-2</v>
      </c>
      <c r="R33" s="11">
        <f xml:space="preserve"> IFERROR(SUMIFS('College Data By Year'!D:D,'College Data By Year'!A:A,Table2[[#This Row],[Player Name]])/SUMIFS('College Data By Year'!B:B,'College Data By Year'!A:A,Table2[[#This Row],[Player Name]]),"")</f>
        <v>7.3372781065088752E-2</v>
      </c>
      <c r="S33">
        <f>IF(SUMIFS('College Data By Year'!H:H,'College Data By Year'!A:A,Table2[[#This Row],[Player Name]])=0,"",SUMIFS('College Data By Year'!H:H,'College Data By Year'!A:A,Table2[[#This Row],[Player Name]]))</f>
        <v>166</v>
      </c>
      <c r="T33" s="7">
        <f>IFERROR(SUMIFS('College Data By Year'!D:D,'College Data By Year'!A:A,Table2[[#This Row],[Player Name]])/SUMIFS('College Data By Year'!E:E,'College Data By Year'!A:A,Table2[[#This Row],[Player Name]]),"")</f>
        <v>6.2</v>
      </c>
      <c r="U33" s="7">
        <f>IFERROR(SUMIFS('College Data By Year'!B:B,'College Data By Year'!A:A,Table2[[#This Row],[Player Name]])/SUMIFS('College Data By Year'!I:I,'College Data By Year'!A:A,Table2[[#This Row],[Player Name]]),"")</f>
        <v>4.401041666666667</v>
      </c>
      <c r="V33">
        <f>IF(SUMIFS('College Data By Year'!F:F,'College Data By Year'!A:A,Table2[[#This Row],[Player Name]])=0,"",SUMIFS('College Data By Year'!F:F,'College Data By Year'!A:A,Table2[[#This Row],[Player Name]]))</f>
        <v>9.6999999999999993</v>
      </c>
      <c r="W33">
        <f>IF(SUMIFS('College Data By Year'!G:G,'College Data By Year'!A:A,Table2[[#This Row],[Player Name]])=0,"",SUMIFS('College Data By Year'!G:G,'College Data By Year'!A:A,Table2[[#This Row],[Player Name]]))</f>
        <v>10.6</v>
      </c>
      <c r="X3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4.0501446480231434E-2</v>
      </c>
      <c r="Y33">
        <v>4.87</v>
      </c>
      <c r="Z33">
        <v>10</v>
      </c>
      <c r="AA33" t="s">
        <v>229</v>
      </c>
      <c r="AB33">
        <v>230</v>
      </c>
      <c r="AC33">
        <v>28.7</v>
      </c>
      <c r="AD33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33">
        <f>ROUND(IF(Table2[[#This Row],[Draft Round]]=1,10,IF(Table2[[#This Row],[Draft Round]]=8,0,10/(20.884*EXP(-0.381*1))*(20.884*EXP(-0.381*Table2[[#This Row],[Draft Round]])))),0)</f>
        <v>3</v>
      </c>
      <c r="AF33">
        <f>ROUND(IF(Table2[[#This Row],[College BF Dominator]]&gt;0.3,10,IF(Table2[[#This Row],[College BF Dominator]]&lt;-0.156,0,10/(20.818*0.3+3.2667)*(20.818*Table2[[#This Row],[College BF Dominator]]+3.2667))),0)</f>
        <v>4</v>
      </c>
      <c r="AG33">
        <f>ROUND(IF(Table2[[#This Row],[College PTDR]]&gt;0.085,10,IF(Table2[[#This Row],[College PTDR]]&lt;0.04,0,10/(105.24*0.085-1.7837)*(105.24*Table2[[#This Row],[College PTDR]]-1.7837))),0)</f>
        <v>8</v>
      </c>
      <c r="AH33">
        <f>ROUND(IF(Table2[[#This Row],[College Passer Rating]]&gt;170,10,IF(Table2[[#This Row],[College Passer Rating]]&lt;112.475,0,10/(0.1495*170-16.815)*(0.1495*Table2[[#This Row],[College Passer Rating]]-16.815))),0)</f>
        <v>9</v>
      </c>
      <c r="AI33">
        <f>ROUND(IF(Table2[[#This Row],[PTD:INT]]&gt;4,10,IF(Table2[[#This Row],[PTD:INT]]&lt;1,0,10/(4.7442*LN(4)+0.4256)*(4.7442*LN(Table2[[#This Row],[PTD:INT]])+0.4256))),0)</f>
        <v>10</v>
      </c>
      <c r="AJ33">
        <f>ROUND(IF(Table2[[#This Row],[Patt:Ratt]]&lt;2.5,10,IF(Table2[[#This Row],[Patt:Ratt]]&gt;15,0,10/(-2.684*LN(2.5)+9.0869)*(-2.684*LN(Table2[[#This Row],[Patt:Ratt]])+9.0869))),0)</f>
        <v>8</v>
      </c>
      <c r="AK33">
        <f>ROUND(IF(Table2[[#This Row],[Y/A]]&gt;9.2,10,IF(Table2[[#This Row],[Y/A]]&lt;6.26,0,10/(2.2619*9.2-14.16)*(2.2619*Table2[[#This Row],[Y/A]]-14.16))),0)</f>
        <v>10</v>
      </c>
      <c r="AL33">
        <f>ROUND(IF(Table2[[#This Row],[AY/A]]&gt;10,10,IF(Table2[[#This Row],[AY/A]]&lt;5.51,0,10/(1.6571*10-9.1312)*(1.6571*Table2[[#This Row],[AY/A]]-9.1312))),0)</f>
        <v>10</v>
      </c>
      <c r="AM33">
        <f>ROUND(IF(Table2[[#This Row],[40 Yd Dash]]&lt;4.75,10,IF(Table2[[#This Row],[40 Yd Dash]]&gt;5.191,0,10/(-66.95*LN(4.75)+110.26)*(-66.95*LN(Table2[[#This Row],[40 Yd Dash]])+110.26))),0)</f>
        <v>7</v>
      </c>
      <c r="AN33">
        <f>ROUND(IF(Table2[[#This Row],[Hand Size]]&gt;10.25,10,IF(Table2[[#This Row],[Hand Size]]&lt;9,0,10/(15.49*LN(10.25)-30.577)*(15.49*LN(Table2[[#This Row],[Hand Size]])-30.577))),0)</f>
        <v>9</v>
      </c>
    </row>
    <row r="34" spans="1:40">
      <c r="A34">
        <v>2019</v>
      </c>
      <c r="B34">
        <v>4</v>
      </c>
      <c r="C34" t="s">
        <v>219</v>
      </c>
      <c r="D34" t="s">
        <v>55</v>
      </c>
      <c r="E34">
        <v>6.1</v>
      </c>
      <c r="F34" t="s">
        <v>231</v>
      </c>
      <c r="G34">
        <f>SUMIFS('NFL QB Data By Year'!$Q:$Q,'NFL QB Data By Year'!$D:$D,Table2[[#This Row],[Player Name]],'NFL QB Data By Year'!$B:$B,Table2[[#This Row],[Draft Year]]+G$1)</f>
        <v>3</v>
      </c>
      <c r="H34">
        <f>SUMIFS('NFL QB Data By Year'!$P:$P,'NFL QB Data By Year'!$D:$D,Table2[[#This Row],[Player Name]],'NFL QB Data By Year'!$B:$B,Table2[[#This Row],[Draft Year]]+H$1)</f>
        <v>-0.6</v>
      </c>
      <c r="I34">
        <f>SUMIFS('NFL QB Data By Year'!$Q:$Q,'NFL QB Data By Year'!$D:$D,Table2[[#This Row],[Player Name]],'NFL QB Data By Year'!$B:$B,Table2[[#This Row],[Draft Year]]+I$1)</f>
        <v>5</v>
      </c>
      <c r="J34">
        <f>SUMIFS('NFL QB Data By Year'!$P:$P,'NFL QB Data By Year'!$D:$D,Table2[[#This Row],[Player Name]],'NFL QB Data By Year'!$B:$B,Table2[[#This Row],[Draft Year]]+J$1)</f>
        <v>16</v>
      </c>
      <c r="K34">
        <f>SUMIFS('NFL QB Data By Year'!$Q:$Q,'NFL QB Data By Year'!$D:$D,Table2[[#This Row],[Player Name]],'NFL QB Data By Year'!$B:$B,Table2[[#This Row],[Draft Year]]+K$1)</f>
        <v>0</v>
      </c>
      <c r="L34">
        <f>SUMIFS('NFL QB Data By Year'!$P:$P,'NFL QB Data By Year'!$D:$D,Table2[[#This Row],[Player Name]],'NFL QB Data By Year'!$B:$B,Table2[[#This Row],[Draft Year]]+L$1)</f>
        <v>0</v>
      </c>
      <c r="M34">
        <f>Table2[[#This Row],[Year 1 G]]+Table2[[#This Row],[Year 2 G]]+Table2[[#This Row],[Year 3 G]]</f>
        <v>8</v>
      </c>
      <c r="N34">
        <f>Table2[[#This Row],[Year 1 FPTs]]+Table2[[#This Row],[Year 2 FPTs]]+Table2[[#This Row],[Year 3 FPTs]]</f>
        <v>15.4</v>
      </c>
      <c r="O34" s="7">
        <f>IFERROR(Table2[[#This Row],[Total FPTs]]/Table2[[#This Row],[Total G]],0)</f>
        <v>1.925</v>
      </c>
      <c r="P34">
        <v>9</v>
      </c>
      <c r="Q34" s="8">
        <f xml:space="preserve"> IFERROR(SUMIFS('College Data By Year'!J:J,'College Data By Year'!A:A,Table2[[#This Row],[Player Name]])/SUMIFS('College Data By Year'!L:L,'College Data By Year'!A:A,Table2[[#This Row],[Player Name]]),"")</f>
        <v>2.3628691983122362E-2</v>
      </c>
      <c r="R34" s="11">
        <f xml:space="preserve"> IFERROR(SUMIFS('College Data By Year'!D:D,'College Data By Year'!A:A,Table2[[#This Row],[Player Name]])/SUMIFS('College Data By Year'!B:B,'College Data By Year'!A:A,Table2[[#This Row],[Player Name]]),"")</f>
        <v>5.6603773584905662E-2</v>
      </c>
      <c r="S34">
        <f>IF(SUMIFS('College Data By Year'!H:H,'College Data By Year'!A:A,Table2[[#This Row],[Player Name]])=0,"",SUMIFS('College Data By Year'!H:H,'College Data By Year'!A:A,Table2[[#This Row],[Player Name]]))</f>
        <v>151.4</v>
      </c>
      <c r="T34" s="7">
        <f>IFERROR(SUMIFS('College Data By Year'!D:D,'College Data By Year'!A:A,Table2[[#This Row],[Player Name]])/SUMIFS('College Data By Year'!E:E,'College Data By Year'!A:A,Table2[[#This Row],[Player Name]]),"")</f>
        <v>3.6923076923076925</v>
      </c>
      <c r="U34" s="7">
        <f>IFERROR(SUMIFS('College Data By Year'!B:B,'College Data By Year'!A:A,Table2[[#This Row],[Player Name]])/SUMIFS('College Data By Year'!I:I,'College Data By Year'!A:A,Table2[[#This Row],[Player Name]]),"")</f>
        <v>4.0189573459715637</v>
      </c>
      <c r="V34">
        <f>IF(SUMIFS('College Data By Year'!F:F,'College Data By Year'!A:A,Table2[[#This Row],[Player Name]])=0,"",SUMIFS('College Data By Year'!F:F,'College Data By Year'!A:A,Table2[[#This Row],[Player Name]]))</f>
        <v>8.5</v>
      </c>
      <c r="W34">
        <f>IF(SUMIFS('College Data By Year'!G:G,'College Data By Year'!A:A,Table2[[#This Row],[Player Name]])=0,"",SUMIFS('College Data By Year'!G:G,'College Data By Year'!A:A,Table2[[#This Row],[Player Name]]))</f>
        <v>9</v>
      </c>
      <c r="X3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6.3267233238904624E-2</v>
      </c>
      <c r="Y34">
        <v>4.8099999999999996</v>
      </c>
      <c r="Z34">
        <v>9.125</v>
      </c>
      <c r="AA34" t="s">
        <v>221</v>
      </c>
      <c r="AB34">
        <v>218</v>
      </c>
      <c r="AC34">
        <v>28</v>
      </c>
      <c r="AD34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34">
        <f>ROUND(IF(Table2[[#This Row],[Draft Round]]=1,10,IF(Table2[[#This Row],[Draft Round]]=8,0,10/(20.884*EXP(-0.381*1))*(20.884*EXP(-0.381*Table2[[#This Row],[Draft Round]])))),0)</f>
        <v>3</v>
      </c>
      <c r="AF34">
        <f>ROUND(IF(Table2[[#This Row],[College BF Dominator]]&gt;0.3,10,IF(Table2[[#This Row],[College BF Dominator]]&lt;-0.156,0,10/(20.818*0.3+3.2667)*(20.818*Table2[[#This Row],[College BF Dominator]]+3.2667))),0)</f>
        <v>4</v>
      </c>
      <c r="AG34">
        <f>ROUND(IF(Table2[[#This Row],[College PTDR]]&gt;0.085,10,IF(Table2[[#This Row],[College PTDR]]&lt;0.04,0,10/(105.24*0.085-1.7837)*(105.24*Table2[[#This Row],[College PTDR]]-1.7837))),0)</f>
        <v>6</v>
      </c>
      <c r="AH34">
        <f>ROUND(IF(Table2[[#This Row],[College Passer Rating]]&gt;170,10,IF(Table2[[#This Row],[College Passer Rating]]&lt;112.475,0,10/(0.1495*170-16.815)*(0.1495*Table2[[#This Row],[College Passer Rating]]-16.815))),0)</f>
        <v>7</v>
      </c>
      <c r="AI34">
        <f>ROUND(IF(Table2[[#This Row],[PTD:INT]]&gt;4,10,IF(Table2[[#This Row],[PTD:INT]]&lt;1,0,10/(4.7442*LN(4)+0.4256)*(4.7442*LN(Table2[[#This Row],[PTD:INT]])+0.4256))),0)</f>
        <v>9</v>
      </c>
      <c r="AJ34">
        <f>ROUND(IF(Table2[[#This Row],[Patt:Ratt]]&lt;2.5,10,IF(Table2[[#This Row],[Patt:Ratt]]&gt;15,0,10/(-2.684*LN(2.5)+9.0869)*(-2.684*LN(Table2[[#This Row],[Patt:Ratt]])+9.0869))),0)</f>
        <v>8</v>
      </c>
      <c r="AK34">
        <f>ROUND(IF(Table2[[#This Row],[Y/A]]&gt;9.2,10,IF(Table2[[#This Row],[Y/A]]&lt;6.26,0,10/(2.2619*9.2-14.16)*(2.2619*Table2[[#This Row],[Y/A]]-14.16))),0)</f>
        <v>8</v>
      </c>
      <c r="AL34">
        <f>ROUND(IF(Table2[[#This Row],[AY/A]]&gt;10,10,IF(Table2[[#This Row],[AY/A]]&lt;5.51,0,10/(1.6571*10-9.1312)*(1.6571*Table2[[#This Row],[AY/A]]-9.1312))),0)</f>
        <v>8</v>
      </c>
      <c r="AM34">
        <f>ROUND(IF(Table2[[#This Row],[40 Yd Dash]]&lt;4.75,10,IF(Table2[[#This Row],[40 Yd Dash]]&gt;5.191,0,10/(-66.95*LN(4.75)+110.26)*(-66.95*LN(Table2[[#This Row],[40 Yd Dash]])+110.26))),0)</f>
        <v>9</v>
      </c>
      <c r="AN34">
        <f>ROUND(IF(Table2[[#This Row],[Hand Size]]&gt;10.25,10,IF(Table2[[#This Row],[Hand Size]]&lt;9,0,10/(15.49*LN(10.25)-30.577)*(15.49*LN(Table2[[#This Row],[Hand Size]])-30.577))),0)</f>
        <v>7</v>
      </c>
    </row>
    <row r="35" spans="1:40">
      <c r="A35">
        <v>2016</v>
      </c>
      <c r="B35">
        <v>4</v>
      </c>
      <c r="C35" t="s">
        <v>219</v>
      </c>
      <c r="D35" t="s">
        <v>63</v>
      </c>
      <c r="E35">
        <v>5.9</v>
      </c>
      <c r="F35" t="s">
        <v>234</v>
      </c>
      <c r="G35">
        <f>SUMIFS('NFL QB Data By Year'!$Q:$Q,'NFL QB Data By Year'!$D:$D,Table2[[#This Row],[Player Name]],'NFL QB Data By Year'!$B:$B,Table2[[#This Row],[Draft Year]]+G$1)</f>
        <v>1</v>
      </c>
      <c r="H35">
        <f>SUMIFS('NFL QB Data By Year'!$P:$P,'NFL QB Data By Year'!$D:$D,Table2[[#This Row],[Player Name]],'NFL QB Data By Year'!$B:$B,Table2[[#This Row],[Draft Year]]+H$1)</f>
        <v>1.7</v>
      </c>
      <c r="I35">
        <f>SUMIFS('NFL QB Data By Year'!$Q:$Q,'NFL QB Data By Year'!$D:$D,Table2[[#This Row],[Player Name]],'NFL QB Data By Year'!$B:$B,Table2[[#This Row],[Draft Year]]+I$1)</f>
        <v>0</v>
      </c>
      <c r="J35">
        <f>SUMIFS('NFL QB Data By Year'!$P:$P,'NFL QB Data By Year'!$D:$D,Table2[[#This Row],[Player Name]],'NFL QB Data By Year'!$B:$B,Table2[[#This Row],[Draft Year]]+J$1)</f>
        <v>0</v>
      </c>
      <c r="K35">
        <f>SUMIFS('NFL QB Data By Year'!$Q:$Q,'NFL QB Data By Year'!$D:$D,Table2[[#This Row],[Player Name]],'NFL QB Data By Year'!$B:$B,Table2[[#This Row],[Draft Year]]+K$1)</f>
        <v>0</v>
      </c>
      <c r="L35">
        <f>SUMIFS('NFL QB Data By Year'!$P:$P,'NFL QB Data By Year'!$D:$D,Table2[[#This Row],[Player Name]],'NFL QB Data By Year'!$B:$B,Table2[[#This Row],[Draft Year]]+L$1)</f>
        <v>0</v>
      </c>
      <c r="M35">
        <f>Table2[[#This Row],[Year 1 G]]+Table2[[#This Row],[Year 2 G]]+Table2[[#This Row],[Year 3 G]]</f>
        <v>1</v>
      </c>
      <c r="N35">
        <f>Table2[[#This Row],[Year 1 FPTs]]+Table2[[#This Row],[Year 2 FPTs]]+Table2[[#This Row],[Year 3 FPTs]]</f>
        <v>1.7</v>
      </c>
      <c r="O35" s="7">
        <f>IFERROR(Table2[[#This Row],[Total FPTs]]/Table2[[#This Row],[Total G]],0)</f>
        <v>1.7</v>
      </c>
      <c r="P35">
        <v>9</v>
      </c>
      <c r="Q35" s="8">
        <f xml:space="preserve"> IFERROR(SUMIFS('College Data By Year'!J:J,'College Data By Year'!A:A,Table2[[#This Row],[Player Name]])/SUMIFS('College Data By Year'!L:L,'College Data By Year'!A:A,Table2[[#This Row],[Player Name]]),"")</f>
        <v>5.3764377831997209E-2</v>
      </c>
      <c r="R35" s="11">
        <f xml:space="preserve"> IFERROR(SUMIFS('College Data By Year'!D:D,'College Data By Year'!A:A,Table2[[#This Row],[Player Name]])/SUMIFS('College Data By Year'!B:B,'College Data By Year'!A:A,Table2[[#This Row],[Player Name]]),"")</f>
        <v>5.5762081784386616E-2</v>
      </c>
      <c r="S35">
        <f>IF(SUMIFS('College Data By Year'!H:H,'College Data By Year'!A:A,Table2[[#This Row],[Player Name]])=0,"",SUMIFS('College Data By Year'!H:H,'College Data By Year'!A:A,Table2[[#This Row],[Player Name]]))</f>
        <v>147.4</v>
      </c>
      <c r="T35" s="7">
        <f>IFERROR(SUMIFS('College Data By Year'!D:D,'College Data By Year'!A:A,Table2[[#This Row],[Player Name]])/SUMIFS('College Data By Year'!E:E,'College Data By Year'!A:A,Table2[[#This Row],[Player Name]]),"")</f>
        <v>2.1428571428571428</v>
      </c>
      <c r="U35" s="7">
        <f>IFERROR(SUMIFS('College Data By Year'!B:B,'College Data By Year'!A:A,Table2[[#This Row],[Player Name]])/SUMIFS('College Data By Year'!I:I,'College Data By Year'!A:A,Table2[[#This Row],[Player Name]]),"")</f>
        <v>1.7581699346405228</v>
      </c>
      <c r="V35">
        <f>IF(SUMIFS('College Data By Year'!F:F,'College Data By Year'!A:A,Table2[[#This Row],[Player Name]])=0,"",SUMIFS('College Data By Year'!F:F,'College Data By Year'!A:A,Table2[[#This Row],[Player Name]]))</f>
        <v>8.6</v>
      </c>
      <c r="W35">
        <f>IF(SUMIFS('College Data By Year'!G:G,'College Data By Year'!A:A,Table2[[#This Row],[Player Name]])=0,"",SUMIFS('College Data By Year'!G:G,'College Data By Year'!A:A,Table2[[#This Row],[Player Name]]))</f>
        <v>8.6</v>
      </c>
      <c r="X3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4.2654028436018961E-2</v>
      </c>
      <c r="Y35">
        <v>4.8099999999999996</v>
      </c>
      <c r="Z35">
        <v>9.75</v>
      </c>
      <c r="AA35" t="s">
        <v>225</v>
      </c>
      <c r="AB35">
        <v>253</v>
      </c>
      <c r="AC35">
        <v>30</v>
      </c>
      <c r="AD35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35">
        <f>ROUND(IF(Table2[[#This Row],[Draft Round]]=1,10,IF(Table2[[#This Row],[Draft Round]]=8,0,10/(20.884*EXP(-0.381*1))*(20.884*EXP(-0.381*Table2[[#This Row],[Draft Round]])))),0)</f>
        <v>3</v>
      </c>
      <c r="AF35">
        <f>ROUND(IF(Table2[[#This Row],[College BF Dominator]]&gt;0.3,10,IF(Table2[[#This Row],[College BF Dominator]]&lt;-0.156,0,10/(20.818*0.3+3.2667)*(20.818*Table2[[#This Row],[College BF Dominator]]+3.2667))),0)</f>
        <v>5</v>
      </c>
      <c r="AG35">
        <f>ROUND(IF(Table2[[#This Row],[College PTDR]]&gt;0.085,10,IF(Table2[[#This Row],[College PTDR]]&lt;0.04,0,10/(105.24*0.085-1.7837)*(105.24*Table2[[#This Row],[College PTDR]]-1.7837))),0)</f>
        <v>6</v>
      </c>
      <c r="AH35">
        <f>ROUND(IF(Table2[[#This Row],[College Passer Rating]]&gt;170,10,IF(Table2[[#This Row],[College Passer Rating]]&lt;112.475,0,10/(0.1495*170-16.815)*(0.1495*Table2[[#This Row],[College Passer Rating]]-16.815))),0)</f>
        <v>6</v>
      </c>
      <c r="AI35">
        <f>ROUND(IF(Table2[[#This Row],[PTD:INT]]&gt;4,10,IF(Table2[[#This Row],[PTD:INT]]&lt;1,0,10/(4.7442*LN(4)+0.4256)*(4.7442*LN(Table2[[#This Row],[PTD:INT]])+0.4256))),0)</f>
        <v>6</v>
      </c>
      <c r="AJ35">
        <f>ROUND(IF(Table2[[#This Row],[Patt:Ratt]]&lt;2.5,10,IF(Table2[[#This Row],[Patt:Ratt]]&gt;15,0,10/(-2.684*LN(2.5)+9.0869)*(-2.684*LN(Table2[[#This Row],[Patt:Ratt]])+9.0869))),0)</f>
        <v>10</v>
      </c>
      <c r="AK35">
        <f>ROUND(IF(Table2[[#This Row],[Y/A]]&gt;9.2,10,IF(Table2[[#This Row],[Y/A]]&lt;6.26,0,10/(2.2619*9.2-14.16)*(2.2619*Table2[[#This Row],[Y/A]]-14.16))),0)</f>
        <v>8</v>
      </c>
      <c r="AL35">
        <f>ROUND(IF(Table2[[#This Row],[AY/A]]&gt;10,10,IF(Table2[[#This Row],[AY/A]]&lt;5.51,0,10/(1.6571*10-9.1312)*(1.6571*Table2[[#This Row],[AY/A]]-9.1312))),0)</f>
        <v>7</v>
      </c>
      <c r="AM35">
        <f>ROUND(IF(Table2[[#This Row],[40 Yd Dash]]&lt;4.75,10,IF(Table2[[#This Row],[40 Yd Dash]]&gt;5.191,0,10/(-66.95*LN(4.75)+110.26)*(-66.95*LN(Table2[[#This Row],[40 Yd Dash]])+110.26))),0)</f>
        <v>9</v>
      </c>
      <c r="AN35">
        <f>ROUND(IF(Table2[[#This Row],[Hand Size]]&gt;10.25,10,IF(Table2[[#This Row],[Hand Size]]&lt;9,0,10/(15.49*LN(10.25)-30.577)*(15.49*LN(Table2[[#This Row],[Hand Size]])-30.577))),0)</f>
        <v>9</v>
      </c>
    </row>
    <row r="36" spans="1:40">
      <c r="A36">
        <v>2017</v>
      </c>
      <c r="B36">
        <v>4</v>
      </c>
      <c r="C36" t="s">
        <v>219</v>
      </c>
      <c r="D36" t="s">
        <v>74</v>
      </c>
      <c r="E36">
        <v>5.6</v>
      </c>
      <c r="F36" t="s">
        <v>236</v>
      </c>
      <c r="G36">
        <f>SUMIFS('NFL QB Data By Year'!$Q:$Q,'NFL QB Data By Year'!$D:$D,Table2[[#This Row],[Player Name]],'NFL QB Data By Year'!$B:$B,Table2[[#This Row],[Draft Year]]+G$1)</f>
        <v>0</v>
      </c>
      <c r="H36">
        <f>SUMIFS('NFL QB Data By Year'!$P:$P,'NFL QB Data By Year'!$D:$D,Table2[[#This Row],[Player Name]],'NFL QB Data By Year'!$B:$B,Table2[[#This Row],[Draft Year]]+H$1)</f>
        <v>0</v>
      </c>
      <c r="I36">
        <f>SUMIFS('NFL QB Data By Year'!$Q:$Q,'NFL QB Data By Year'!$D:$D,Table2[[#This Row],[Player Name]],'NFL QB Data By Year'!$B:$B,Table2[[#This Row],[Draft Year]]+I$1)</f>
        <v>5</v>
      </c>
      <c r="J36">
        <f>SUMIFS('NFL QB Data By Year'!$P:$P,'NFL QB Data By Year'!$D:$D,Table2[[#This Row],[Player Name]],'NFL QB Data By Year'!$B:$B,Table2[[#This Row],[Draft Year]]+J$1)</f>
        <v>0.9</v>
      </c>
      <c r="K36">
        <f>SUMIFS('NFL QB Data By Year'!$Q:$Q,'NFL QB Data By Year'!$D:$D,Table2[[#This Row],[Player Name]],'NFL QB Data By Year'!$B:$B,Table2[[#This Row],[Draft Year]]+K$1)</f>
        <v>1</v>
      </c>
      <c r="L36">
        <f>SUMIFS('NFL QB Data By Year'!$P:$P,'NFL QB Data By Year'!$D:$D,Table2[[#This Row],[Player Name]],'NFL QB Data By Year'!$B:$B,Table2[[#This Row],[Draft Year]]+L$1)</f>
        <v>0</v>
      </c>
      <c r="M36">
        <f>Table2[[#This Row],[Year 1 G]]+Table2[[#This Row],[Year 2 G]]+Table2[[#This Row],[Year 3 G]]</f>
        <v>6</v>
      </c>
      <c r="N36">
        <f>Table2[[#This Row],[Year 1 FPTs]]+Table2[[#This Row],[Year 2 FPTs]]+Table2[[#This Row],[Year 3 FPTs]]</f>
        <v>0.9</v>
      </c>
      <c r="O36" s="7">
        <f>IFERROR(Table2[[#This Row],[Total FPTs]]/Table2[[#This Row],[Total G]],0)</f>
        <v>0.15</v>
      </c>
      <c r="P36">
        <v>10</v>
      </c>
      <c r="Q36" s="8">
        <f xml:space="preserve"> IFERROR(SUMIFS('College Data By Year'!J:J,'College Data By Year'!A:A,Table2[[#This Row],[Player Name]])/SUMIFS('College Data By Year'!L:L,'College Data By Year'!A:A,Table2[[#This Row],[Player Name]]),"")</f>
        <v>0.22176591375770022</v>
      </c>
      <c r="R36" s="11">
        <f xml:space="preserve"> IFERROR(SUMIFS('College Data By Year'!D:D,'College Data By Year'!A:A,Table2[[#This Row],[Player Name]])/SUMIFS('College Data By Year'!B:B,'College Data By Year'!A:A,Table2[[#This Row],[Player Name]]),"")</f>
        <v>5.3053053053053051E-2</v>
      </c>
      <c r="S36">
        <f>IF(SUMIFS('College Data By Year'!H:H,'College Data By Year'!A:A,Table2[[#This Row],[Player Name]])=0,"",SUMIFS('College Data By Year'!H:H,'College Data By Year'!A:A,Table2[[#This Row],[Player Name]]))</f>
        <v>133.19999999999999</v>
      </c>
      <c r="T36" s="7">
        <f>IFERROR(SUMIFS('College Data By Year'!D:D,'College Data By Year'!A:A,Table2[[#This Row],[Player Name]])/SUMIFS('College Data By Year'!E:E,'College Data By Year'!A:A,Table2[[#This Row],[Player Name]]),"")</f>
        <v>1.8275862068965518</v>
      </c>
      <c r="U36" s="7">
        <f>IFERROR(SUMIFS('College Data By Year'!B:B,'College Data By Year'!A:A,Table2[[#This Row],[Player Name]])/SUMIFS('College Data By Year'!I:I,'College Data By Year'!A:A,Table2[[#This Row],[Player Name]]),"")</f>
        <v>2.2808219178082192</v>
      </c>
      <c r="V36">
        <f>IF(SUMIFS('College Data By Year'!F:F,'College Data By Year'!A:A,Table2[[#This Row],[Player Name]])=0,"",SUMIFS('College Data By Year'!F:F,'College Data By Year'!A:A,Table2[[#This Row],[Player Name]]))</f>
        <v>7.1</v>
      </c>
      <c r="W36">
        <f>IF(SUMIFS('College Data By Year'!G:G,'College Data By Year'!A:A,Table2[[#This Row],[Player Name]])=0,"",SUMIFS('College Data By Year'!G:G,'College Data By Year'!A:A,Table2[[#This Row],[Player Name]]))</f>
        <v>6.9</v>
      </c>
      <c r="X3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4.5233124565066112E-2</v>
      </c>
      <c r="Y36">
        <v>4.6399999999999997</v>
      </c>
      <c r="Z36">
        <v>9.25</v>
      </c>
      <c r="AA36" t="s">
        <v>229</v>
      </c>
      <c r="AB36">
        <v>216</v>
      </c>
      <c r="AC36">
        <v>27</v>
      </c>
      <c r="AD36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36">
        <f>ROUND(IF(Table2[[#This Row],[Draft Round]]=1,10,IF(Table2[[#This Row],[Draft Round]]=8,0,10/(20.884*EXP(-0.381*1))*(20.884*EXP(-0.381*Table2[[#This Row],[Draft Round]])))),0)</f>
        <v>3</v>
      </c>
      <c r="AF36">
        <f>ROUND(IF(Table2[[#This Row],[College BF Dominator]]&gt;0.3,10,IF(Table2[[#This Row],[College BF Dominator]]&lt;-0.156,0,10/(20.818*0.3+3.2667)*(20.818*Table2[[#This Row],[College BF Dominator]]+3.2667))),0)</f>
        <v>8</v>
      </c>
      <c r="AG36">
        <f>ROUND(IF(Table2[[#This Row],[College PTDR]]&gt;0.085,10,IF(Table2[[#This Row],[College PTDR]]&lt;0.04,0,10/(105.24*0.085-1.7837)*(105.24*Table2[[#This Row],[College PTDR]]-1.7837))),0)</f>
        <v>5</v>
      </c>
      <c r="AH36">
        <f>ROUND(IF(Table2[[#This Row],[College Passer Rating]]&gt;170,10,IF(Table2[[#This Row],[College Passer Rating]]&lt;112.475,0,10/(0.1495*170-16.815)*(0.1495*Table2[[#This Row],[College Passer Rating]]-16.815))),0)</f>
        <v>4</v>
      </c>
      <c r="AI36">
        <f>ROUND(IF(Table2[[#This Row],[PTD:INT]]&gt;4,10,IF(Table2[[#This Row],[PTD:INT]]&lt;1,0,10/(4.7442*LN(4)+0.4256)*(4.7442*LN(Table2[[#This Row],[PTD:INT]])+0.4256))),0)</f>
        <v>5</v>
      </c>
      <c r="AJ36">
        <f>ROUND(IF(Table2[[#This Row],[Patt:Ratt]]&lt;2.5,10,IF(Table2[[#This Row],[Patt:Ratt]]&gt;15,0,10/(-2.684*LN(2.5)+9.0869)*(-2.684*LN(Table2[[#This Row],[Patt:Ratt]])+9.0869))),0)</f>
        <v>10</v>
      </c>
      <c r="AK36">
        <f>ROUND(IF(Table2[[#This Row],[Y/A]]&gt;9.2,10,IF(Table2[[#This Row],[Y/A]]&lt;6.26,0,10/(2.2619*9.2-14.16)*(2.2619*Table2[[#This Row],[Y/A]]-14.16))),0)</f>
        <v>3</v>
      </c>
      <c r="AL36">
        <f>ROUND(IF(Table2[[#This Row],[AY/A]]&gt;10,10,IF(Table2[[#This Row],[AY/A]]&lt;5.51,0,10/(1.6571*10-9.1312)*(1.6571*Table2[[#This Row],[AY/A]]-9.1312))),0)</f>
        <v>3</v>
      </c>
      <c r="AM36">
        <f>ROUND(IF(Table2[[#This Row],[40 Yd Dash]]&lt;4.75,10,IF(Table2[[#This Row],[40 Yd Dash]]&gt;5.191,0,10/(-66.95*LN(4.75)+110.26)*(-66.95*LN(Table2[[#This Row],[40 Yd Dash]])+110.26))),0)</f>
        <v>10</v>
      </c>
      <c r="AN36">
        <f>ROUND(IF(Table2[[#This Row],[Hand Size]]&gt;10.25,10,IF(Table2[[#This Row],[Hand Size]]&lt;9,0,10/(15.49*LN(10.25)-30.577)*(15.49*LN(Table2[[#This Row],[Hand Size]])-30.577))),0)</f>
        <v>7</v>
      </c>
    </row>
    <row r="37" spans="1:40">
      <c r="A37">
        <v>2018</v>
      </c>
      <c r="B37">
        <v>4</v>
      </c>
      <c r="C37" t="s">
        <v>219</v>
      </c>
      <c r="D37" t="s">
        <v>67</v>
      </c>
      <c r="E37">
        <v>5.8</v>
      </c>
      <c r="F37" t="s">
        <v>234</v>
      </c>
      <c r="G37">
        <f>SUMIFS('NFL QB Data By Year'!$Q:$Q,'NFL QB Data By Year'!$D:$D,Table2[[#This Row],[Player Name]],'NFL QB Data By Year'!$B:$B,Table2[[#This Row],[Draft Year]]+G$1)</f>
        <v>2</v>
      </c>
      <c r="H37">
        <f>SUMIFS('NFL QB Data By Year'!$P:$P,'NFL QB Data By Year'!$D:$D,Table2[[#This Row],[Player Name]],'NFL QB Data By Year'!$B:$B,Table2[[#This Row],[Draft Year]]+H$1)</f>
        <v>-2.2000000000000002</v>
      </c>
      <c r="I37">
        <f>SUMIFS('NFL QB Data By Year'!$Q:$Q,'NFL QB Data By Year'!$D:$D,Table2[[#This Row],[Player Name]],'NFL QB Data By Year'!$B:$B,Table2[[#This Row],[Draft Year]]+I$1)</f>
        <v>0</v>
      </c>
      <c r="J37">
        <f>SUMIFS('NFL QB Data By Year'!$P:$P,'NFL QB Data By Year'!$D:$D,Table2[[#This Row],[Player Name]],'NFL QB Data By Year'!$B:$B,Table2[[#This Row],[Draft Year]]+J$1)</f>
        <v>0</v>
      </c>
      <c r="K37">
        <f>SUMIFS('NFL QB Data By Year'!$Q:$Q,'NFL QB Data By Year'!$D:$D,Table2[[#This Row],[Player Name]],'NFL QB Data By Year'!$B:$B,Table2[[#This Row],[Draft Year]]+K$1)</f>
        <v>0</v>
      </c>
      <c r="L37">
        <f>SUMIFS('NFL QB Data By Year'!$P:$P,'NFL QB Data By Year'!$D:$D,Table2[[#This Row],[Player Name]],'NFL QB Data By Year'!$B:$B,Table2[[#This Row],[Draft Year]]+L$1)</f>
        <v>0</v>
      </c>
      <c r="M37">
        <f>Table2[[#This Row],[Year 1 G]]+Table2[[#This Row],[Year 2 G]]+Table2[[#This Row],[Year 3 G]]</f>
        <v>2</v>
      </c>
      <c r="N37">
        <f>Table2[[#This Row],[Year 1 FPTs]]+Table2[[#This Row],[Year 2 FPTs]]+Table2[[#This Row],[Year 3 FPTs]]</f>
        <v>-2.2000000000000002</v>
      </c>
      <c r="O37" s="7">
        <f>IFERROR(Table2[[#This Row],[Total FPTs]]/Table2[[#This Row],[Total G]],0)</f>
        <v>-1.1000000000000001</v>
      </c>
      <c r="P37">
        <v>10</v>
      </c>
      <c r="Q37" s="8">
        <f xml:space="preserve"> IFERROR(SUMIFS('College Data By Year'!J:J,'College Data By Year'!A:A,Table2[[#This Row],[Player Name]])/SUMIFS('College Data By Year'!L:L,'College Data By Year'!A:A,Table2[[#This Row],[Player Name]]),"")</f>
        <v>2.8752511980213325E-2</v>
      </c>
      <c r="R37" s="11">
        <f xml:space="preserve"> IFERROR(SUMIFS('College Data By Year'!D:D,'College Data By Year'!A:A,Table2[[#This Row],[Player Name]])/SUMIFS('College Data By Year'!B:B,'College Data By Year'!A:A,Table2[[#This Row],[Player Name]]),"")</f>
        <v>6.1139028475711892E-2</v>
      </c>
      <c r="S37">
        <f>IF(SUMIFS('College Data By Year'!H:H,'College Data By Year'!A:A,Table2[[#This Row],[Player Name]])=0,"",SUMIFS('College Data By Year'!H:H,'College Data By Year'!A:A,Table2[[#This Row],[Player Name]]))</f>
        <v>151.42043551088778</v>
      </c>
      <c r="T37" s="7">
        <f>IFERROR(SUMIFS('College Data By Year'!D:D,'College Data By Year'!A:A,Table2[[#This Row],[Player Name]])/SUMIFS('College Data By Year'!E:E,'College Data By Year'!A:A,Table2[[#This Row],[Player Name]]),"")</f>
        <v>2.0857142857142859</v>
      </c>
      <c r="U37" s="7">
        <f>IFERROR(SUMIFS('College Data By Year'!B:B,'College Data By Year'!A:A,Table2[[#This Row],[Player Name]])/SUMIFS('College Data By Year'!I:I,'College Data By Year'!A:A,Table2[[#This Row],[Player Name]]),"")</f>
        <v>6.0303030303030303</v>
      </c>
      <c r="V37">
        <f>IF(SUMIFS('College Data By Year'!F:F,'College Data By Year'!A:A,Table2[[#This Row],[Player Name]])=0,"",SUMIFS('College Data By Year'!F:F,'College Data By Year'!A:A,Table2[[#This Row],[Player Name]]))</f>
        <v>8.7646566164154098</v>
      </c>
      <c r="W37">
        <f>IF(SUMIFS('College Data By Year'!G:G,'College Data By Year'!A:A,Table2[[#This Row],[Player Name]])=0,"",SUMIFS('College Data By Year'!G:G,'College Data By Year'!A:A,Table2[[#This Row],[Player Name]]))</f>
        <v>8.6683417085427141</v>
      </c>
      <c r="X3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37">
        <v>4.8099999999999996</v>
      </c>
      <c r="Z37">
        <v>9.75</v>
      </c>
      <c r="AA37" t="s">
        <v>229</v>
      </c>
      <c r="AB37">
        <v>222</v>
      </c>
      <c r="AC37">
        <v>27.7</v>
      </c>
      <c r="AD37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37">
        <f>ROUND(IF(Table2[[#This Row],[Draft Round]]=1,10,IF(Table2[[#This Row],[Draft Round]]=8,0,10/(20.884*EXP(-0.381*1))*(20.884*EXP(-0.381*Table2[[#This Row],[Draft Round]])))),0)</f>
        <v>3</v>
      </c>
      <c r="AF37">
        <f>ROUND(IF(Table2[[#This Row],[College BF Dominator]]&gt;0.3,10,IF(Table2[[#This Row],[College BF Dominator]]&lt;-0.156,0,10/(20.818*0.3+3.2667)*(20.818*Table2[[#This Row],[College BF Dominator]]+3.2667))),0)</f>
        <v>4</v>
      </c>
      <c r="AG37">
        <f>ROUND(IF(Table2[[#This Row],[College PTDR]]&gt;0.085,10,IF(Table2[[#This Row],[College PTDR]]&lt;0.04,0,10/(105.24*0.085-1.7837)*(105.24*Table2[[#This Row],[College PTDR]]-1.7837))),0)</f>
        <v>6</v>
      </c>
      <c r="AH37">
        <f>ROUND(IF(Table2[[#This Row],[College Passer Rating]]&gt;170,10,IF(Table2[[#This Row],[College Passer Rating]]&lt;112.475,0,10/(0.1495*170-16.815)*(0.1495*Table2[[#This Row],[College Passer Rating]]-16.815))),0)</f>
        <v>7</v>
      </c>
      <c r="AI37">
        <f>ROUND(IF(Table2[[#This Row],[PTD:INT]]&gt;4,10,IF(Table2[[#This Row],[PTD:INT]]&lt;1,0,10/(4.7442*LN(4)+0.4256)*(4.7442*LN(Table2[[#This Row],[PTD:INT]])+0.4256))),0)</f>
        <v>6</v>
      </c>
      <c r="AJ37">
        <f>ROUND(IF(Table2[[#This Row],[Patt:Ratt]]&lt;2.5,10,IF(Table2[[#This Row],[Patt:Ratt]]&gt;15,0,10/(-2.684*LN(2.5)+9.0869)*(-2.684*LN(Table2[[#This Row],[Patt:Ratt]])+9.0869))),0)</f>
        <v>6</v>
      </c>
      <c r="AK37">
        <f>ROUND(IF(Table2[[#This Row],[Y/A]]&gt;9.2,10,IF(Table2[[#This Row],[Y/A]]&lt;6.26,0,10/(2.2619*9.2-14.16)*(2.2619*Table2[[#This Row],[Y/A]]-14.16))),0)</f>
        <v>9</v>
      </c>
      <c r="AL37">
        <f>ROUND(IF(Table2[[#This Row],[AY/A]]&gt;10,10,IF(Table2[[#This Row],[AY/A]]&lt;5.51,0,10/(1.6571*10-9.1312)*(1.6571*Table2[[#This Row],[AY/A]]-9.1312))),0)</f>
        <v>7</v>
      </c>
      <c r="AM37">
        <f>ROUND(IF(Table2[[#This Row],[40 Yd Dash]]&lt;4.75,10,IF(Table2[[#This Row],[40 Yd Dash]]&gt;5.191,0,10/(-66.95*LN(4.75)+110.26)*(-66.95*LN(Table2[[#This Row],[40 Yd Dash]])+110.26))),0)</f>
        <v>9</v>
      </c>
      <c r="AN37">
        <f>ROUND(IF(Table2[[#This Row],[Hand Size]]&gt;10.25,10,IF(Table2[[#This Row],[Hand Size]]&lt;9,0,10/(15.49*LN(10.25)-30.577)*(15.49*LN(Table2[[#This Row],[Hand Size]])-30.577))),0)</f>
        <v>9</v>
      </c>
    </row>
    <row r="38" spans="1:40">
      <c r="A38">
        <v>2015</v>
      </c>
      <c r="B38">
        <v>5</v>
      </c>
      <c r="C38" t="s">
        <v>219</v>
      </c>
      <c r="D38" t="s">
        <v>59</v>
      </c>
      <c r="E38">
        <v>6.1</v>
      </c>
      <c r="F38" t="s">
        <v>231</v>
      </c>
      <c r="G38">
        <f>SUMIFS('NFL QB Data By Year'!$Q:$Q,'NFL QB Data By Year'!$D:$D,Table2[[#This Row],[Player Name]],'NFL QB Data By Year'!$B:$B,Table2[[#This Row],[Draft Year]]+G$1)</f>
        <v>0</v>
      </c>
      <c r="H38">
        <f>SUMIFS('NFL QB Data By Year'!$P:$P,'NFL QB Data By Year'!$D:$D,Table2[[#This Row],[Player Name]],'NFL QB Data By Year'!$B:$B,Table2[[#This Row],[Draft Year]]+H$1)</f>
        <v>0</v>
      </c>
      <c r="I38">
        <f>SUMIFS('NFL QB Data By Year'!$Q:$Q,'NFL QB Data By Year'!$D:$D,Table2[[#This Row],[Player Name]],'NFL QB Data By Year'!$B:$B,Table2[[#This Row],[Draft Year]]+I$1)</f>
        <v>4</v>
      </c>
      <c r="J38">
        <f>SUMIFS('NFL QB Data By Year'!$P:$P,'NFL QB Data By Year'!$D:$D,Table2[[#This Row],[Player Name]],'NFL QB Data By Year'!$B:$B,Table2[[#This Row],[Draft Year]]+J$1)</f>
        <v>-1.5</v>
      </c>
      <c r="K38">
        <f>SUMIFS('NFL QB Data By Year'!$Q:$Q,'NFL QB Data By Year'!$D:$D,Table2[[#This Row],[Player Name]],'NFL QB Data By Year'!$B:$B,Table2[[#This Row],[Draft Year]]+K$1)</f>
        <v>11</v>
      </c>
      <c r="L38">
        <f>SUMIFS('NFL QB Data By Year'!$P:$P,'NFL QB Data By Year'!$D:$D,Table2[[#This Row],[Player Name]],'NFL QB Data By Year'!$B:$B,Table2[[#This Row],[Draft Year]]+L$1)</f>
        <v>124.1</v>
      </c>
      <c r="M38">
        <f>Table2[[#This Row],[Year 1 G]]+Table2[[#This Row],[Year 2 G]]+Table2[[#This Row],[Year 3 G]]</f>
        <v>15</v>
      </c>
      <c r="N38">
        <f>Table2[[#This Row],[Year 1 FPTs]]+Table2[[#This Row],[Year 2 FPTs]]+Table2[[#This Row],[Year 3 FPTs]]</f>
        <v>122.6</v>
      </c>
      <c r="O38" s="7">
        <f>IFERROR(Table2[[#This Row],[Total FPTs]]/Table2[[#This Row],[Total G]],0)</f>
        <v>8.1733333333333338</v>
      </c>
      <c r="P38">
        <v>6</v>
      </c>
      <c r="Q38" s="8">
        <f xml:space="preserve"> IFERROR(SUMIFS('College Data By Year'!J:J,'College Data By Year'!A:A,Table2[[#This Row],[Player Name]])/SUMIFS('College Data By Year'!L:L,'College Data By Year'!A:A,Table2[[#This Row],[Player Name]]),"")</f>
        <v>0.21972078983775625</v>
      </c>
      <c r="R38" s="11">
        <f xml:space="preserve"> IFERROR(SUMIFS('College Data By Year'!D:D,'College Data By Year'!A:A,Table2[[#This Row],[Player Name]])/SUMIFS('College Data By Year'!B:B,'College Data By Year'!A:A,Table2[[#This Row],[Player Name]]),"")</f>
        <v>6.0435132957292505E-2</v>
      </c>
      <c r="S38">
        <f>IF(SUMIFS('College Data By Year'!H:H,'College Data By Year'!A:A,Table2[[#This Row],[Player Name]])=0,"",SUMIFS('College Data By Year'!H:H,'College Data By Year'!A:A,Table2[[#This Row],[Player Name]]))</f>
        <v>150.80000000000001</v>
      </c>
      <c r="T38" s="7">
        <f>IFERROR(SUMIFS('College Data By Year'!D:D,'College Data By Year'!A:A,Table2[[#This Row],[Player Name]])/SUMIFS('College Data By Year'!E:E,'College Data By Year'!A:A,Table2[[#This Row],[Player Name]]),"")</f>
        <v>3</v>
      </c>
      <c r="U38" s="7">
        <f>IFERROR(SUMIFS('College Data By Year'!B:B,'College Data By Year'!A:A,Table2[[#This Row],[Player Name]])/SUMIFS('College Data By Year'!I:I,'College Data By Year'!A:A,Table2[[#This Row],[Player Name]]),"")</f>
        <v>2.5908141962421714</v>
      </c>
      <c r="V38">
        <f>IF(SUMIFS('College Data By Year'!F:F,'College Data By Year'!A:A,Table2[[#This Row],[Player Name]])=0,"",SUMIFS('College Data By Year'!F:F,'College Data By Year'!A:A,Table2[[#This Row],[Player Name]]))</f>
        <v>8</v>
      </c>
      <c r="W38">
        <f>IF(SUMIFS('College Data By Year'!G:G,'College Data By Year'!A:A,Table2[[#This Row],[Player Name]])=0,"",SUMIFS('College Data By Year'!G:G,'College Data By Year'!A:A,Table2[[#This Row],[Player Name]]))</f>
        <v>8.3000000000000007</v>
      </c>
      <c r="X3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7.2674418604651167E-2</v>
      </c>
      <c r="Y38">
        <v>4.63</v>
      </c>
      <c r="Z38">
        <v>10.5</v>
      </c>
      <c r="AA38" t="s">
        <v>229</v>
      </c>
      <c r="AB38">
        <v>226</v>
      </c>
      <c r="AC38">
        <v>28.2</v>
      </c>
      <c r="AD38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38">
        <f>ROUND(IF(Table2[[#This Row],[Draft Round]]=1,10,IF(Table2[[#This Row],[Draft Round]]=8,0,10/(20.884*EXP(-0.381*1))*(20.884*EXP(-0.381*Table2[[#This Row],[Draft Round]])))),0)</f>
        <v>2</v>
      </c>
      <c r="AF38">
        <f>ROUND(IF(Table2[[#This Row],[College BF Dominator]]&gt;0.3,10,IF(Table2[[#This Row],[College BF Dominator]]&lt;-0.156,0,10/(20.818*0.3+3.2667)*(20.818*Table2[[#This Row],[College BF Dominator]]+3.2667))),0)</f>
        <v>8</v>
      </c>
      <c r="AG38">
        <f>ROUND(IF(Table2[[#This Row],[College PTDR]]&gt;0.085,10,IF(Table2[[#This Row],[College PTDR]]&lt;0.04,0,10/(105.24*0.085-1.7837)*(105.24*Table2[[#This Row],[College PTDR]]-1.7837))),0)</f>
        <v>6</v>
      </c>
      <c r="AH38">
        <f>ROUND(IF(Table2[[#This Row],[College Passer Rating]]&gt;170,10,IF(Table2[[#This Row],[College Passer Rating]]&lt;112.475,0,10/(0.1495*170-16.815)*(0.1495*Table2[[#This Row],[College Passer Rating]]-16.815))),0)</f>
        <v>7</v>
      </c>
      <c r="AI38">
        <f>ROUND(IF(Table2[[#This Row],[PTD:INT]]&gt;4,10,IF(Table2[[#This Row],[PTD:INT]]&lt;1,0,10/(4.7442*LN(4)+0.4256)*(4.7442*LN(Table2[[#This Row],[PTD:INT]])+0.4256))),0)</f>
        <v>8</v>
      </c>
      <c r="AJ38">
        <f>ROUND(IF(Table2[[#This Row],[Patt:Ratt]]&lt;2.5,10,IF(Table2[[#This Row],[Patt:Ratt]]&gt;15,0,10/(-2.684*LN(2.5)+9.0869)*(-2.684*LN(Table2[[#This Row],[Patt:Ratt]])+9.0869))),0)</f>
        <v>10</v>
      </c>
      <c r="AK38">
        <f>ROUND(IF(Table2[[#This Row],[Y/A]]&gt;9.2,10,IF(Table2[[#This Row],[Y/A]]&lt;6.26,0,10/(2.2619*9.2-14.16)*(2.2619*Table2[[#This Row],[Y/A]]-14.16))),0)</f>
        <v>6</v>
      </c>
      <c r="AL38">
        <f>ROUND(IF(Table2[[#This Row],[AY/A]]&gt;10,10,IF(Table2[[#This Row],[AY/A]]&lt;5.51,0,10/(1.6571*10-9.1312)*(1.6571*Table2[[#This Row],[AY/A]]-9.1312))),0)</f>
        <v>6</v>
      </c>
      <c r="AM38">
        <f>ROUND(IF(Table2[[#This Row],[40 Yd Dash]]&lt;4.75,10,IF(Table2[[#This Row],[40 Yd Dash]]&gt;5.191,0,10/(-66.95*LN(4.75)+110.26)*(-66.95*LN(Table2[[#This Row],[40 Yd Dash]])+110.26))),0)</f>
        <v>10</v>
      </c>
      <c r="AN38">
        <f>ROUND(IF(Table2[[#This Row],[Hand Size]]&gt;10.25,10,IF(Table2[[#This Row],[Hand Size]]&lt;9,0,10/(15.49*LN(10.25)-30.577)*(15.49*LN(Table2[[#This Row],[Hand Size]])-30.577))),0)</f>
        <v>10</v>
      </c>
    </row>
    <row r="39" spans="1:40">
      <c r="A39">
        <v>2016</v>
      </c>
      <c r="B39">
        <v>5</v>
      </c>
      <c r="C39" t="s">
        <v>219</v>
      </c>
      <c r="D39" t="s">
        <v>73</v>
      </c>
      <c r="E39">
        <v>5.5</v>
      </c>
      <c r="F39" t="s">
        <v>232</v>
      </c>
      <c r="G39">
        <f>SUMIFS('NFL QB Data By Year'!$Q:$Q,'NFL QB Data By Year'!$D:$D,Table2[[#This Row],[Player Name]],'NFL QB Data By Year'!$B:$B,Table2[[#This Row],[Draft Year]]+G$1)</f>
        <v>4</v>
      </c>
      <c r="H39">
        <f>SUMIFS('NFL QB Data By Year'!$P:$P,'NFL QB Data By Year'!$D:$D,Table2[[#This Row],[Player Name]],'NFL QB Data By Year'!$B:$B,Table2[[#This Row],[Draft Year]]+H$1)</f>
        <v>16.7</v>
      </c>
      <c r="I39">
        <f>SUMIFS('NFL QB Data By Year'!$Q:$Q,'NFL QB Data By Year'!$D:$D,Table2[[#This Row],[Player Name]],'NFL QB Data By Year'!$B:$B,Table2[[#This Row],[Draft Year]]+I$1)</f>
        <v>4</v>
      </c>
      <c r="J39">
        <f>SUMIFS('NFL QB Data By Year'!$P:$P,'NFL QB Data By Year'!$D:$D,Table2[[#This Row],[Player Name]],'NFL QB Data By Year'!$B:$B,Table2[[#This Row],[Draft Year]]+J$1)</f>
        <v>33.799999999999997</v>
      </c>
      <c r="K39">
        <f>SUMIFS('NFL QB Data By Year'!$Q:$Q,'NFL QB Data By Year'!$D:$D,Table2[[#This Row],[Player Name]],'NFL QB Data By Year'!$B:$B,Table2[[#This Row],[Draft Year]]+K$1)</f>
        <v>0</v>
      </c>
      <c r="L39">
        <f>SUMIFS('NFL QB Data By Year'!$P:$P,'NFL QB Data By Year'!$D:$D,Table2[[#This Row],[Player Name]],'NFL QB Data By Year'!$B:$B,Table2[[#This Row],[Draft Year]]+L$1)</f>
        <v>0</v>
      </c>
      <c r="M39">
        <f>Table2[[#This Row],[Year 1 G]]+Table2[[#This Row],[Year 2 G]]+Table2[[#This Row],[Year 3 G]]</f>
        <v>8</v>
      </c>
      <c r="N39">
        <f>Table2[[#This Row],[Year 1 FPTs]]+Table2[[#This Row],[Year 2 FPTs]]+Table2[[#This Row],[Year 3 FPTs]]</f>
        <v>50.5</v>
      </c>
      <c r="O39" s="7">
        <f>IFERROR(Table2[[#This Row],[Total FPTs]]/Table2[[#This Row],[Total G]],0)</f>
        <v>6.3125</v>
      </c>
      <c r="P39">
        <v>7</v>
      </c>
      <c r="Q39" s="8">
        <f xml:space="preserve"> IFERROR(SUMIFS('College Data By Year'!J:J,'College Data By Year'!A:A,Table2[[#This Row],[Player Name]])/SUMIFS('College Data By Year'!L:L,'College Data By Year'!A:A,Table2[[#This Row],[Player Name]]),"")</f>
        <v>0.11850094876660341</v>
      </c>
      <c r="R39" s="11">
        <f xml:space="preserve"> IFERROR(SUMIFS('College Data By Year'!D:D,'College Data By Year'!A:A,Table2[[#This Row],[Player Name]])/SUMIFS('College Data By Year'!B:B,'College Data By Year'!A:A,Table2[[#This Row],[Player Name]]),"")</f>
        <v>6.7996373526745243E-2</v>
      </c>
      <c r="S39">
        <f>IF(SUMIFS('College Data By Year'!H:H,'College Data By Year'!A:A,Table2[[#This Row],[Player Name]])=0,"",SUMIFS('College Data By Year'!H:H,'College Data By Year'!A:A,Table2[[#This Row],[Player Name]]))</f>
        <v>154.6</v>
      </c>
      <c r="T39" s="7">
        <f>IFERROR(SUMIFS('College Data By Year'!D:D,'College Data By Year'!A:A,Table2[[#This Row],[Player Name]])/SUMIFS('College Data By Year'!E:E,'College Data By Year'!A:A,Table2[[#This Row],[Player Name]]),"")</f>
        <v>2.5862068965517242</v>
      </c>
      <c r="U39" s="7">
        <f>IFERROR(SUMIFS('College Data By Year'!B:B,'College Data By Year'!A:A,Table2[[#This Row],[Player Name]])/SUMIFS('College Data By Year'!I:I,'College Data By Year'!A:A,Table2[[#This Row],[Player Name]]),"")</f>
        <v>3.5015873015873016</v>
      </c>
      <c r="V39">
        <f>IF(SUMIFS('College Data By Year'!F:F,'College Data By Year'!A:A,Table2[[#This Row],[Player Name]])=0,"",SUMIFS('College Data By Year'!F:F,'College Data By Year'!A:A,Table2[[#This Row],[Player Name]]))</f>
        <v>8.5</v>
      </c>
      <c r="W39">
        <f>IF(SUMIFS('College Data By Year'!G:G,'College Data By Year'!A:A,Table2[[#This Row],[Player Name]])=0,"",SUMIFS('College Data By Year'!G:G,'College Data By Year'!A:A,Table2[[#This Row],[Player Name]]))</f>
        <v>8.6999999999999993</v>
      </c>
      <c r="X3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4.6544428772919602E-2</v>
      </c>
      <c r="Y39">
        <v>4.78</v>
      </c>
      <c r="Z39">
        <v>10.25</v>
      </c>
      <c r="AA39" t="s">
        <v>229</v>
      </c>
      <c r="AB39">
        <v>218</v>
      </c>
      <c r="AC39">
        <v>27.2</v>
      </c>
      <c r="AD39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39">
        <f>ROUND(IF(Table2[[#This Row],[Draft Round]]=1,10,IF(Table2[[#This Row],[Draft Round]]=8,0,10/(20.884*EXP(-0.381*1))*(20.884*EXP(-0.381*Table2[[#This Row],[Draft Round]])))),0)</f>
        <v>2</v>
      </c>
      <c r="AF39">
        <f>ROUND(IF(Table2[[#This Row],[College BF Dominator]]&gt;0.3,10,IF(Table2[[#This Row],[College BF Dominator]]&lt;-0.156,0,10/(20.818*0.3+3.2667)*(20.818*Table2[[#This Row],[College BF Dominator]]+3.2667))),0)</f>
        <v>6</v>
      </c>
      <c r="AG39">
        <f>ROUND(IF(Table2[[#This Row],[College PTDR]]&gt;0.085,10,IF(Table2[[#This Row],[College PTDR]]&lt;0.04,0,10/(105.24*0.085-1.7837)*(105.24*Table2[[#This Row],[College PTDR]]-1.7837))),0)</f>
        <v>8</v>
      </c>
      <c r="AH39">
        <f>ROUND(IF(Table2[[#This Row],[College Passer Rating]]&gt;170,10,IF(Table2[[#This Row],[College Passer Rating]]&lt;112.475,0,10/(0.1495*170-16.815)*(0.1495*Table2[[#This Row],[College Passer Rating]]-16.815))),0)</f>
        <v>7</v>
      </c>
      <c r="AI39">
        <f>ROUND(IF(Table2[[#This Row],[PTD:INT]]&gt;4,10,IF(Table2[[#This Row],[PTD:INT]]&lt;1,0,10/(4.7442*LN(4)+0.4256)*(4.7442*LN(Table2[[#This Row],[PTD:INT]])+0.4256))),0)</f>
        <v>7</v>
      </c>
      <c r="AJ39">
        <f>ROUND(IF(Table2[[#This Row],[Patt:Ratt]]&lt;2.5,10,IF(Table2[[#This Row],[Patt:Ratt]]&gt;15,0,10/(-2.684*LN(2.5)+9.0869)*(-2.684*LN(Table2[[#This Row],[Patt:Ratt]])+9.0869))),0)</f>
        <v>9</v>
      </c>
      <c r="AK39">
        <f>ROUND(IF(Table2[[#This Row],[Y/A]]&gt;9.2,10,IF(Table2[[#This Row],[Y/A]]&lt;6.26,0,10/(2.2619*9.2-14.16)*(2.2619*Table2[[#This Row],[Y/A]]-14.16))),0)</f>
        <v>8</v>
      </c>
      <c r="AL39">
        <f>ROUND(IF(Table2[[#This Row],[AY/A]]&gt;10,10,IF(Table2[[#This Row],[AY/A]]&lt;5.51,0,10/(1.6571*10-9.1312)*(1.6571*Table2[[#This Row],[AY/A]]-9.1312))),0)</f>
        <v>7</v>
      </c>
      <c r="AM39">
        <f>ROUND(IF(Table2[[#This Row],[40 Yd Dash]]&lt;4.75,10,IF(Table2[[#This Row],[40 Yd Dash]]&gt;5.191,0,10/(-66.95*LN(4.75)+110.26)*(-66.95*LN(Table2[[#This Row],[40 Yd Dash]])+110.26))),0)</f>
        <v>9</v>
      </c>
      <c r="AN39">
        <f>ROUND(IF(Table2[[#This Row],[Hand Size]]&gt;10.25,10,IF(Table2[[#This Row],[Hand Size]]&lt;9,0,10/(15.49*LN(10.25)-30.577)*(15.49*LN(Table2[[#This Row],[Hand Size]])-30.577))),0)</f>
        <v>10</v>
      </c>
    </row>
    <row r="40" spans="1:40">
      <c r="A40">
        <v>2017</v>
      </c>
      <c r="B40">
        <v>5</v>
      </c>
      <c r="C40" t="s">
        <v>219</v>
      </c>
      <c r="D40" t="s">
        <v>65</v>
      </c>
      <c r="E40">
        <v>6.3</v>
      </c>
      <c r="F40" t="s">
        <v>220</v>
      </c>
      <c r="G40">
        <f>SUMIFS('NFL QB Data By Year'!$Q:$Q,'NFL QB Data By Year'!$D:$D,Table2[[#This Row],[Player Name]],'NFL QB Data By Year'!$B:$B,Table2[[#This Row],[Draft Year]]+G$1)</f>
        <v>4</v>
      </c>
      <c r="H40">
        <f>SUMIFS('NFL QB Data By Year'!$P:$P,'NFL QB Data By Year'!$D:$D,Table2[[#This Row],[Player Name]],'NFL QB Data By Year'!$B:$B,Table2[[#This Row],[Draft Year]]+H$1)</f>
        <v>10.4</v>
      </c>
      <c r="I40">
        <f>SUMIFS('NFL QB Data By Year'!$Q:$Q,'NFL QB Data By Year'!$D:$D,Table2[[#This Row],[Player Name]],'NFL QB Data By Year'!$B:$B,Table2[[#This Row],[Draft Year]]+I$1)</f>
        <v>4</v>
      </c>
      <c r="J40">
        <f>SUMIFS('NFL QB Data By Year'!$P:$P,'NFL QB Data By Year'!$D:$D,Table2[[#This Row],[Player Name]],'NFL QB Data By Year'!$B:$B,Table2[[#This Row],[Draft Year]]+J$1)</f>
        <v>12.8</v>
      </c>
      <c r="K40">
        <f>SUMIFS('NFL QB Data By Year'!$Q:$Q,'NFL QB Data By Year'!$D:$D,Table2[[#This Row],[Player Name]],'NFL QB Data By Year'!$B:$B,Table2[[#This Row],[Draft Year]]+K$1)</f>
        <v>0</v>
      </c>
      <c r="L40">
        <f>SUMIFS('NFL QB Data By Year'!$P:$P,'NFL QB Data By Year'!$D:$D,Table2[[#This Row],[Player Name]],'NFL QB Data By Year'!$B:$B,Table2[[#This Row],[Draft Year]]+L$1)</f>
        <v>0</v>
      </c>
      <c r="M40">
        <f>Table2[[#This Row],[Year 1 G]]+Table2[[#This Row],[Year 2 G]]+Table2[[#This Row],[Year 3 G]]</f>
        <v>8</v>
      </c>
      <c r="N40">
        <f>Table2[[#This Row],[Year 1 FPTs]]+Table2[[#This Row],[Year 2 FPTs]]+Table2[[#This Row],[Year 3 FPTs]]</f>
        <v>23.200000000000003</v>
      </c>
      <c r="O40" s="7">
        <f>IFERROR(Table2[[#This Row],[Total FPTs]]/Table2[[#This Row],[Total G]],0)</f>
        <v>2.9000000000000004</v>
      </c>
      <c r="P40">
        <v>9</v>
      </c>
      <c r="Q40" s="8">
        <f xml:space="preserve"> IFERROR(SUMIFS('College Data By Year'!J:J,'College Data By Year'!A:A,Table2[[#This Row],[Player Name]])/SUMIFS('College Data By Year'!L:L,'College Data By Year'!A:A,Table2[[#This Row],[Player Name]]),"")</f>
        <v>5.514705882352941E-2</v>
      </c>
      <c r="R40" s="11">
        <f xml:space="preserve"> IFERROR(SUMIFS('College Data By Year'!D:D,'College Data By Year'!A:A,Table2[[#This Row],[Player Name]])/SUMIFS('College Data By Year'!B:B,'College Data By Year'!A:A,Table2[[#This Row],[Player Name]]),"")</f>
        <v>7.0996978851963752E-2</v>
      </c>
      <c r="S40">
        <f>IF(SUMIFS('College Data By Year'!H:H,'College Data By Year'!A:A,Table2[[#This Row],[Player Name]])=0,"",SUMIFS('College Data By Year'!H:H,'College Data By Year'!A:A,Table2[[#This Row],[Player Name]]))</f>
        <v>144.9</v>
      </c>
      <c r="T40" s="7">
        <f>IFERROR(SUMIFS('College Data By Year'!D:D,'College Data By Year'!A:A,Table2[[#This Row],[Player Name]])/SUMIFS('College Data By Year'!E:E,'College Data By Year'!A:A,Table2[[#This Row],[Player Name]]),"")</f>
        <v>2.7647058823529411</v>
      </c>
      <c r="U40" s="7">
        <f>IFERROR(SUMIFS('College Data By Year'!B:B,'College Data By Year'!A:A,Table2[[#This Row],[Player Name]])/SUMIFS('College Data By Year'!I:I,'College Data By Year'!A:A,Table2[[#This Row],[Player Name]]),"")</f>
        <v>3.8488372093023258</v>
      </c>
      <c r="V40">
        <f>IF(SUMIFS('College Data By Year'!F:F,'College Data By Year'!A:A,Table2[[#This Row],[Player Name]])=0,"",SUMIFS('College Data By Year'!F:F,'College Data By Year'!A:A,Table2[[#This Row],[Player Name]]))</f>
        <v>7.9</v>
      </c>
      <c r="W40">
        <f>IF(SUMIFS('College Data By Year'!G:G,'College Data By Year'!A:A,Table2[[#This Row],[Player Name]])=0,"",SUMIFS('College Data By Year'!G:G,'College Data By Year'!A:A,Table2[[#This Row],[Player Name]]))</f>
        <v>8.1999999999999993</v>
      </c>
      <c r="X4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4.6762589928057555E-2</v>
      </c>
      <c r="Y40">
        <v>4.82</v>
      </c>
      <c r="Z40">
        <v>9.875</v>
      </c>
      <c r="AA40" t="s">
        <v>221</v>
      </c>
      <c r="AB40">
        <v>226</v>
      </c>
      <c r="AC40">
        <v>29</v>
      </c>
      <c r="AD40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40">
        <f>ROUND(IF(Table2[[#This Row],[Draft Round]]=1,10,IF(Table2[[#This Row],[Draft Round]]=8,0,10/(20.884*EXP(-0.381*1))*(20.884*EXP(-0.381*Table2[[#This Row],[Draft Round]])))),0)</f>
        <v>2</v>
      </c>
      <c r="AF40">
        <f>ROUND(IF(Table2[[#This Row],[College BF Dominator]]&gt;0.3,10,IF(Table2[[#This Row],[College BF Dominator]]&lt;-0.156,0,10/(20.818*0.3+3.2667)*(20.818*Table2[[#This Row],[College BF Dominator]]+3.2667))),0)</f>
        <v>5</v>
      </c>
      <c r="AG40">
        <f>ROUND(IF(Table2[[#This Row],[College PTDR]]&gt;0.085,10,IF(Table2[[#This Row],[College PTDR]]&lt;0.04,0,10/(105.24*0.085-1.7837)*(105.24*Table2[[#This Row],[College PTDR]]-1.7837))),0)</f>
        <v>8</v>
      </c>
      <c r="AH40">
        <f>ROUND(IF(Table2[[#This Row],[College Passer Rating]]&gt;170,10,IF(Table2[[#This Row],[College Passer Rating]]&lt;112.475,0,10/(0.1495*170-16.815)*(0.1495*Table2[[#This Row],[College Passer Rating]]-16.815))),0)</f>
        <v>6</v>
      </c>
      <c r="AI40">
        <f>ROUND(IF(Table2[[#This Row],[PTD:INT]]&gt;4,10,IF(Table2[[#This Row],[PTD:INT]]&lt;1,0,10/(4.7442*LN(4)+0.4256)*(4.7442*LN(Table2[[#This Row],[PTD:INT]])+0.4256))),0)</f>
        <v>7</v>
      </c>
      <c r="AJ40">
        <f>ROUND(IF(Table2[[#This Row],[Patt:Ratt]]&lt;2.5,10,IF(Table2[[#This Row],[Patt:Ratt]]&gt;15,0,10/(-2.684*LN(2.5)+9.0869)*(-2.684*LN(Table2[[#This Row],[Patt:Ratt]])+9.0869))),0)</f>
        <v>8</v>
      </c>
      <c r="AK40">
        <f>ROUND(IF(Table2[[#This Row],[Y/A]]&gt;9.2,10,IF(Table2[[#This Row],[Y/A]]&lt;6.26,0,10/(2.2619*9.2-14.16)*(2.2619*Table2[[#This Row],[Y/A]]-14.16))),0)</f>
        <v>6</v>
      </c>
      <c r="AL40">
        <f>ROUND(IF(Table2[[#This Row],[AY/A]]&gt;10,10,IF(Table2[[#This Row],[AY/A]]&lt;5.51,0,10/(1.6571*10-9.1312)*(1.6571*Table2[[#This Row],[AY/A]]-9.1312))),0)</f>
        <v>6</v>
      </c>
      <c r="AM40">
        <f>ROUND(IF(Table2[[#This Row],[40 Yd Dash]]&lt;4.75,10,IF(Table2[[#This Row],[40 Yd Dash]]&gt;5.191,0,10/(-66.95*LN(4.75)+110.26)*(-66.95*LN(Table2[[#This Row],[40 Yd Dash]])+110.26))),0)</f>
        <v>8</v>
      </c>
      <c r="AN40">
        <f>ROUND(IF(Table2[[#This Row],[Hand Size]]&gt;10.25,10,IF(Table2[[#This Row],[Hand Size]]&lt;9,0,10/(15.49*LN(10.25)-30.577)*(15.49*LN(Table2[[#This Row],[Hand Size]])-30.577))),0)</f>
        <v>9</v>
      </c>
    </row>
    <row r="41" spans="1:40">
      <c r="A41">
        <v>2019</v>
      </c>
      <c r="B41">
        <v>5</v>
      </c>
      <c r="C41" t="s">
        <v>219</v>
      </c>
      <c r="D41" t="s">
        <v>70</v>
      </c>
      <c r="E41">
        <v>5.4</v>
      </c>
      <c r="F41" t="s">
        <v>237</v>
      </c>
      <c r="G41">
        <f>SUMIFS('NFL QB Data By Year'!$Q:$Q,'NFL QB Data By Year'!$D:$D,Table2[[#This Row],[Player Name]],'NFL QB Data By Year'!$B:$B,Table2[[#This Row],[Draft Year]]+G$1)</f>
        <v>0</v>
      </c>
      <c r="H41">
        <f>SUMIFS('NFL QB Data By Year'!$P:$P,'NFL QB Data By Year'!$D:$D,Table2[[#This Row],[Player Name]],'NFL QB Data By Year'!$B:$B,Table2[[#This Row],[Draft Year]]+H$1)</f>
        <v>0</v>
      </c>
      <c r="I41">
        <f>SUMIFS('NFL QB Data By Year'!$Q:$Q,'NFL QB Data By Year'!$D:$D,Table2[[#This Row],[Player Name]],'NFL QB Data By Year'!$B:$B,Table2[[#This Row],[Draft Year]]+I$1)</f>
        <v>1</v>
      </c>
      <c r="J41">
        <f>SUMIFS('NFL QB Data By Year'!$P:$P,'NFL QB Data By Year'!$D:$D,Table2[[#This Row],[Player Name]],'NFL QB Data By Year'!$B:$B,Table2[[#This Row],[Draft Year]]+J$1)</f>
        <v>0</v>
      </c>
      <c r="K41">
        <f>SUMIFS('NFL QB Data By Year'!$Q:$Q,'NFL QB Data By Year'!$D:$D,Table2[[#This Row],[Player Name]],'NFL QB Data By Year'!$B:$B,Table2[[#This Row],[Draft Year]]+K$1)</f>
        <v>0</v>
      </c>
      <c r="L41">
        <f>SUMIFS('NFL QB Data By Year'!$P:$P,'NFL QB Data By Year'!$D:$D,Table2[[#This Row],[Player Name]],'NFL QB Data By Year'!$B:$B,Table2[[#This Row],[Draft Year]]+L$1)</f>
        <v>0</v>
      </c>
      <c r="M41">
        <f>Table2[[#This Row],[Year 1 G]]+Table2[[#This Row],[Year 2 G]]+Table2[[#This Row],[Year 3 G]]</f>
        <v>1</v>
      </c>
      <c r="N41">
        <f>Table2[[#This Row],[Year 1 FPTs]]+Table2[[#This Row],[Year 2 FPTs]]+Table2[[#This Row],[Year 3 FPTs]]</f>
        <v>0</v>
      </c>
      <c r="O41" s="7">
        <f>IFERROR(Table2[[#This Row],[Total FPTs]]/Table2[[#This Row],[Total G]],0)</f>
        <v>0</v>
      </c>
      <c r="P41">
        <v>10</v>
      </c>
      <c r="Q41" s="8">
        <f xml:space="preserve"> IFERROR(SUMIFS('College Data By Year'!J:J,'College Data By Year'!A:A,Table2[[#This Row],[Player Name]])/SUMIFS('College Data By Year'!L:L,'College Data By Year'!A:A,Table2[[#This Row],[Player Name]]),"")</f>
        <v>0.16491273939473169</v>
      </c>
      <c r="R41" s="11">
        <f xml:space="preserve"> IFERROR(SUMIFS('College Data By Year'!D:D,'College Data By Year'!A:A,Table2[[#This Row],[Player Name]])/SUMIFS('College Data By Year'!B:B,'College Data By Year'!A:A,Table2[[#This Row],[Player Name]]),"")</f>
        <v>8.9795918367346933E-2</v>
      </c>
      <c r="S41">
        <f>IF(SUMIFS('College Data By Year'!H:H,'College Data By Year'!A:A,Table2[[#This Row],[Player Name]])=0,"",SUMIFS('College Data By Year'!H:H,'College Data By Year'!A:A,Table2[[#This Row],[Player Name]]))</f>
        <v>159.45020408163268</v>
      </c>
      <c r="T41" s="7">
        <f>IFERROR(SUMIFS('College Data By Year'!D:D,'College Data By Year'!A:A,Table2[[#This Row],[Player Name]])/SUMIFS('College Data By Year'!E:E,'College Data By Year'!A:A,Table2[[#This Row],[Player Name]]),"")</f>
        <v>3.1428571428571428</v>
      </c>
      <c r="U41" s="7">
        <f>IFERROR(SUMIFS('College Data By Year'!B:B,'College Data By Year'!A:A,Table2[[#This Row],[Player Name]])/SUMIFS('College Data By Year'!I:I,'College Data By Year'!A:A,Table2[[#This Row],[Player Name]]),"")</f>
        <v>2.2950819672131146</v>
      </c>
      <c r="V41">
        <f>IF(SUMIFS('College Data By Year'!F:F,'College Data By Year'!A:A,Table2[[#This Row],[Player Name]])=0,"",SUMIFS('College Data By Year'!F:F,'College Data By Year'!A:A,Table2[[#This Row],[Player Name]]))</f>
        <v>8.8704081632653065</v>
      </c>
      <c r="W41">
        <f>IF(SUMIFS('College Data By Year'!G:G,'College Data By Year'!A:A,Table2[[#This Row],[Player Name]])=0,"",SUMIFS('College Data By Year'!G:G,'College Data By Year'!A:A,Table2[[#This Row],[Player Name]]))</f>
        <v>9.380612244897959</v>
      </c>
      <c r="X4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7.818052594171997E-3</v>
      </c>
      <c r="Y41">
        <v>4.62</v>
      </c>
      <c r="Z41">
        <v>9.25</v>
      </c>
      <c r="AA41" t="s">
        <v>228</v>
      </c>
      <c r="AB41">
        <v>224</v>
      </c>
      <c r="AC41">
        <v>29.6</v>
      </c>
      <c r="AD41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41">
        <f>ROUND(IF(Table2[[#This Row],[Draft Round]]=1,10,IF(Table2[[#This Row],[Draft Round]]=8,0,10/(20.884*EXP(-0.381*1))*(20.884*EXP(-0.381*Table2[[#This Row],[Draft Round]])))),0)</f>
        <v>2</v>
      </c>
      <c r="AF41">
        <f>ROUND(IF(Table2[[#This Row],[College BF Dominator]]&gt;0.3,10,IF(Table2[[#This Row],[College BF Dominator]]&lt;-0.156,0,10/(20.818*0.3+3.2667)*(20.818*Table2[[#This Row],[College BF Dominator]]+3.2667))),0)</f>
        <v>7</v>
      </c>
      <c r="AG41">
        <f>ROUND(IF(Table2[[#This Row],[College PTDR]]&gt;0.085,10,IF(Table2[[#This Row],[College PTDR]]&lt;0.04,0,10/(105.24*0.085-1.7837)*(105.24*Table2[[#This Row],[College PTDR]]-1.7837))),0)</f>
        <v>10</v>
      </c>
      <c r="AH41">
        <f>ROUND(IF(Table2[[#This Row],[College Passer Rating]]&gt;170,10,IF(Table2[[#This Row],[College Passer Rating]]&lt;112.475,0,10/(0.1495*170-16.815)*(0.1495*Table2[[#This Row],[College Passer Rating]]-16.815))),0)</f>
        <v>8</v>
      </c>
      <c r="AI41">
        <f>ROUND(IF(Table2[[#This Row],[PTD:INT]]&gt;4,10,IF(Table2[[#This Row],[PTD:INT]]&lt;1,0,10/(4.7442*LN(4)+0.4256)*(4.7442*LN(Table2[[#This Row],[PTD:INT]])+0.4256))),0)</f>
        <v>8</v>
      </c>
      <c r="AJ41">
        <f>ROUND(IF(Table2[[#This Row],[Patt:Ratt]]&lt;2.5,10,IF(Table2[[#This Row],[Patt:Ratt]]&gt;15,0,10/(-2.684*LN(2.5)+9.0869)*(-2.684*LN(Table2[[#This Row],[Patt:Ratt]])+9.0869))),0)</f>
        <v>10</v>
      </c>
      <c r="AK41">
        <f>ROUND(IF(Table2[[#This Row],[Y/A]]&gt;9.2,10,IF(Table2[[#This Row],[Y/A]]&lt;6.26,0,10/(2.2619*9.2-14.16)*(2.2619*Table2[[#This Row],[Y/A]]-14.16))),0)</f>
        <v>9</v>
      </c>
      <c r="AL41">
        <f>ROUND(IF(Table2[[#This Row],[AY/A]]&gt;10,10,IF(Table2[[#This Row],[AY/A]]&lt;5.51,0,10/(1.6571*10-9.1312)*(1.6571*Table2[[#This Row],[AY/A]]-9.1312))),0)</f>
        <v>9</v>
      </c>
      <c r="AM41">
        <f>ROUND(IF(Table2[[#This Row],[40 Yd Dash]]&lt;4.75,10,IF(Table2[[#This Row],[40 Yd Dash]]&gt;5.191,0,10/(-66.95*LN(4.75)+110.26)*(-66.95*LN(Table2[[#This Row],[40 Yd Dash]])+110.26))),0)</f>
        <v>10</v>
      </c>
      <c r="AN41">
        <f>ROUND(IF(Table2[[#This Row],[Hand Size]]&gt;10.25,10,IF(Table2[[#This Row],[Hand Size]]&lt;9,0,10/(15.49*LN(10.25)-30.577)*(15.49*LN(Table2[[#This Row],[Hand Size]])-30.577))),0)</f>
        <v>7</v>
      </c>
    </row>
    <row r="42" spans="1:40">
      <c r="A42">
        <v>2019</v>
      </c>
      <c r="B42">
        <v>5</v>
      </c>
      <c r="C42" t="s">
        <v>219</v>
      </c>
      <c r="D42" t="s">
        <v>82</v>
      </c>
      <c r="E42">
        <v>5.9</v>
      </c>
      <c r="F42" t="s">
        <v>234</v>
      </c>
      <c r="G42">
        <f>SUMIFS('NFL QB Data By Year'!$Q:$Q,'NFL QB Data By Year'!$D:$D,Table2[[#This Row],[Player Name]],'NFL QB Data By Year'!$B:$B,Table2[[#This Row],[Draft Year]]+G$1)</f>
        <v>0</v>
      </c>
      <c r="H42">
        <f>SUMIFS('NFL QB Data By Year'!$P:$P,'NFL QB Data By Year'!$D:$D,Table2[[#This Row],[Player Name]],'NFL QB Data By Year'!$B:$B,Table2[[#This Row],[Draft Year]]+H$1)</f>
        <v>0</v>
      </c>
      <c r="I42">
        <f>SUMIFS('NFL QB Data By Year'!$Q:$Q,'NFL QB Data By Year'!$D:$D,Table2[[#This Row],[Player Name]],'NFL QB Data By Year'!$B:$B,Table2[[#This Row],[Draft Year]]+I$1)</f>
        <v>0</v>
      </c>
      <c r="J42">
        <f>SUMIFS('NFL QB Data By Year'!$P:$P,'NFL QB Data By Year'!$D:$D,Table2[[#This Row],[Player Name]],'NFL QB Data By Year'!$B:$B,Table2[[#This Row],[Draft Year]]+J$1)</f>
        <v>0</v>
      </c>
      <c r="K42">
        <f>SUMIFS('NFL QB Data By Year'!$Q:$Q,'NFL QB Data By Year'!$D:$D,Table2[[#This Row],[Player Name]],'NFL QB Data By Year'!$B:$B,Table2[[#This Row],[Draft Year]]+K$1)</f>
        <v>0</v>
      </c>
      <c r="L42">
        <f>SUMIFS('NFL QB Data By Year'!$P:$P,'NFL QB Data By Year'!$D:$D,Table2[[#This Row],[Player Name]],'NFL QB Data By Year'!$B:$B,Table2[[#This Row],[Draft Year]]+L$1)</f>
        <v>0</v>
      </c>
      <c r="M42">
        <f>Table2[[#This Row],[Year 1 G]]+Table2[[#This Row],[Year 2 G]]+Table2[[#This Row],[Year 3 G]]</f>
        <v>0</v>
      </c>
      <c r="N42">
        <f>Table2[[#This Row],[Year 1 FPTs]]+Table2[[#This Row],[Year 2 FPTs]]+Table2[[#This Row],[Year 3 FPTs]]</f>
        <v>0</v>
      </c>
      <c r="O42" s="7">
        <f>IFERROR(Table2[[#This Row],[Total FPTs]]/Table2[[#This Row],[Total G]],0)</f>
        <v>0</v>
      </c>
      <c r="P42">
        <v>10</v>
      </c>
      <c r="Q42" s="8">
        <f xml:space="preserve"> IFERROR(SUMIFS('College Data By Year'!J:J,'College Data By Year'!A:A,Table2[[#This Row],[Player Name]])/SUMIFS('College Data By Year'!L:L,'College Data By Year'!A:A,Table2[[#This Row],[Player Name]]),"")</f>
        <v>4.9067949488875523E-2</v>
      </c>
      <c r="R42" s="11">
        <f xml:space="preserve"> IFERROR(SUMIFS('College Data By Year'!D:D,'College Data By Year'!A:A,Table2[[#This Row],[Player Name]])/SUMIFS('College Data By Year'!B:B,'College Data By Year'!A:A,Table2[[#This Row],[Player Name]]),"")</f>
        <v>3.5966981132075471E-2</v>
      </c>
      <c r="S42">
        <f>IF(SUMIFS('College Data By Year'!H:H,'College Data By Year'!A:A,Table2[[#This Row],[Player Name]])=0,"",SUMIFS('College Data By Year'!H:H,'College Data By Year'!A:A,Table2[[#This Row],[Player Name]]))</f>
        <v>118.1</v>
      </c>
      <c r="T42" s="7">
        <f>IFERROR(SUMIFS('College Data By Year'!D:D,'College Data By Year'!A:A,Table2[[#This Row],[Player Name]])/SUMIFS('College Data By Year'!E:E,'College Data By Year'!A:A,Table2[[#This Row],[Player Name]]),"")</f>
        <v>1.3555555555555556</v>
      </c>
      <c r="U42" s="7">
        <f>IFERROR(SUMIFS('College Data By Year'!B:B,'College Data By Year'!A:A,Table2[[#This Row],[Player Name]])/SUMIFS('College Data By Year'!I:I,'College Data By Year'!A:A,Table2[[#This Row],[Player Name]]),"")</f>
        <v>4.6850828729281764</v>
      </c>
      <c r="V42">
        <f>IF(SUMIFS('College Data By Year'!F:F,'College Data By Year'!A:A,Table2[[#This Row],[Player Name]])=0,"",SUMIFS('College Data By Year'!F:F,'College Data By Year'!A:A,Table2[[#This Row],[Player Name]]))</f>
        <v>6.3</v>
      </c>
      <c r="W42">
        <f>IF(SUMIFS('College Data By Year'!G:G,'College Data By Year'!A:A,Table2[[#This Row],[Player Name]])=0,"",SUMIFS('College Data By Year'!G:G,'College Data By Year'!A:A,Table2[[#This Row],[Player Name]]))</f>
        <v>5.9</v>
      </c>
      <c r="X4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6.0738581146744415E-2</v>
      </c>
      <c r="Y42">
        <v>4.7699999999999996</v>
      </c>
      <c r="Z42">
        <v>9.75</v>
      </c>
      <c r="AA42" t="s">
        <v>227</v>
      </c>
      <c r="AB42">
        <v>222</v>
      </c>
      <c r="AC42">
        <v>27</v>
      </c>
      <c r="AD42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42">
        <f>ROUND(IF(Table2[[#This Row],[Draft Round]]=1,10,IF(Table2[[#This Row],[Draft Round]]=8,0,10/(20.884*EXP(-0.381*1))*(20.884*EXP(-0.381*Table2[[#This Row],[Draft Round]])))),0)</f>
        <v>2</v>
      </c>
      <c r="AF42">
        <f>ROUND(IF(Table2[[#This Row],[College BF Dominator]]&gt;0.3,10,IF(Table2[[#This Row],[College BF Dominator]]&lt;-0.156,0,10/(20.818*0.3+3.2667)*(20.818*Table2[[#This Row],[College BF Dominator]]+3.2667))),0)</f>
        <v>5</v>
      </c>
      <c r="AG42">
        <f>ROUND(IF(Table2[[#This Row],[College PTDR]]&gt;0.085,10,IF(Table2[[#This Row],[College PTDR]]&lt;0.04,0,10/(105.24*0.085-1.7837)*(105.24*Table2[[#This Row],[College PTDR]]-1.7837))),0)</f>
        <v>0</v>
      </c>
      <c r="AH42">
        <f>ROUND(IF(Table2[[#This Row],[College Passer Rating]]&gt;170,10,IF(Table2[[#This Row],[College Passer Rating]]&lt;112.475,0,10/(0.1495*170-16.815)*(0.1495*Table2[[#This Row],[College Passer Rating]]-16.815))),0)</f>
        <v>1</v>
      </c>
      <c r="AI42">
        <f>ROUND(IF(Table2[[#This Row],[PTD:INT]]&gt;4,10,IF(Table2[[#This Row],[PTD:INT]]&lt;1,0,10/(4.7442*LN(4)+0.4256)*(4.7442*LN(Table2[[#This Row],[PTD:INT]])+0.4256))),0)</f>
        <v>3</v>
      </c>
      <c r="AJ42">
        <f>ROUND(IF(Table2[[#This Row],[Patt:Ratt]]&lt;2.5,10,IF(Table2[[#This Row],[Patt:Ratt]]&gt;15,0,10/(-2.684*LN(2.5)+9.0869)*(-2.684*LN(Table2[[#This Row],[Patt:Ratt]])+9.0869))),0)</f>
        <v>7</v>
      </c>
      <c r="AK42">
        <f>ROUND(IF(Table2[[#This Row],[Y/A]]&gt;9.2,10,IF(Table2[[#This Row],[Y/A]]&lt;6.26,0,10/(2.2619*9.2-14.16)*(2.2619*Table2[[#This Row],[Y/A]]-14.16))),0)</f>
        <v>0</v>
      </c>
      <c r="AL42">
        <f>ROUND(IF(Table2[[#This Row],[AY/A]]&gt;10,10,IF(Table2[[#This Row],[AY/A]]&lt;5.51,0,10/(1.6571*10-9.1312)*(1.6571*Table2[[#This Row],[AY/A]]-9.1312))),0)</f>
        <v>1</v>
      </c>
      <c r="AM42">
        <f>ROUND(IF(Table2[[#This Row],[40 Yd Dash]]&lt;4.75,10,IF(Table2[[#This Row],[40 Yd Dash]]&gt;5.191,0,10/(-66.95*LN(4.75)+110.26)*(-66.95*LN(Table2[[#This Row],[40 Yd Dash]])+110.26))),0)</f>
        <v>10</v>
      </c>
      <c r="AN42">
        <f>ROUND(IF(Table2[[#This Row],[Hand Size]]&gt;10.25,10,IF(Table2[[#This Row],[Hand Size]]&lt;9,0,10/(15.49*LN(10.25)-30.577)*(15.49*LN(Table2[[#This Row],[Hand Size]])-30.577))),0)</f>
        <v>9</v>
      </c>
    </row>
    <row r="43" spans="1:40">
      <c r="A43">
        <v>2018</v>
      </c>
      <c r="B43">
        <v>5</v>
      </c>
      <c r="C43" t="s">
        <v>219</v>
      </c>
      <c r="D43" t="s">
        <v>75</v>
      </c>
      <c r="E43">
        <v>6.1</v>
      </c>
      <c r="F43" t="s">
        <v>231</v>
      </c>
      <c r="G43">
        <f>SUMIFS('NFL QB Data By Year'!$Q:$Q,'NFL QB Data By Year'!$D:$D,Table2[[#This Row],[Player Name]],'NFL QB Data By Year'!$B:$B,Table2[[#This Row],[Draft Year]]+G$1)</f>
        <v>0</v>
      </c>
      <c r="H43">
        <f>SUMIFS('NFL QB Data By Year'!$P:$P,'NFL QB Data By Year'!$D:$D,Table2[[#This Row],[Player Name]],'NFL QB Data By Year'!$B:$B,Table2[[#This Row],[Draft Year]]+H$1)</f>
        <v>0</v>
      </c>
      <c r="I43">
        <f>SUMIFS('NFL QB Data By Year'!$Q:$Q,'NFL QB Data By Year'!$D:$D,Table2[[#This Row],[Player Name]],'NFL QB Data By Year'!$B:$B,Table2[[#This Row],[Draft Year]]+I$1)</f>
        <v>0</v>
      </c>
      <c r="J43">
        <f>SUMIFS('NFL QB Data By Year'!$P:$P,'NFL QB Data By Year'!$D:$D,Table2[[#This Row],[Player Name]],'NFL QB Data By Year'!$B:$B,Table2[[#This Row],[Draft Year]]+J$1)</f>
        <v>0</v>
      </c>
      <c r="K43">
        <f>SUMIFS('NFL QB Data By Year'!$Q:$Q,'NFL QB Data By Year'!$D:$D,Table2[[#This Row],[Player Name]],'NFL QB Data By Year'!$B:$B,Table2[[#This Row],[Draft Year]]+K$1)</f>
        <v>1</v>
      </c>
      <c r="L43">
        <f>SUMIFS('NFL QB Data By Year'!$P:$P,'NFL QB Data By Year'!$D:$D,Table2[[#This Row],[Player Name]],'NFL QB Data By Year'!$B:$B,Table2[[#This Row],[Draft Year]]+L$1)</f>
        <v>0</v>
      </c>
      <c r="M43">
        <f>Table2[[#This Row],[Year 1 G]]+Table2[[#This Row],[Year 2 G]]+Table2[[#This Row],[Year 3 G]]</f>
        <v>1</v>
      </c>
      <c r="N43">
        <f>Table2[[#This Row],[Year 1 FPTs]]+Table2[[#This Row],[Year 2 FPTs]]+Table2[[#This Row],[Year 3 FPTs]]</f>
        <v>0</v>
      </c>
      <c r="O43" s="7">
        <f>IFERROR(Table2[[#This Row],[Total FPTs]]/Table2[[#This Row],[Total G]],0)</f>
        <v>0</v>
      </c>
      <c r="P43">
        <v>10</v>
      </c>
      <c r="Q43" s="8">
        <f xml:space="preserve"> IFERROR(SUMIFS('College Data By Year'!J:J,'College Data By Year'!A:A,Table2[[#This Row],[Player Name]])/SUMIFS('College Data By Year'!L:L,'College Data By Year'!A:A,Table2[[#This Row],[Player Name]]),"")</f>
        <v>-8.1611390866469874E-2</v>
      </c>
      <c r="R43" s="11">
        <f xml:space="preserve"> IFERROR(SUMIFS('College Data By Year'!D:D,'College Data By Year'!A:A,Table2[[#This Row],[Player Name]])/SUMIFS('College Data By Year'!B:B,'College Data By Year'!A:A,Table2[[#This Row],[Player Name]]),"")</f>
        <v>5.3122756640344583E-2</v>
      </c>
      <c r="S43">
        <f>IF(SUMIFS('College Data By Year'!H:H,'College Data By Year'!A:A,Table2[[#This Row],[Player Name]])=0,"",SUMIFS('College Data By Year'!H:H,'College Data By Year'!A:A,Table2[[#This Row],[Player Name]]))</f>
        <v>142.9</v>
      </c>
      <c r="T43" s="7">
        <f>IFERROR(SUMIFS('College Data By Year'!D:D,'College Data By Year'!A:A,Table2[[#This Row],[Player Name]])/SUMIFS('College Data By Year'!E:E,'College Data By Year'!A:A,Table2[[#This Row],[Player Name]]),"")</f>
        <v>2.3870967741935485</v>
      </c>
      <c r="U43" s="7">
        <f>IFERROR(SUMIFS('College Data By Year'!B:B,'College Data By Year'!A:A,Table2[[#This Row],[Player Name]])/SUMIFS('College Data By Year'!I:I,'College Data By Year'!A:A,Table2[[#This Row],[Player Name]]),"")</f>
        <v>10.242647058823529</v>
      </c>
      <c r="V43">
        <f>IF(SUMIFS('College Data By Year'!F:F,'College Data By Year'!A:A,Table2[[#This Row],[Player Name]])=0,"",SUMIFS('College Data By Year'!F:F,'College Data By Year'!A:A,Table2[[#This Row],[Player Name]]))</f>
        <v>8.1</v>
      </c>
      <c r="W43">
        <f>IF(SUMIFS('College Data By Year'!G:G,'College Data By Year'!A:A,Table2[[#This Row],[Player Name]])=0,"",SUMIFS('College Data By Year'!G:G,'College Data By Year'!A:A,Table2[[#This Row],[Player Name]]))</f>
        <v>8.1</v>
      </c>
      <c r="X4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5.8207979071288427E-2</v>
      </c>
      <c r="Y43">
        <v>5.09</v>
      </c>
      <c r="Z43">
        <v>9.5</v>
      </c>
      <c r="AA43" t="s">
        <v>225</v>
      </c>
      <c r="AB43">
        <v>224</v>
      </c>
      <c r="AC43">
        <v>26.6</v>
      </c>
      <c r="AD43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43">
        <f>ROUND(IF(Table2[[#This Row],[Draft Round]]=1,10,IF(Table2[[#This Row],[Draft Round]]=8,0,10/(20.884*EXP(-0.381*1))*(20.884*EXP(-0.381*Table2[[#This Row],[Draft Round]])))),0)</f>
        <v>2</v>
      </c>
      <c r="AF43">
        <f>ROUND(IF(Table2[[#This Row],[College BF Dominator]]&gt;0.3,10,IF(Table2[[#This Row],[College BF Dominator]]&lt;-0.156,0,10/(20.818*0.3+3.2667)*(20.818*Table2[[#This Row],[College BF Dominator]]+3.2667))),0)</f>
        <v>2</v>
      </c>
      <c r="AG43">
        <f>ROUND(IF(Table2[[#This Row],[College PTDR]]&gt;0.085,10,IF(Table2[[#This Row],[College PTDR]]&lt;0.04,0,10/(105.24*0.085-1.7837)*(105.24*Table2[[#This Row],[College PTDR]]-1.7837))),0)</f>
        <v>5</v>
      </c>
      <c r="AH43">
        <f>ROUND(IF(Table2[[#This Row],[College Passer Rating]]&gt;170,10,IF(Table2[[#This Row],[College Passer Rating]]&lt;112.475,0,10/(0.1495*170-16.815)*(0.1495*Table2[[#This Row],[College Passer Rating]]-16.815))),0)</f>
        <v>5</v>
      </c>
      <c r="AI43">
        <f>ROUND(IF(Table2[[#This Row],[PTD:INT]]&gt;4,10,IF(Table2[[#This Row],[PTD:INT]]&lt;1,0,10/(4.7442*LN(4)+0.4256)*(4.7442*LN(Table2[[#This Row],[PTD:INT]])+0.4256))),0)</f>
        <v>7</v>
      </c>
      <c r="AJ43">
        <f>ROUND(IF(Table2[[#This Row],[Patt:Ratt]]&lt;2.5,10,IF(Table2[[#This Row],[Patt:Ratt]]&gt;15,0,10/(-2.684*LN(2.5)+9.0869)*(-2.684*LN(Table2[[#This Row],[Patt:Ratt]])+9.0869))),0)</f>
        <v>4</v>
      </c>
      <c r="AK43">
        <f>ROUND(IF(Table2[[#This Row],[Y/A]]&gt;9.2,10,IF(Table2[[#This Row],[Y/A]]&lt;6.26,0,10/(2.2619*9.2-14.16)*(2.2619*Table2[[#This Row],[Y/A]]-14.16))),0)</f>
        <v>6</v>
      </c>
      <c r="AL43">
        <f>ROUND(IF(Table2[[#This Row],[AY/A]]&gt;10,10,IF(Table2[[#This Row],[AY/A]]&lt;5.51,0,10/(1.6571*10-9.1312)*(1.6571*Table2[[#This Row],[AY/A]]-9.1312))),0)</f>
        <v>6</v>
      </c>
      <c r="AM43">
        <f>ROUND(IF(Table2[[#This Row],[40 Yd Dash]]&lt;4.75,10,IF(Table2[[#This Row],[40 Yd Dash]]&gt;5.191,0,10/(-66.95*LN(4.75)+110.26)*(-66.95*LN(Table2[[#This Row],[40 Yd Dash]])+110.26))),0)</f>
        <v>2</v>
      </c>
      <c r="AN43">
        <f>ROUND(IF(Table2[[#This Row],[Hand Size]]&gt;10.25,10,IF(Table2[[#This Row],[Hand Size]]&lt;9,0,10/(15.49*LN(10.25)-30.577)*(15.49*LN(Table2[[#This Row],[Hand Size]])-30.577))),0)</f>
        <v>8</v>
      </c>
    </row>
    <row r="44" spans="1:40">
      <c r="A44">
        <v>2019</v>
      </c>
      <c r="B44">
        <v>6</v>
      </c>
      <c r="C44" t="s">
        <v>219</v>
      </c>
      <c r="D44" t="s">
        <v>104</v>
      </c>
      <c r="E44">
        <v>5.6</v>
      </c>
      <c r="F44" t="s">
        <v>236</v>
      </c>
      <c r="G44">
        <f>SUMIFS('NFL QB Data By Year'!$Q:$Q,'NFL QB Data By Year'!$D:$D,Table2[[#This Row],[Player Name]],'NFL QB Data By Year'!$B:$B,Table2[[#This Row],[Draft Year]]+G$1)</f>
        <v>14</v>
      </c>
      <c r="H44">
        <f>SUMIFS('NFL QB Data By Year'!$P:$P,'NFL QB Data By Year'!$D:$D,Table2[[#This Row],[Player Name]],'NFL QB Data By Year'!$B:$B,Table2[[#This Row],[Draft Year]]+H$1)</f>
        <v>235.3</v>
      </c>
      <c r="I44">
        <f>SUMIFS('NFL QB Data By Year'!$Q:$Q,'NFL QB Data By Year'!$D:$D,Table2[[#This Row],[Player Name]],'NFL QB Data By Year'!$B:$B,Table2[[#This Row],[Draft Year]]+I$1)</f>
        <v>9</v>
      </c>
      <c r="J44">
        <f>SUMIFS('NFL QB Data By Year'!$P:$P,'NFL QB Data By Year'!$D:$D,Table2[[#This Row],[Player Name]],'NFL QB Data By Year'!$B:$B,Table2[[#This Row],[Draft Year]]+J$1)</f>
        <v>165</v>
      </c>
      <c r="K44">
        <f>SUMIFS('NFL QB Data By Year'!$Q:$Q,'NFL QB Data By Year'!$D:$D,Table2[[#This Row],[Player Name]],'NFL QB Data By Year'!$B:$B,Table2[[#This Row],[Draft Year]]+K$1)</f>
        <v>3</v>
      </c>
      <c r="L44">
        <f>SUMIFS('NFL QB Data By Year'!$P:$P,'NFL QB Data By Year'!$D:$D,Table2[[#This Row],[Player Name]],'NFL QB Data By Year'!$B:$B,Table2[[#This Row],[Draft Year]]+L$1)</f>
        <v>34.6</v>
      </c>
      <c r="M44">
        <f>Table2[[#This Row],[Year 1 G]]+Table2[[#This Row],[Year 2 G]]+Table2[[#This Row],[Year 3 G]]</f>
        <v>26</v>
      </c>
      <c r="N44">
        <f>Table2[[#This Row],[Year 1 FPTs]]+Table2[[#This Row],[Year 2 FPTs]]+Table2[[#This Row],[Year 3 FPTs]]</f>
        <v>434.90000000000003</v>
      </c>
      <c r="O44" s="7">
        <f>IFERROR(Table2[[#This Row],[Total FPTs]]/Table2[[#This Row],[Total G]],0)</f>
        <v>16.726923076923079</v>
      </c>
      <c r="P44">
        <v>3</v>
      </c>
      <c r="Q44" s="8">
        <f xml:space="preserve"> IFERROR(SUMIFS('College Data By Year'!J:J,'College Data By Year'!A:A,Table2[[#This Row],[Player Name]])/SUMIFS('College Data By Year'!L:L,'College Data By Year'!A:A,Table2[[#This Row],[Player Name]]),"")</f>
        <v>1.1051143664867643E-2</v>
      </c>
      <c r="R44" s="11">
        <f xml:space="preserve"> IFERROR(SUMIFS('College Data By Year'!D:D,'College Data By Year'!A:A,Table2[[#This Row],[Player Name]])/SUMIFS('College Data By Year'!B:B,'College Data By Year'!A:A,Table2[[#This Row],[Player Name]]),"")</f>
        <v>5.3082191780821915E-2</v>
      </c>
      <c r="S44">
        <f>IF(SUMIFS('College Data By Year'!H:H,'College Data By Year'!A:A,Table2[[#This Row],[Player Name]])=0,"",SUMIFS('College Data By Year'!H:H,'College Data By Year'!A:A,Table2[[#This Row],[Player Name]]))</f>
        <v>138.69999999999999</v>
      </c>
      <c r="T44" s="7">
        <f>IFERROR(SUMIFS('College Data By Year'!D:D,'College Data By Year'!A:A,Table2[[#This Row],[Player Name]])/SUMIFS('College Data By Year'!E:E,'College Data By Year'!A:A,Table2[[#This Row],[Player Name]]),"")</f>
        <v>3.1</v>
      </c>
      <c r="U44" s="7">
        <f>IFERROR(SUMIFS('College Data By Year'!B:B,'College Data By Year'!A:A,Table2[[#This Row],[Player Name]])/SUMIFS('College Data By Year'!I:I,'College Data By Year'!A:A,Table2[[#This Row],[Player Name]]),"")</f>
        <v>12.166666666666666</v>
      </c>
      <c r="V44">
        <f>IF(SUMIFS('College Data By Year'!F:F,'College Data By Year'!A:A,Table2[[#This Row],[Player Name]])=0,"",SUMIFS('College Data By Year'!F:F,'College Data By Year'!A:A,Table2[[#This Row],[Player Name]]))</f>
        <v>7.1</v>
      </c>
      <c r="W44">
        <f>IF(SUMIFS('College Data By Year'!G:G,'College Data By Year'!A:A,Table2[[#This Row],[Player Name]])=0,"",SUMIFS('College Data By Year'!G:G,'College Data By Year'!A:A,Table2[[#This Row],[Player Name]]))</f>
        <v>7.4</v>
      </c>
      <c r="X4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2.3734177215189875E-2</v>
      </c>
      <c r="Y44">
        <v>4.97</v>
      </c>
      <c r="Z44">
        <v>10.125</v>
      </c>
      <c r="AA44" t="s">
        <v>228</v>
      </c>
      <c r="AB44">
        <v>225</v>
      </c>
      <c r="AC44">
        <v>29.7</v>
      </c>
      <c r="AD44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44">
        <f>ROUND(IF(Table2[[#This Row],[Draft Round]]=1,10,IF(Table2[[#This Row],[Draft Round]]=8,0,10/(20.884*EXP(-0.381*1))*(20.884*EXP(-0.381*Table2[[#This Row],[Draft Round]])))),0)</f>
        <v>1</v>
      </c>
      <c r="AF44">
        <f>ROUND(IF(Table2[[#This Row],[College BF Dominator]]&gt;0.3,10,IF(Table2[[#This Row],[College BF Dominator]]&lt;-0.156,0,10/(20.818*0.3+3.2667)*(20.818*Table2[[#This Row],[College BF Dominator]]+3.2667))),0)</f>
        <v>4</v>
      </c>
      <c r="AG44">
        <f>ROUND(IF(Table2[[#This Row],[College PTDR]]&gt;0.085,10,IF(Table2[[#This Row],[College PTDR]]&lt;0.04,0,10/(105.24*0.085-1.7837)*(105.24*Table2[[#This Row],[College PTDR]]-1.7837))),0)</f>
        <v>5</v>
      </c>
      <c r="AH44">
        <f>ROUND(IF(Table2[[#This Row],[College Passer Rating]]&gt;170,10,IF(Table2[[#This Row],[College Passer Rating]]&lt;112.475,0,10/(0.1495*170-16.815)*(0.1495*Table2[[#This Row],[College Passer Rating]]-16.815))),0)</f>
        <v>5</v>
      </c>
      <c r="AI44">
        <f>ROUND(IF(Table2[[#This Row],[PTD:INT]]&gt;4,10,IF(Table2[[#This Row],[PTD:INT]]&lt;1,0,10/(4.7442*LN(4)+0.4256)*(4.7442*LN(Table2[[#This Row],[PTD:INT]])+0.4256))),0)</f>
        <v>8</v>
      </c>
      <c r="AJ44">
        <f>ROUND(IF(Table2[[#This Row],[Patt:Ratt]]&lt;2.5,10,IF(Table2[[#This Row],[Patt:Ratt]]&gt;15,0,10/(-2.684*LN(2.5)+9.0869)*(-2.684*LN(Table2[[#This Row],[Patt:Ratt]])+9.0869))),0)</f>
        <v>4</v>
      </c>
      <c r="AK44">
        <f>ROUND(IF(Table2[[#This Row],[Y/A]]&gt;9.2,10,IF(Table2[[#This Row],[Y/A]]&lt;6.26,0,10/(2.2619*9.2-14.16)*(2.2619*Table2[[#This Row],[Y/A]]-14.16))),0)</f>
        <v>3</v>
      </c>
      <c r="AL44">
        <f>ROUND(IF(Table2[[#This Row],[AY/A]]&gt;10,10,IF(Table2[[#This Row],[AY/A]]&lt;5.51,0,10/(1.6571*10-9.1312)*(1.6571*Table2[[#This Row],[AY/A]]-9.1312))),0)</f>
        <v>4</v>
      </c>
      <c r="AM44">
        <f>ROUND(IF(Table2[[#This Row],[40 Yd Dash]]&lt;4.75,10,IF(Table2[[#This Row],[40 Yd Dash]]&gt;5.191,0,10/(-66.95*LN(4.75)+110.26)*(-66.95*LN(Table2[[#This Row],[40 Yd Dash]])+110.26))),0)</f>
        <v>5</v>
      </c>
      <c r="AN44">
        <f>ROUND(IF(Table2[[#This Row],[Hand Size]]&gt;10.25,10,IF(Table2[[#This Row],[Hand Size]]&lt;9,0,10/(15.49*LN(10.25)-30.577)*(15.49*LN(Table2[[#This Row],[Hand Size]])-30.577))),0)</f>
        <v>10</v>
      </c>
    </row>
    <row r="45" spans="1:40">
      <c r="A45">
        <v>2016</v>
      </c>
      <c r="B45">
        <v>6</v>
      </c>
      <c r="C45" t="s">
        <v>219</v>
      </c>
      <c r="D45" t="s">
        <v>87</v>
      </c>
      <c r="E45">
        <v>5.6</v>
      </c>
      <c r="F45" t="s">
        <v>236</v>
      </c>
      <c r="G45">
        <f>SUMIFS('NFL QB Data By Year'!$Q:$Q,'NFL QB Data By Year'!$D:$D,Table2[[#This Row],[Player Name]],'NFL QB Data By Year'!$B:$B,Table2[[#This Row],[Draft Year]]+G$1)</f>
        <v>0</v>
      </c>
      <c r="H45">
        <f>SUMIFS('NFL QB Data By Year'!$P:$P,'NFL QB Data By Year'!$D:$D,Table2[[#This Row],[Player Name]],'NFL QB Data By Year'!$B:$B,Table2[[#This Row],[Draft Year]]+H$1)</f>
        <v>0</v>
      </c>
      <c r="I45">
        <f>SUMIFS('NFL QB Data By Year'!$Q:$Q,'NFL QB Data By Year'!$D:$D,Table2[[#This Row],[Player Name]],'NFL QB Data By Year'!$B:$B,Table2[[#This Row],[Draft Year]]+I$1)</f>
        <v>0</v>
      </c>
      <c r="J45">
        <f>SUMIFS('NFL QB Data By Year'!$P:$P,'NFL QB Data By Year'!$D:$D,Table2[[#This Row],[Player Name]],'NFL QB Data By Year'!$B:$B,Table2[[#This Row],[Draft Year]]+J$1)</f>
        <v>0</v>
      </c>
      <c r="K45">
        <f>SUMIFS('NFL QB Data By Year'!$Q:$Q,'NFL QB Data By Year'!$D:$D,Table2[[#This Row],[Player Name]],'NFL QB Data By Year'!$B:$B,Table2[[#This Row],[Draft Year]]+K$1)</f>
        <v>9</v>
      </c>
      <c r="L45">
        <f>SUMIFS('NFL QB Data By Year'!$P:$P,'NFL QB Data By Year'!$D:$D,Table2[[#This Row],[Player Name]],'NFL QB Data By Year'!$B:$B,Table2[[#This Row],[Draft Year]]+L$1)</f>
        <v>85.1</v>
      </c>
      <c r="M45">
        <f>Table2[[#This Row],[Year 1 G]]+Table2[[#This Row],[Year 2 G]]+Table2[[#This Row],[Year 3 G]]</f>
        <v>9</v>
      </c>
      <c r="N45">
        <f>Table2[[#This Row],[Year 1 FPTs]]+Table2[[#This Row],[Year 2 FPTs]]+Table2[[#This Row],[Year 3 FPTs]]</f>
        <v>85.1</v>
      </c>
      <c r="O45" s="7">
        <f>IFERROR(Table2[[#This Row],[Total FPTs]]/Table2[[#This Row],[Total G]],0)</f>
        <v>9.4555555555555557</v>
      </c>
      <c r="P45">
        <v>6</v>
      </c>
      <c r="Q45" s="8">
        <f xml:space="preserve"> IFERROR(SUMIFS('College Data By Year'!J:J,'College Data By Year'!A:A,Table2[[#This Row],[Player Name]])/SUMIFS('College Data By Year'!L:L,'College Data By Year'!A:A,Table2[[#This Row],[Player Name]]),"")</f>
        <v>9.3686746987951805E-2</v>
      </c>
      <c r="R45" s="11">
        <f xml:space="preserve"> IFERROR(SUMIFS('College Data By Year'!D:D,'College Data By Year'!A:A,Table2[[#This Row],[Player Name]])/SUMIFS('College Data By Year'!B:B,'College Data By Year'!A:A,Table2[[#This Row],[Player Name]]),"")</f>
        <v>0.05</v>
      </c>
      <c r="S45">
        <f>IF(SUMIFS('College Data By Year'!H:H,'College Data By Year'!A:A,Table2[[#This Row],[Player Name]])=0,"",SUMIFS('College Data By Year'!H:H,'College Data By Year'!A:A,Table2[[#This Row],[Player Name]]))</f>
        <v>134.1</v>
      </c>
      <c r="T45" s="7">
        <f>IFERROR(SUMIFS('College Data By Year'!D:D,'College Data By Year'!A:A,Table2[[#This Row],[Player Name]])/SUMIFS('College Data By Year'!E:E,'College Data By Year'!A:A,Table2[[#This Row],[Player Name]]),"")</f>
        <v>1.7857142857142858</v>
      </c>
      <c r="U45" s="7">
        <f>IFERROR(SUMIFS('College Data By Year'!B:B,'College Data By Year'!A:A,Table2[[#This Row],[Player Name]])/SUMIFS('College Data By Year'!I:I,'College Data By Year'!A:A,Table2[[#This Row],[Player Name]]),"")</f>
        <v>3.2051282051282053</v>
      </c>
      <c r="V45">
        <f>IF(SUMIFS('College Data By Year'!F:F,'College Data By Year'!A:A,Table2[[#This Row],[Player Name]])=0,"",SUMIFS('College Data By Year'!F:F,'College Data By Year'!A:A,Table2[[#This Row],[Player Name]]))</f>
        <v>7.4</v>
      </c>
      <c r="W45">
        <f>IF(SUMIFS('College Data By Year'!G:G,'College Data By Year'!A:A,Table2[[#This Row],[Player Name]])=0,"",SUMIFS('College Data By Year'!G:G,'College Data By Year'!A:A,Table2[[#This Row],[Player Name]]))</f>
        <v>7.2</v>
      </c>
      <c r="X4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5.6402439024390245E-2</v>
      </c>
      <c r="Y45">
        <v>4.5599999999999996</v>
      </c>
      <c r="Z45">
        <v>9.75</v>
      </c>
      <c r="AA45" t="s">
        <v>227</v>
      </c>
      <c r="AB45">
        <v>234</v>
      </c>
      <c r="AC45">
        <v>28.5</v>
      </c>
      <c r="AD45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45">
        <f>ROUND(IF(Table2[[#This Row],[Draft Round]]=1,10,IF(Table2[[#This Row],[Draft Round]]=8,0,10/(20.884*EXP(-0.381*1))*(20.884*EXP(-0.381*Table2[[#This Row],[Draft Round]])))),0)</f>
        <v>1</v>
      </c>
      <c r="AF45">
        <f>ROUND(IF(Table2[[#This Row],[College BF Dominator]]&gt;0.3,10,IF(Table2[[#This Row],[College BF Dominator]]&lt;-0.156,0,10/(20.818*0.3+3.2667)*(20.818*Table2[[#This Row],[College BF Dominator]]+3.2667))),0)</f>
        <v>5</v>
      </c>
      <c r="AG45">
        <f>ROUND(IF(Table2[[#This Row],[College PTDR]]&gt;0.085,10,IF(Table2[[#This Row],[College PTDR]]&lt;0.04,0,10/(105.24*0.085-1.7837)*(105.24*Table2[[#This Row],[College PTDR]]-1.7837))),0)</f>
        <v>5</v>
      </c>
      <c r="AH45">
        <f>ROUND(IF(Table2[[#This Row],[College Passer Rating]]&gt;170,10,IF(Table2[[#This Row],[College Passer Rating]]&lt;112.475,0,10/(0.1495*170-16.815)*(0.1495*Table2[[#This Row],[College Passer Rating]]-16.815))),0)</f>
        <v>4</v>
      </c>
      <c r="AI45">
        <f>ROUND(IF(Table2[[#This Row],[PTD:INT]]&gt;4,10,IF(Table2[[#This Row],[PTD:INT]]&lt;1,0,10/(4.7442*LN(4)+0.4256)*(4.7442*LN(Table2[[#This Row],[PTD:INT]])+0.4256))),0)</f>
        <v>5</v>
      </c>
      <c r="AJ45">
        <f>ROUND(IF(Table2[[#This Row],[Patt:Ratt]]&lt;2.5,10,IF(Table2[[#This Row],[Patt:Ratt]]&gt;15,0,10/(-2.684*LN(2.5)+9.0869)*(-2.684*LN(Table2[[#This Row],[Patt:Ratt]])+9.0869))),0)</f>
        <v>9</v>
      </c>
      <c r="AK45">
        <f>ROUND(IF(Table2[[#This Row],[Y/A]]&gt;9.2,10,IF(Table2[[#This Row],[Y/A]]&lt;6.26,0,10/(2.2619*9.2-14.16)*(2.2619*Table2[[#This Row],[Y/A]]-14.16))),0)</f>
        <v>4</v>
      </c>
      <c r="AL45">
        <f>ROUND(IF(Table2[[#This Row],[AY/A]]&gt;10,10,IF(Table2[[#This Row],[AY/A]]&lt;5.51,0,10/(1.6571*10-9.1312)*(1.6571*Table2[[#This Row],[AY/A]]-9.1312))),0)</f>
        <v>4</v>
      </c>
      <c r="AM45">
        <f>ROUND(IF(Table2[[#This Row],[40 Yd Dash]]&lt;4.75,10,IF(Table2[[#This Row],[40 Yd Dash]]&gt;5.191,0,10/(-66.95*LN(4.75)+110.26)*(-66.95*LN(Table2[[#This Row],[40 Yd Dash]])+110.26))),0)</f>
        <v>10</v>
      </c>
      <c r="AN45">
        <f>ROUND(IF(Table2[[#This Row],[Hand Size]]&gt;10.25,10,IF(Table2[[#This Row],[Hand Size]]&lt;9,0,10/(15.49*LN(10.25)-30.577)*(15.49*LN(Table2[[#This Row],[Hand Size]])-30.577))),0)</f>
        <v>9</v>
      </c>
    </row>
    <row r="46" spans="1:40">
      <c r="A46">
        <v>2016</v>
      </c>
      <c r="B46">
        <v>6</v>
      </c>
      <c r="C46" t="s">
        <v>219</v>
      </c>
      <c r="D46" t="s">
        <v>84</v>
      </c>
      <c r="E46">
        <v>5.8</v>
      </c>
      <c r="F46" t="s">
        <v>234</v>
      </c>
      <c r="G46">
        <f>SUMIFS('NFL QB Data By Year'!$Q:$Q,'NFL QB Data By Year'!$D:$D,Table2[[#This Row],[Player Name]],'NFL QB Data By Year'!$B:$B,Table2[[#This Row],[Draft Year]]+G$1)</f>
        <v>0</v>
      </c>
      <c r="H46">
        <f>SUMIFS('NFL QB Data By Year'!$P:$P,'NFL QB Data By Year'!$D:$D,Table2[[#This Row],[Player Name]],'NFL QB Data By Year'!$B:$B,Table2[[#This Row],[Draft Year]]+H$1)</f>
        <v>0</v>
      </c>
      <c r="I46">
        <f>SUMIFS('NFL QB Data By Year'!$Q:$Q,'NFL QB Data By Year'!$D:$D,Table2[[#This Row],[Player Name]],'NFL QB Data By Year'!$B:$B,Table2[[#This Row],[Draft Year]]+I$1)</f>
        <v>1</v>
      </c>
      <c r="J46">
        <f>SUMIFS('NFL QB Data By Year'!$P:$P,'NFL QB Data By Year'!$D:$D,Table2[[#This Row],[Player Name]],'NFL QB Data By Year'!$B:$B,Table2[[#This Row],[Draft Year]]+J$1)</f>
        <v>7.6</v>
      </c>
      <c r="K46">
        <f>SUMIFS('NFL QB Data By Year'!$Q:$Q,'NFL QB Data By Year'!$D:$D,Table2[[#This Row],[Player Name]],'NFL QB Data By Year'!$B:$B,Table2[[#This Row],[Draft Year]]+K$1)</f>
        <v>2</v>
      </c>
      <c r="L46">
        <f>SUMIFS('NFL QB Data By Year'!$P:$P,'NFL QB Data By Year'!$D:$D,Table2[[#This Row],[Player Name]],'NFL QB Data By Year'!$B:$B,Table2[[#This Row],[Draft Year]]+L$1)</f>
        <v>4.7</v>
      </c>
      <c r="M46">
        <f>Table2[[#This Row],[Year 1 G]]+Table2[[#This Row],[Year 2 G]]+Table2[[#This Row],[Year 3 G]]</f>
        <v>3</v>
      </c>
      <c r="N46">
        <f>Table2[[#This Row],[Year 1 FPTs]]+Table2[[#This Row],[Year 2 FPTs]]+Table2[[#This Row],[Year 3 FPTs]]</f>
        <v>12.3</v>
      </c>
      <c r="O46" s="7">
        <f>IFERROR(Table2[[#This Row],[Total FPTs]]/Table2[[#This Row],[Total G]],0)</f>
        <v>4.1000000000000005</v>
      </c>
      <c r="P46">
        <v>8</v>
      </c>
      <c r="Q46" s="8">
        <f xml:space="preserve"> IFERROR(SUMIFS('College Data By Year'!J:J,'College Data By Year'!A:A,Table2[[#This Row],[Player Name]])/SUMIFS('College Data By Year'!L:L,'College Data By Year'!A:A,Table2[[#This Row],[Player Name]]),"")</f>
        <v>1.3345465574764938E-2</v>
      </c>
      <c r="R46" s="11">
        <f xml:space="preserve"> IFERROR(SUMIFS('College Data By Year'!D:D,'College Data By Year'!A:A,Table2[[#This Row],[Player Name]])/SUMIFS('College Data By Year'!B:B,'College Data By Year'!A:A,Table2[[#This Row],[Player Name]]),"")</f>
        <v>6.2054933875890131E-2</v>
      </c>
      <c r="S46">
        <f>IF(SUMIFS('College Data By Year'!H:H,'College Data By Year'!A:A,Table2[[#This Row],[Player Name]])=0,"",SUMIFS('College Data By Year'!H:H,'College Data By Year'!A:A,Table2[[#This Row],[Player Name]]))</f>
        <v>144.1</v>
      </c>
      <c r="T46" s="7">
        <f>IFERROR(SUMIFS('College Data By Year'!D:D,'College Data By Year'!A:A,Table2[[#This Row],[Player Name]])/SUMIFS('College Data By Year'!E:E,'College Data By Year'!A:A,Table2[[#This Row],[Player Name]]),"")</f>
        <v>3.05</v>
      </c>
      <c r="U46" s="7">
        <f>IFERROR(SUMIFS('College Data By Year'!B:B,'College Data By Year'!A:A,Table2[[#This Row],[Player Name]])/SUMIFS('College Data By Year'!I:I,'College Data By Year'!A:A,Table2[[#This Row],[Player Name]]),"")</f>
        <v>7.2814814814814817</v>
      </c>
      <c r="V46">
        <f>IF(SUMIFS('College Data By Year'!F:F,'College Data By Year'!A:A,Table2[[#This Row],[Player Name]])=0,"",SUMIFS('College Data By Year'!F:F,'College Data By Year'!A:A,Table2[[#This Row],[Player Name]]))</f>
        <v>8</v>
      </c>
      <c r="W46">
        <f>IF(SUMIFS('College Data By Year'!G:G,'College Data By Year'!A:A,Table2[[#This Row],[Player Name]])=0,"",SUMIFS('College Data By Year'!G:G,'College Data By Year'!A:A,Table2[[#This Row],[Player Name]]))</f>
        <v>8.3000000000000007</v>
      </c>
      <c r="X4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3.3094812164579608E-2</v>
      </c>
      <c r="Y46">
        <v>5.0199999999999996</v>
      </c>
      <c r="Z46">
        <v>9.875</v>
      </c>
      <c r="AA46" t="s">
        <v>235</v>
      </c>
      <c r="AB46">
        <v>234</v>
      </c>
      <c r="AC46">
        <v>27</v>
      </c>
      <c r="AD46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46">
        <f>ROUND(IF(Table2[[#This Row],[Draft Round]]=1,10,IF(Table2[[#This Row],[Draft Round]]=8,0,10/(20.884*EXP(-0.381*1))*(20.884*EXP(-0.381*Table2[[#This Row],[Draft Round]])))),0)</f>
        <v>1</v>
      </c>
      <c r="AF46">
        <f>ROUND(IF(Table2[[#This Row],[College BF Dominator]]&gt;0.3,10,IF(Table2[[#This Row],[College BF Dominator]]&lt;-0.156,0,10/(20.818*0.3+3.2667)*(20.818*Table2[[#This Row],[College BF Dominator]]+3.2667))),0)</f>
        <v>4</v>
      </c>
      <c r="AG46">
        <f>ROUND(IF(Table2[[#This Row],[College PTDR]]&gt;0.085,10,IF(Table2[[#This Row],[College PTDR]]&lt;0.04,0,10/(105.24*0.085-1.7837)*(105.24*Table2[[#This Row],[College PTDR]]-1.7837))),0)</f>
        <v>7</v>
      </c>
      <c r="AH46">
        <f>ROUND(IF(Table2[[#This Row],[College Passer Rating]]&gt;170,10,IF(Table2[[#This Row],[College Passer Rating]]&lt;112.475,0,10/(0.1495*170-16.815)*(0.1495*Table2[[#This Row],[College Passer Rating]]-16.815))),0)</f>
        <v>5</v>
      </c>
      <c r="AI46">
        <f>ROUND(IF(Table2[[#This Row],[PTD:INT]]&gt;4,10,IF(Table2[[#This Row],[PTD:INT]]&lt;1,0,10/(4.7442*LN(4)+0.4256)*(4.7442*LN(Table2[[#This Row],[PTD:INT]])+0.4256))),0)</f>
        <v>8</v>
      </c>
      <c r="AJ46">
        <f>ROUND(IF(Table2[[#This Row],[Patt:Ratt]]&lt;2.5,10,IF(Table2[[#This Row],[Patt:Ratt]]&gt;15,0,10/(-2.684*LN(2.5)+9.0869)*(-2.684*LN(Table2[[#This Row],[Patt:Ratt]])+9.0869))),0)</f>
        <v>6</v>
      </c>
      <c r="AK46">
        <f>ROUND(IF(Table2[[#This Row],[Y/A]]&gt;9.2,10,IF(Table2[[#This Row],[Y/A]]&lt;6.26,0,10/(2.2619*9.2-14.16)*(2.2619*Table2[[#This Row],[Y/A]]-14.16))),0)</f>
        <v>6</v>
      </c>
      <c r="AL46">
        <f>ROUND(IF(Table2[[#This Row],[AY/A]]&gt;10,10,IF(Table2[[#This Row],[AY/A]]&lt;5.51,0,10/(1.6571*10-9.1312)*(1.6571*Table2[[#This Row],[AY/A]]-9.1312))),0)</f>
        <v>6</v>
      </c>
      <c r="AM46">
        <f>ROUND(IF(Table2[[#This Row],[40 Yd Dash]]&lt;4.75,10,IF(Table2[[#This Row],[40 Yd Dash]]&gt;5.191,0,10/(-66.95*LN(4.75)+110.26)*(-66.95*LN(Table2[[#This Row],[40 Yd Dash]])+110.26))),0)</f>
        <v>4</v>
      </c>
      <c r="AN46">
        <f>ROUND(IF(Table2[[#This Row],[Hand Size]]&gt;10.25,10,IF(Table2[[#This Row],[Hand Size]]&lt;9,0,10/(15.49*LN(10.25)-30.577)*(15.49*LN(Table2[[#This Row],[Hand Size]])-30.577))),0)</f>
        <v>9</v>
      </c>
    </row>
    <row r="47" spans="1:40">
      <c r="A47">
        <v>2018</v>
      </c>
      <c r="B47">
        <v>6</v>
      </c>
      <c r="C47" t="s">
        <v>219</v>
      </c>
      <c r="D47" t="s">
        <v>78</v>
      </c>
      <c r="E47">
        <v>6.1</v>
      </c>
      <c r="F47" t="s">
        <v>231</v>
      </c>
      <c r="G47">
        <f>SUMIFS('NFL QB Data By Year'!$Q:$Q,'NFL QB Data By Year'!$D:$D,Table2[[#This Row],[Player Name]],'NFL QB Data By Year'!$B:$B,Table2[[#This Row],[Draft Year]]+G$1)</f>
        <v>0</v>
      </c>
      <c r="H47">
        <f>SUMIFS('NFL QB Data By Year'!$P:$P,'NFL QB Data By Year'!$D:$D,Table2[[#This Row],[Player Name]],'NFL QB Data By Year'!$B:$B,Table2[[#This Row],[Draft Year]]+H$1)</f>
        <v>0</v>
      </c>
      <c r="I47">
        <f>SUMIFS('NFL QB Data By Year'!$Q:$Q,'NFL QB Data By Year'!$D:$D,Table2[[#This Row],[Player Name]],'NFL QB Data By Year'!$B:$B,Table2[[#This Row],[Draft Year]]+I$1)</f>
        <v>3</v>
      </c>
      <c r="J47">
        <f>SUMIFS('NFL QB Data By Year'!$P:$P,'NFL QB Data By Year'!$D:$D,Table2[[#This Row],[Player Name]],'NFL QB Data By Year'!$B:$B,Table2[[#This Row],[Draft Year]]+J$1)</f>
        <v>11.6</v>
      </c>
      <c r="K47">
        <f>SUMIFS('NFL QB Data By Year'!$Q:$Q,'NFL QB Data By Year'!$D:$D,Table2[[#This Row],[Player Name]],'NFL QB Data By Year'!$B:$B,Table2[[#This Row],[Draft Year]]+K$1)</f>
        <v>0</v>
      </c>
      <c r="L47">
        <f>SUMIFS('NFL QB Data By Year'!$P:$P,'NFL QB Data By Year'!$D:$D,Table2[[#This Row],[Player Name]],'NFL QB Data By Year'!$B:$B,Table2[[#This Row],[Draft Year]]+L$1)</f>
        <v>0</v>
      </c>
      <c r="M47">
        <f>Table2[[#This Row],[Year 1 G]]+Table2[[#This Row],[Year 2 G]]+Table2[[#This Row],[Year 3 G]]</f>
        <v>3</v>
      </c>
      <c r="N47">
        <f>Table2[[#This Row],[Year 1 FPTs]]+Table2[[#This Row],[Year 2 FPTs]]+Table2[[#This Row],[Year 3 FPTs]]</f>
        <v>11.6</v>
      </c>
      <c r="O47" s="7">
        <f>IFERROR(Table2[[#This Row],[Total FPTs]]/Table2[[#This Row],[Total G]],0)</f>
        <v>3.8666666666666667</v>
      </c>
      <c r="P47">
        <v>8</v>
      </c>
      <c r="Q47" s="8">
        <f xml:space="preserve"> IFERROR(SUMIFS('College Data By Year'!J:J,'College Data By Year'!A:A,Table2[[#This Row],[Player Name]])/SUMIFS('College Data By Year'!L:L,'College Data By Year'!A:A,Table2[[#This Row],[Player Name]]),"")</f>
        <v>-0.10080645161290322</v>
      </c>
      <c r="R47" s="11">
        <f xml:space="preserve"> IFERROR(SUMIFS('College Data By Year'!D:D,'College Data By Year'!A:A,Table2[[#This Row],[Player Name]])/SUMIFS('College Data By Year'!B:B,'College Data By Year'!A:A,Table2[[#This Row],[Player Name]]),"")</f>
        <v>5.7935735150925025E-2</v>
      </c>
      <c r="S47">
        <f>IF(SUMIFS('College Data By Year'!H:H,'College Data By Year'!A:A,Table2[[#This Row],[Player Name]])=0,"",SUMIFS('College Data By Year'!H:H,'College Data By Year'!A:A,Table2[[#This Row],[Player Name]]))</f>
        <v>142.80000000000001</v>
      </c>
      <c r="T47" s="7">
        <f>IFERROR(SUMIFS('College Data By Year'!D:D,'College Data By Year'!A:A,Table2[[#This Row],[Player Name]])/SUMIFS('College Data By Year'!E:E,'College Data By Year'!A:A,Table2[[#This Row],[Player Name]]),"")</f>
        <v>3.0512820512820511</v>
      </c>
      <c r="U47" s="7">
        <f>IFERROR(SUMIFS('College Data By Year'!B:B,'College Data By Year'!A:A,Table2[[#This Row],[Player Name]])/SUMIFS('College Data By Year'!I:I,'College Data By Year'!A:A,Table2[[#This Row],[Player Name]]),"")</f>
        <v>8.1832669322709162</v>
      </c>
      <c r="V47">
        <f>IF(SUMIFS('College Data By Year'!F:F,'College Data By Year'!A:A,Table2[[#This Row],[Player Name]])=0,"",SUMIFS('College Data By Year'!F:F,'College Data By Year'!A:A,Table2[[#This Row],[Player Name]]))</f>
        <v>7.1</v>
      </c>
      <c r="W47">
        <f>IF(SUMIFS('College Data By Year'!G:G,'College Data By Year'!A:A,Table2[[#This Row],[Player Name]])=0,"",SUMIFS('College Data By Year'!G:G,'College Data By Year'!A:A,Table2[[#This Row],[Player Name]]))</f>
        <v>7.4</v>
      </c>
      <c r="X4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5.2928416485900215E-2</v>
      </c>
      <c r="Y47">
        <v>4.87</v>
      </c>
      <c r="Z47">
        <v>9.25</v>
      </c>
      <c r="AA47" t="s">
        <v>227</v>
      </c>
      <c r="AB47">
        <v>215</v>
      </c>
      <c r="AC47">
        <v>26.2</v>
      </c>
      <c r="AD47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47">
        <f>ROUND(IF(Table2[[#This Row],[Draft Round]]=1,10,IF(Table2[[#This Row],[Draft Round]]=8,0,10/(20.884*EXP(-0.381*1))*(20.884*EXP(-0.381*Table2[[#This Row],[Draft Round]])))),0)</f>
        <v>1</v>
      </c>
      <c r="AF47">
        <f>ROUND(IF(Table2[[#This Row],[College BF Dominator]]&gt;0.3,10,IF(Table2[[#This Row],[College BF Dominator]]&lt;-0.156,0,10/(20.818*0.3+3.2667)*(20.818*Table2[[#This Row],[College BF Dominator]]+3.2667))),0)</f>
        <v>1</v>
      </c>
      <c r="AG47">
        <f>ROUND(IF(Table2[[#This Row],[College PTDR]]&gt;0.085,10,IF(Table2[[#This Row],[College PTDR]]&lt;0.04,0,10/(105.24*0.085-1.7837)*(105.24*Table2[[#This Row],[College PTDR]]-1.7837))),0)</f>
        <v>6</v>
      </c>
      <c r="AH47">
        <f>ROUND(IF(Table2[[#This Row],[College Passer Rating]]&gt;170,10,IF(Table2[[#This Row],[College Passer Rating]]&lt;112.475,0,10/(0.1495*170-16.815)*(0.1495*Table2[[#This Row],[College Passer Rating]]-16.815))),0)</f>
        <v>5</v>
      </c>
      <c r="AI47">
        <f>ROUND(IF(Table2[[#This Row],[PTD:INT]]&gt;4,10,IF(Table2[[#This Row],[PTD:INT]]&lt;1,0,10/(4.7442*LN(4)+0.4256)*(4.7442*LN(Table2[[#This Row],[PTD:INT]])+0.4256))),0)</f>
        <v>8</v>
      </c>
      <c r="AJ47">
        <f>ROUND(IF(Table2[[#This Row],[Patt:Ratt]]&lt;2.5,10,IF(Table2[[#This Row],[Patt:Ratt]]&gt;15,0,10/(-2.684*LN(2.5)+9.0869)*(-2.684*LN(Table2[[#This Row],[Patt:Ratt]])+9.0869))),0)</f>
        <v>5</v>
      </c>
      <c r="AK47">
        <f>ROUND(IF(Table2[[#This Row],[Y/A]]&gt;9.2,10,IF(Table2[[#This Row],[Y/A]]&lt;6.26,0,10/(2.2619*9.2-14.16)*(2.2619*Table2[[#This Row],[Y/A]]-14.16))),0)</f>
        <v>3</v>
      </c>
      <c r="AL47">
        <f>ROUND(IF(Table2[[#This Row],[AY/A]]&gt;10,10,IF(Table2[[#This Row],[AY/A]]&lt;5.51,0,10/(1.6571*10-9.1312)*(1.6571*Table2[[#This Row],[AY/A]]-9.1312))),0)</f>
        <v>4</v>
      </c>
      <c r="AM47">
        <f>ROUND(IF(Table2[[#This Row],[40 Yd Dash]]&lt;4.75,10,IF(Table2[[#This Row],[40 Yd Dash]]&gt;5.191,0,10/(-66.95*LN(4.75)+110.26)*(-66.95*LN(Table2[[#This Row],[40 Yd Dash]])+110.26))),0)</f>
        <v>7</v>
      </c>
      <c r="AN47">
        <f>ROUND(IF(Table2[[#This Row],[Hand Size]]&gt;10.25,10,IF(Table2[[#This Row],[Hand Size]]&lt;9,0,10/(15.49*LN(10.25)-30.577)*(15.49*LN(Table2[[#This Row],[Hand Size]])-30.577))),0)</f>
        <v>7</v>
      </c>
    </row>
    <row r="48" spans="1:40">
      <c r="A48">
        <v>2019</v>
      </c>
      <c r="B48">
        <v>6</v>
      </c>
      <c r="C48" t="s">
        <v>219</v>
      </c>
      <c r="D48" t="s">
        <v>81</v>
      </c>
      <c r="E48">
        <v>5.4</v>
      </c>
      <c r="F48" t="s">
        <v>237</v>
      </c>
      <c r="G48">
        <f>SUMIFS('NFL QB Data By Year'!$Q:$Q,'NFL QB Data By Year'!$D:$D,Table2[[#This Row],[Player Name]],'NFL QB Data By Year'!$B:$B,Table2[[#This Row],[Draft Year]]+G$1)</f>
        <v>1</v>
      </c>
      <c r="H48">
        <f>SUMIFS('NFL QB Data By Year'!$P:$P,'NFL QB Data By Year'!$D:$D,Table2[[#This Row],[Player Name]],'NFL QB Data By Year'!$B:$B,Table2[[#This Row],[Draft Year]]+H$1)</f>
        <v>0.1</v>
      </c>
      <c r="I48">
        <f>SUMIFS('NFL QB Data By Year'!$Q:$Q,'NFL QB Data By Year'!$D:$D,Table2[[#This Row],[Player Name]],'NFL QB Data By Year'!$B:$B,Table2[[#This Row],[Draft Year]]+I$1)</f>
        <v>2</v>
      </c>
      <c r="J48">
        <f>SUMIFS('NFL QB Data By Year'!$P:$P,'NFL QB Data By Year'!$D:$D,Table2[[#This Row],[Player Name]],'NFL QB Data By Year'!$B:$B,Table2[[#This Row],[Draft Year]]+J$1)</f>
        <v>9.3000000000000007</v>
      </c>
      <c r="K48">
        <f>SUMIFS('NFL QB Data By Year'!$Q:$Q,'NFL QB Data By Year'!$D:$D,Table2[[#This Row],[Player Name]],'NFL QB Data By Year'!$B:$B,Table2[[#This Row],[Draft Year]]+K$1)</f>
        <v>1</v>
      </c>
      <c r="L48">
        <f>SUMIFS('NFL QB Data By Year'!$P:$P,'NFL QB Data By Year'!$D:$D,Table2[[#This Row],[Player Name]],'NFL QB Data By Year'!$B:$B,Table2[[#This Row],[Draft Year]]+L$1)</f>
        <v>0</v>
      </c>
      <c r="M48">
        <f>Table2[[#This Row],[Year 1 G]]+Table2[[#This Row],[Year 2 G]]+Table2[[#This Row],[Year 3 G]]</f>
        <v>4</v>
      </c>
      <c r="N48">
        <f>Table2[[#This Row],[Year 1 FPTs]]+Table2[[#This Row],[Year 2 FPTs]]+Table2[[#This Row],[Year 3 FPTs]]</f>
        <v>9.4</v>
      </c>
      <c r="O48" s="7">
        <f>IFERROR(Table2[[#This Row],[Total FPTs]]/Table2[[#This Row],[Total G]],0)</f>
        <v>2.35</v>
      </c>
      <c r="P48">
        <v>9</v>
      </c>
      <c r="Q48" s="8">
        <f xml:space="preserve"> IFERROR(SUMIFS('College Data By Year'!J:J,'College Data By Year'!A:A,Table2[[#This Row],[Player Name]])/SUMIFS('College Data By Year'!L:L,'College Data By Year'!A:A,Table2[[#This Row],[Player Name]]),"")</f>
        <v>0.19140536882472367</v>
      </c>
      <c r="R48" s="11">
        <f xml:space="preserve"> IFERROR(SUMIFS('College Data By Year'!D:D,'College Data By Year'!A:A,Table2[[#This Row],[Player Name]])/SUMIFS('College Data By Year'!B:B,'College Data By Year'!A:A,Table2[[#This Row],[Player Name]]),"")</f>
        <v>6.3374485596707816E-2</v>
      </c>
      <c r="S48">
        <f>IF(SUMIFS('College Data By Year'!H:H,'College Data By Year'!A:A,Table2[[#This Row],[Player Name]])=0,"",SUMIFS('College Data By Year'!H:H,'College Data By Year'!A:A,Table2[[#This Row],[Player Name]]))</f>
        <v>144.5</v>
      </c>
      <c r="T48" s="7">
        <f>IFERROR(SUMIFS('College Data By Year'!D:D,'College Data By Year'!A:A,Table2[[#This Row],[Player Name]])/SUMIFS('College Data By Year'!E:E,'College Data By Year'!A:A,Table2[[#This Row],[Player Name]]),"")</f>
        <v>3.08</v>
      </c>
      <c r="U48" s="7">
        <f>IFERROR(SUMIFS('College Data By Year'!B:B,'College Data By Year'!A:A,Table2[[#This Row],[Player Name]])/SUMIFS('College Data By Year'!I:I,'College Data By Year'!A:A,Table2[[#This Row],[Player Name]]),"")</f>
        <v>2.5687103594080338</v>
      </c>
      <c r="V48">
        <f>IF(SUMIFS('College Data By Year'!F:F,'College Data By Year'!A:A,Table2[[#This Row],[Player Name]])=0,"",SUMIFS('College Data By Year'!F:F,'College Data By Year'!A:A,Table2[[#This Row],[Player Name]]))</f>
        <v>8.1</v>
      </c>
      <c r="W48">
        <f>IF(SUMIFS('College Data By Year'!G:G,'College Data By Year'!A:A,Table2[[#This Row],[Player Name]])=0,"",SUMIFS('College Data By Year'!G:G,'College Data By Year'!A:A,Table2[[#This Row],[Player Name]]))</f>
        <v>8.5</v>
      </c>
      <c r="X4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4.6208530805687202E-2</v>
      </c>
      <c r="Y48">
        <v>4.57</v>
      </c>
      <c r="Z48">
        <v>9.125</v>
      </c>
      <c r="AA48" t="s">
        <v>238</v>
      </c>
      <c r="AB48">
        <v>202</v>
      </c>
      <c r="AC48">
        <v>27.4</v>
      </c>
      <c r="AD48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48">
        <f>ROUND(IF(Table2[[#This Row],[Draft Round]]=1,10,IF(Table2[[#This Row],[Draft Round]]=8,0,10/(20.884*EXP(-0.381*1))*(20.884*EXP(-0.381*Table2[[#This Row],[Draft Round]])))),0)</f>
        <v>1</v>
      </c>
      <c r="AF48">
        <f>ROUND(IF(Table2[[#This Row],[College BF Dominator]]&gt;0.3,10,IF(Table2[[#This Row],[College BF Dominator]]&lt;-0.156,0,10/(20.818*0.3+3.2667)*(20.818*Table2[[#This Row],[College BF Dominator]]+3.2667))),0)</f>
        <v>8</v>
      </c>
      <c r="AG48">
        <f>ROUND(IF(Table2[[#This Row],[College PTDR]]&gt;0.085,10,IF(Table2[[#This Row],[College PTDR]]&lt;0.04,0,10/(105.24*0.085-1.7837)*(105.24*Table2[[#This Row],[College PTDR]]-1.7837))),0)</f>
        <v>7</v>
      </c>
      <c r="AH48">
        <f>ROUND(IF(Table2[[#This Row],[College Passer Rating]]&gt;170,10,IF(Table2[[#This Row],[College Passer Rating]]&lt;112.475,0,10/(0.1495*170-16.815)*(0.1495*Table2[[#This Row],[College Passer Rating]]-16.815))),0)</f>
        <v>6</v>
      </c>
      <c r="AI48">
        <f>ROUND(IF(Table2[[#This Row],[PTD:INT]]&gt;4,10,IF(Table2[[#This Row],[PTD:INT]]&lt;1,0,10/(4.7442*LN(4)+0.4256)*(4.7442*LN(Table2[[#This Row],[PTD:INT]])+0.4256))),0)</f>
        <v>8</v>
      </c>
      <c r="AJ48">
        <f>ROUND(IF(Table2[[#This Row],[Patt:Ratt]]&lt;2.5,10,IF(Table2[[#This Row],[Patt:Ratt]]&gt;15,0,10/(-2.684*LN(2.5)+9.0869)*(-2.684*LN(Table2[[#This Row],[Patt:Ratt]])+9.0869))),0)</f>
        <v>10</v>
      </c>
      <c r="AK48">
        <f>ROUND(IF(Table2[[#This Row],[Y/A]]&gt;9.2,10,IF(Table2[[#This Row],[Y/A]]&lt;6.26,0,10/(2.2619*9.2-14.16)*(2.2619*Table2[[#This Row],[Y/A]]-14.16))),0)</f>
        <v>6</v>
      </c>
      <c r="AL48">
        <f>ROUND(IF(Table2[[#This Row],[AY/A]]&gt;10,10,IF(Table2[[#This Row],[AY/A]]&lt;5.51,0,10/(1.6571*10-9.1312)*(1.6571*Table2[[#This Row],[AY/A]]-9.1312))),0)</f>
        <v>7</v>
      </c>
      <c r="AM48">
        <f>ROUND(IF(Table2[[#This Row],[40 Yd Dash]]&lt;4.75,10,IF(Table2[[#This Row],[40 Yd Dash]]&gt;5.191,0,10/(-66.95*LN(4.75)+110.26)*(-66.95*LN(Table2[[#This Row],[40 Yd Dash]])+110.26))),0)</f>
        <v>10</v>
      </c>
      <c r="AN48">
        <f>ROUND(IF(Table2[[#This Row],[Hand Size]]&gt;10.25,10,IF(Table2[[#This Row],[Hand Size]]&lt;9,0,10/(15.49*LN(10.25)-30.577)*(15.49*LN(Table2[[#This Row],[Hand Size]])-30.577))),0)</f>
        <v>7</v>
      </c>
    </row>
    <row r="49" spans="1:40">
      <c r="A49">
        <v>2016</v>
      </c>
      <c r="B49">
        <v>6</v>
      </c>
      <c r="C49" t="s">
        <v>219</v>
      </c>
      <c r="D49" t="s">
        <v>83</v>
      </c>
      <c r="E49">
        <v>5.9</v>
      </c>
      <c r="F49" t="s">
        <v>234</v>
      </c>
      <c r="G49">
        <f>SUMIFS('NFL QB Data By Year'!$Q:$Q,'NFL QB Data By Year'!$D:$D,Table2[[#This Row],[Player Name]],'NFL QB Data By Year'!$B:$B,Table2[[#This Row],[Draft Year]]+G$1)</f>
        <v>0</v>
      </c>
      <c r="H49">
        <f>SUMIFS('NFL QB Data By Year'!$P:$P,'NFL QB Data By Year'!$D:$D,Table2[[#This Row],[Player Name]],'NFL QB Data By Year'!$B:$B,Table2[[#This Row],[Draft Year]]+H$1)</f>
        <v>0</v>
      </c>
      <c r="I49">
        <f>SUMIFS('NFL QB Data By Year'!$Q:$Q,'NFL QB Data By Year'!$D:$D,Table2[[#This Row],[Player Name]],'NFL QB Data By Year'!$B:$B,Table2[[#This Row],[Draft Year]]+I$1)</f>
        <v>0</v>
      </c>
      <c r="J49">
        <f>SUMIFS('NFL QB Data By Year'!$P:$P,'NFL QB Data By Year'!$D:$D,Table2[[#This Row],[Player Name]],'NFL QB Data By Year'!$B:$B,Table2[[#This Row],[Draft Year]]+J$1)</f>
        <v>0</v>
      </c>
      <c r="K49">
        <f>SUMIFS('NFL QB Data By Year'!$Q:$Q,'NFL QB Data By Year'!$D:$D,Table2[[#This Row],[Player Name]],'NFL QB Data By Year'!$B:$B,Table2[[#This Row],[Draft Year]]+K$1)</f>
        <v>1</v>
      </c>
      <c r="L49">
        <f>SUMIFS('NFL QB Data By Year'!$P:$P,'NFL QB Data By Year'!$D:$D,Table2[[#This Row],[Player Name]],'NFL QB Data By Year'!$B:$B,Table2[[#This Row],[Draft Year]]+L$1)</f>
        <v>0</v>
      </c>
      <c r="M49">
        <f>Table2[[#This Row],[Year 1 G]]+Table2[[#This Row],[Year 2 G]]+Table2[[#This Row],[Year 3 G]]</f>
        <v>1</v>
      </c>
      <c r="N49">
        <f>Table2[[#This Row],[Year 1 FPTs]]+Table2[[#This Row],[Year 2 FPTs]]+Table2[[#This Row],[Year 3 FPTs]]</f>
        <v>0</v>
      </c>
      <c r="O49" s="7">
        <f>IFERROR(Table2[[#This Row],[Total FPTs]]/Table2[[#This Row],[Total G]],0)</f>
        <v>0</v>
      </c>
      <c r="P49">
        <v>10</v>
      </c>
      <c r="Q49" s="8">
        <f xml:space="preserve"> IFERROR(SUMIFS('College Data By Year'!J:J,'College Data By Year'!A:A,Table2[[#This Row],[Player Name]])/SUMIFS('College Data By Year'!L:L,'College Data By Year'!A:A,Table2[[#This Row],[Player Name]]),"")</f>
        <v>1.4581323040634716E-2</v>
      </c>
      <c r="R49" s="11">
        <f xml:space="preserve"> IFERROR(SUMIFS('College Data By Year'!D:D,'College Data By Year'!A:A,Table2[[#This Row],[Player Name]])/SUMIFS('College Data By Year'!B:B,'College Data By Year'!A:A,Table2[[#This Row],[Player Name]]),"")</f>
        <v>6.2992125984251968E-2</v>
      </c>
      <c r="S49">
        <f>IF(SUMIFS('College Data By Year'!H:H,'College Data By Year'!A:A,Table2[[#This Row],[Player Name]])=0,"",SUMIFS('College Data By Year'!H:H,'College Data By Year'!A:A,Table2[[#This Row],[Player Name]]))</f>
        <v>134.80000000000001</v>
      </c>
      <c r="T49" s="7">
        <f>IFERROR(SUMIFS('College Data By Year'!D:D,'College Data By Year'!A:A,Table2[[#This Row],[Player Name]])/SUMIFS('College Data By Year'!E:E,'College Data By Year'!A:A,Table2[[#This Row],[Player Name]]),"")</f>
        <v>2.4615384615384617</v>
      </c>
      <c r="U49" s="7">
        <f>IFERROR(SUMIFS('College Data By Year'!B:B,'College Data By Year'!A:A,Table2[[#This Row],[Player Name]])/SUMIFS('College Data By Year'!I:I,'College Data By Year'!A:A,Table2[[#This Row],[Player Name]]),"")</f>
        <v>7.5820895522388057</v>
      </c>
      <c r="V49">
        <f>IF(SUMIFS('College Data By Year'!F:F,'College Data By Year'!A:A,Table2[[#This Row],[Player Name]])=0,"",SUMIFS('College Data By Year'!F:F,'College Data By Year'!A:A,Table2[[#This Row],[Player Name]]))</f>
        <v>7.3</v>
      </c>
      <c r="W49">
        <f>IF(SUMIFS('College Data By Year'!G:G,'College Data By Year'!A:A,Table2[[#This Row],[Player Name]])=0,"",SUMIFS('College Data By Year'!G:G,'College Data By Year'!A:A,Table2[[#This Row],[Player Name]]))</f>
        <v>7.5</v>
      </c>
      <c r="X4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3.2173913043478261E-2</v>
      </c>
      <c r="Y49">
        <v>4.84</v>
      </c>
      <c r="Z49">
        <v>8.875</v>
      </c>
      <c r="AA49" t="s">
        <v>228</v>
      </c>
      <c r="AB49">
        <v>217</v>
      </c>
      <c r="AC49">
        <v>28.6</v>
      </c>
      <c r="AD49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49">
        <f>ROUND(IF(Table2[[#This Row],[Draft Round]]=1,10,IF(Table2[[#This Row],[Draft Round]]=8,0,10/(20.884*EXP(-0.381*1))*(20.884*EXP(-0.381*Table2[[#This Row],[Draft Round]])))),0)</f>
        <v>1</v>
      </c>
      <c r="AF49">
        <f>ROUND(IF(Table2[[#This Row],[College BF Dominator]]&gt;0.3,10,IF(Table2[[#This Row],[College BF Dominator]]&lt;-0.156,0,10/(20.818*0.3+3.2667)*(20.818*Table2[[#This Row],[College BF Dominator]]+3.2667))),0)</f>
        <v>4</v>
      </c>
      <c r="AG49">
        <f>ROUND(IF(Table2[[#This Row],[College PTDR]]&gt;0.085,10,IF(Table2[[#This Row],[College PTDR]]&lt;0.04,0,10/(105.24*0.085-1.7837)*(105.24*Table2[[#This Row],[College PTDR]]-1.7837))),0)</f>
        <v>7</v>
      </c>
      <c r="AH49">
        <f>ROUND(IF(Table2[[#This Row],[College Passer Rating]]&gt;170,10,IF(Table2[[#This Row],[College Passer Rating]]&lt;112.475,0,10/(0.1495*170-16.815)*(0.1495*Table2[[#This Row],[College Passer Rating]]-16.815))),0)</f>
        <v>4</v>
      </c>
      <c r="AI49">
        <f>ROUND(IF(Table2[[#This Row],[PTD:INT]]&gt;4,10,IF(Table2[[#This Row],[PTD:INT]]&lt;1,0,10/(4.7442*LN(4)+0.4256)*(4.7442*LN(Table2[[#This Row],[PTD:INT]])+0.4256))),0)</f>
        <v>7</v>
      </c>
      <c r="AJ49">
        <f>ROUND(IF(Table2[[#This Row],[Patt:Ratt]]&lt;2.5,10,IF(Table2[[#This Row],[Patt:Ratt]]&gt;15,0,10/(-2.684*LN(2.5)+9.0869)*(-2.684*LN(Table2[[#This Row],[Patt:Ratt]])+9.0869))),0)</f>
        <v>6</v>
      </c>
      <c r="AK49">
        <f>ROUND(IF(Table2[[#This Row],[Y/A]]&gt;9.2,10,IF(Table2[[#This Row],[Y/A]]&lt;6.26,0,10/(2.2619*9.2-14.16)*(2.2619*Table2[[#This Row],[Y/A]]-14.16))),0)</f>
        <v>4</v>
      </c>
      <c r="AL49">
        <f>ROUND(IF(Table2[[#This Row],[AY/A]]&gt;10,10,IF(Table2[[#This Row],[AY/A]]&lt;5.51,0,10/(1.6571*10-9.1312)*(1.6571*Table2[[#This Row],[AY/A]]-9.1312))),0)</f>
        <v>4</v>
      </c>
      <c r="AM49">
        <f>ROUND(IF(Table2[[#This Row],[40 Yd Dash]]&lt;4.75,10,IF(Table2[[#This Row],[40 Yd Dash]]&gt;5.191,0,10/(-66.95*LN(4.75)+110.26)*(-66.95*LN(Table2[[#This Row],[40 Yd Dash]])+110.26))),0)</f>
        <v>8</v>
      </c>
      <c r="AN49">
        <f>ROUND(IF(Table2[[#This Row],[Hand Size]]&gt;10.25,10,IF(Table2[[#This Row],[Hand Size]]&lt;9,0,10/(15.49*LN(10.25)-30.577)*(15.49*LN(Table2[[#This Row],[Hand Size]])-30.577))),0)</f>
        <v>0</v>
      </c>
    </row>
    <row r="50" spans="1:40">
      <c r="A50">
        <v>2017</v>
      </c>
      <c r="B50">
        <v>6</v>
      </c>
      <c r="C50" t="s">
        <v>219</v>
      </c>
      <c r="D50" t="s">
        <v>71</v>
      </c>
      <c r="E50">
        <v>6.1</v>
      </c>
      <c r="F50" t="s">
        <v>231</v>
      </c>
      <c r="G50">
        <f>SUMIFS('NFL QB Data By Year'!$Q:$Q,'NFL QB Data By Year'!$D:$D,Table2[[#This Row],[Player Name]],'NFL QB Data By Year'!$B:$B,Table2[[#This Row],[Draft Year]]+G$1)</f>
        <v>0</v>
      </c>
      <c r="H50">
        <f>SUMIFS('NFL QB Data By Year'!$P:$P,'NFL QB Data By Year'!$D:$D,Table2[[#This Row],[Player Name]],'NFL QB Data By Year'!$B:$B,Table2[[#This Row],[Draft Year]]+H$1)</f>
        <v>0</v>
      </c>
      <c r="I50">
        <f>SUMIFS('NFL QB Data By Year'!$Q:$Q,'NFL QB Data By Year'!$D:$D,Table2[[#This Row],[Player Name]],'NFL QB Data By Year'!$B:$B,Table2[[#This Row],[Draft Year]]+I$1)</f>
        <v>0</v>
      </c>
      <c r="J50">
        <f>SUMIFS('NFL QB Data By Year'!$P:$P,'NFL QB Data By Year'!$D:$D,Table2[[#This Row],[Player Name]],'NFL QB Data By Year'!$B:$B,Table2[[#This Row],[Draft Year]]+J$1)</f>
        <v>0</v>
      </c>
      <c r="K50">
        <f>SUMIFS('NFL QB Data By Year'!$Q:$Q,'NFL QB Data By Year'!$D:$D,Table2[[#This Row],[Player Name]],'NFL QB Data By Year'!$B:$B,Table2[[#This Row],[Draft Year]]+K$1)</f>
        <v>0</v>
      </c>
      <c r="L50">
        <f>SUMIFS('NFL QB Data By Year'!$P:$P,'NFL QB Data By Year'!$D:$D,Table2[[#This Row],[Player Name]],'NFL QB Data By Year'!$B:$B,Table2[[#This Row],[Draft Year]]+L$1)</f>
        <v>0</v>
      </c>
      <c r="M50">
        <f>Table2[[#This Row],[Year 1 G]]+Table2[[#This Row],[Year 2 G]]+Table2[[#This Row],[Year 3 G]]</f>
        <v>0</v>
      </c>
      <c r="N50">
        <f>Table2[[#This Row],[Year 1 FPTs]]+Table2[[#This Row],[Year 2 FPTs]]+Table2[[#This Row],[Year 3 FPTs]]</f>
        <v>0</v>
      </c>
      <c r="O50" s="7">
        <f>IFERROR(Table2[[#This Row],[Total FPTs]]/Table2[[#This Row],[Total G]],0)</f>
        <v>0</v>
      </c>
      <c r="P50">
        <v>10</v>
      </c>
      <c r="Q50" s="8">
        <f xml:space="preserve"> IFERROR(SUMIFS('College Data By Year'!J:J,'College Data By Year'!A:A,Table2[[#This Row],[Player Name]])/SUMIFS('College Data By Year'!L:L,'College Data By Year'!A:A,Table2[[#This Row],[Player Name]]),"")</f>
        <v>-6.5802932151380833E-2</v>
      </c>
      <c r="R50" s="11">
        <f xml:space="preserve"> IFERROR(SUMIFS('College Data By Year'!D:D,'College Data By Year'!A:A,Table2[[#This Row],[Player Name]])/SUMIFS('College Data By Year'!B:B,'College Data By Year'!A:A,Table2[[#This Row],[Player Name]]),"")</f>
        <v>5.808080808080808E-2</v>
      </c>
      <c r="S50">
        <f>IF(SUMIFS('College Data By Year'!H:H,'College Data By Year'!A:A,Table2[[#This Row],[Player Name]])=0,"",SUMIFS('College Data By Year'!H:H,'College Data By Year'!A:A,Table2[[#This Row],[Player Name]]))</f>
        <v>146.19999999999999</v>
      </c>
      <c r="T50" s="7">
        <f>IFERROR(SUMIFS('College Data By Year'!D:D,'College Data By Year'!A:A,Table2[[#This Row],[Player Name]])/SUMIFS('College Data By Year'!E:E,'College Data By Year'!A:A,Table2[[#This Row],[Player Name]]),"")</f>
        <v>2.875</v>
      </c>
      <c r="U50" s="7">
        <f>IFERROR(SUMIFS('College Data By Year'!B:B,'College Data By Year'!A:A,Table2[[#This Row],[Player Name]])/SUMIFS('College Data By Year'!I:I,'College Data By Year'!A:A,Table2[[#This Row],[Player Name]]),"")</f>
        <v>12.638297872340425</v>
      </c>
      <c r="V50">
        <f>IF(SUMIFS('College Data By Year'!F:F,'College Data By Year'!A:A,Table2[[#This Row],[Player Name]])=0,"",SUMIFS('College Data By Year'!F:F,'College Data By Year'!A:A,Table2[[#This Row],[Player Name]]))</f>
        <v>8.4</v>
      </c>
      <c r="W50">
        <f>IF(SUMIFS('College Data By Year'!G:G,'College Data By Year'!A:A,Table2[[#This Row],[Player Name]])=0,"",SUMIFS('College Data By Year'!G:G,'College Data By Year'!A:A,Table2[[#This Row],[Player Name]]))</f>
        <v>8.6</v>
      </c>
      <c r="X5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4.7581903276131043E-2</v>
      </c>
      <c r="Y50">
        <v>4.84</v>
      </c>
      <c r="Z50">
        <v>9.75</v>
      </c>
      <c r="AA50" t="s">
        <v>227</v>
      </c>
      <c r="AB50">
        <v>214</v>
      </c>
      <c r="AC50">
        <v>26</v>
      </c>
      <c r="AD50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50">
        <f>ROUND(IF(Table2[[#This Row],[Draft Round]]=1,10,IF(Table2[[#This Row],[Draft Round]]=8,0,10/(20.884*EXP(-0.381*1))*(20.884*EXP(-0.381*Table2[[#This Row],[Draft Round]])))),0)</f>
        <v>1</v>
      </c>
      <c r="AF50">
        <f>ROUND(IF(Table2[[#This Row],[College BF Dominator]]&gt;0.3,10,IF(Table2[[#This Row],[College BF Dominator]]&lt;-0.156,0,10/(20.818*0.3+3.2667)*(20.818*Table2[[#This Row],[College BF Dominator]]+3.2667))),0)</f>
        <v>2</v>
      </c>
      <c r="AG50">
        <f>ROUND(IF(Table2[[#This Row],[College PTDR]]&gt;0.085,10,IF(Table2[[#This Row],[College PTDR]]&lt;0.04,0,10/(105.24*0.085-1.7837)*(105.24*Table2[[#This Row],[College PTDR]]-1.7837))),0)</f>
        <v>6</v>
      </c>
      <c r="AH50">
        <f>ROUND(IF(Table2[[#This Row],[College Passer Rating]]&gt;170,10,IF(Table2[[#This Row],[College Passer Rating]]&lt;112.475,0,10/(0.1495*170-16.815)*(0.1495*Table2[[#This Row],[College Passer Rating]]-16.815))),0)</f>
        <v>6</v>
      </c>
      <c r="AI50">
        <f>ROUND(IF(Table2[[#This Row],[PTD:INT]]&gt;4,10,IF(Table2[[#This Row],[PTD:INT]]&lt;1,0,10/(4.7442*LN(4)+0.4256)*(4.7442*LN(Table2[[#This Row],[PTD:INT]])+0.4256))),0)</f>
        <v>8</v>
      </c>
      <c r="AJ50">
        <f>ROUND(IF(Table2[[#This Row],[Patt:Ratt]]&lt;2.5,10,IF(Table2[[#This Row],[Patt:Ratt]]&gt;15,0,10/(-2.684*LN(2.5)+9.0869)*(-2.684*LN(Table2[[#This Row],[Patt:Ratt]])+9.0869))),0)</f>
        <v>3</v>
      </c>
      <c r="AK50">
        <f>ROUND(IF(Table2[[#This Row],[Y/A]]&gt;9.2,10,IF(Table2[[#This Row],[Y/A]]&lt;6.26,0,10/(2.2619*9.2-14.16)*(2.2619*Table2[[#This Row],[Y/A]]-14.16))),0)</f>
        <v>7</v>
      </c>
      <c r="AL50">
        <f>ROUND(IF(Table2[[#This Row],[AY/A]]&gt;10,10,IF(Table2[[#This Row],[AY/A]]&lt;5.51,0,10/(1.6571*10-9.1312)*(1.6571*Table2[[#This Row],[AY/A]]-9.1312))),0)</f>
        <v>7</v>
      </c>
      <c r="AM50">
        <f>ROUND(IF(Table2[[#This Row],[40 Yd Dash]]&lt;4.75,10,IF(Table2[[#This Row],[40 Yd Dash]]&gt;5.191,0,10/(-66.95*LN(4.75)+110.26)*(-66.95*LN(Table2[[#This Row],[40 Yd Dash]])+110.26))),0)</f>
        <v>8</v>
      </c>
      <c r="AN50">
        <f>ROUND(IF(Table2[[#This Row],[Hand Size]]&gt;10.25,10,IF(Table2[[#This Row],[Hand Size]]&lt;9,0,10/(15.49*LN(10.25)-30.577)*(15.49*LN(Table2[[#This Row],[Hand Size]])-30.577))),0)</f>
        <v>9</v>
      </c>
    </row>
    <row r="51" spans="1:40">
      <c r="A51">
        <v>2018</v>
      </c>
      <c r="B51">
        <v>6</v>
      </c>
      <c r="C51" t="s">
        <v>219</v>
      </c>
      <c r="D51" t="s">
        <v>124</v>
      </c>
      <c r="E51">
        <v>5.4</v>
      </c>
      <c r="F51" t="s">
        <v>237</v>
      </c>
      <c r="G51">
        <f>SUMIFS('NFL QB Data By Year'!$Q:$Q,'NFL QB Data By Year'!$D:$D,Table2[[#This Row],[Player Name]],'NFL QB Data By Year'!$B:$B,Table2[[#This Row],[Draft Year]]+G$1)</f>
        <v>0</v>
      </c>
      <c r="H51">
        <f>SUMIFS('NFL QB Data By Year'!$P:$P,'NFL QB Data By Year'!$D:$D,Table2[[#This Row],[Player Name]],'NFL QB Data By Year'!$B:$B,Table2[[#This Row],[Draft Year]]+H$1)</f>
        <v>0</v>
      </c>
      <c r="I51">
        <f>SUMIFS('NFL QB Data By Year'!$Q:$Q,'NFL QB Data By Year'!$D:$D,Table2[[#This Row],[Player Name]],'NFL QB Data By Year'!$B:$B,Table2[[#This Row],[Draft Year]]+I$1)</f>
        <v>0</v>
      </c>
      <c r="J51">
        <f>SUMIFS('NFL QB Data By Year'!$P:$P,'NFL QB Data By Year'!$D:$D,Table2[[#This Row],[Player Name]],'NFL QB Data By Year'!$B:$B,Table2[[#This Row],[Draft Year]]+J$1)</f>
        <v>0</v>
      </c>
      <c r="K51">
        <f>SUMIFS('NFL QB Data By Year'!$Q:$Q,'NFL QB Data By Year'!$D:$D,Table2[[#This Row],[Player Name]],'NFL QB Data By Year'!$B:$B,Table2[[#This Row],[Draft Year]]+K$1)</f>
        <v>0</v>
      </c>
      <c r="L51">
        <f>SUMIFS('NFL QB Data By Year'!$P:$P,'NFL QB Data By Year'!$D:$D,Table2[[#This Row],[Player Name]],'NFL QB Data By Year'!$B:$B,Table2[[#This Row],[Draft Year]]+L$1)</f>
        <v>0</v>
      </c>
      <c r="M51">
        <f>Table2[[#This Row],[Year 1 G]]+Table2[[#This Row],[Year 2 G]]+Table2[[#This Row],[Year 3 G]]</f>
        <v>0</v>
      </c>
      <c r="N51">
        <f>Table2[[#This Row],[Year 1 FPTs]]+Table2[[#This Row],[Year 2 FPTs]]+Table2[[#This Row],[Year 3 FPTs]]</f>
        <v>0</v>
      </c>
      <c r="O51" s="7">
        <f>IFERROR(Table2[[#This Row],[Total FPTs]]/Table2[[#This Row],[Total G]],0)</f>
        <v>0</v>
      </c>
      <c r="P51">
        <v>10</v>
      </c>
      <c r="Q51" s="8">
        <f xml:space="preserve"> IFERROR(SUMIFS('College Data By Year'!J:J,'College Data By Year'!A:A,Table2[[#This Row],[Player Name]])/SUMIFS('College Data By Year'!L:L,'College Data By Year'!A:A,Table2[[#This Row],[Player Name]]),"")</f>
        <v>-8.6779661016949158E-2</v>
      </c>
      <c r="R51" s="11">
        <f xml:space="preserve"> IFERROR(SUMIFS('College Data By Year'!D:D,'College Data By Year'!A:A,Table2[[#This Row],[Player Name]])/SUMIFS('College Data By Year'!B:B,'College Data By Year'!A:A,Table2[[#This Row],[Player Name]]),"")</f>
        <v>4.4230769230769233E-2</v>
      </c>
      <c r="S51">
        <f>IF(SUMIFS('College Data By Year'!H:H,'College Data By Year'!A:A,Table2[[#This Row],[Player Name]])=0,"",SUMIFS('College Data By Year'!H:H,'College Data By Year'!A:A,Table2[[#This Row],[Player Name]]))</f>
        <v>117.1</v>
      </c>
      <c r="T51" s="7">
        <f>IFERROR(SUMIFS('College Data By Year'!D:D,'College Data By Year'!A:A,Table2[[#This Row],[Player Name]])/SUMIFS('College Data By Year'!E:E,'College Data By Year'!A:A,Table2[[#This Row],[Player Name]]),"")</f>
        <v>1.2432432432432432</v>
      </c>
      <c r="U51" s="7">
        <f>IFERROR(SUMIFS('College Data By Year'!B:B,'College Data By Year'!A:A,Table2[[#This Row],[Player Name]])/SUMIFS('College Data By Year'!I:I,'College Data By Year'!A:A,Table2[[#This Row],[Player Name]]),"")</f>
        <v>11.685393258426966</v>
      </c>
      <c r="V51">
        <f>IF(SUMIFS('College Data By Year'!F:F,'College Data By Year'!A:A,Table2[[#This Row],[Player Name]])=0,"",SUMIFS('College Data By Year'!F:F,'College Data By Year'!A:A,Table2[[#This Row],[Player Name]]))</f>
        <v>6.5</v>
      </c>
      <c r="W51">
        <f>IF(SUMIFS('College Data By Year'!G:G,'College Data By Year'!A:A,Table2[[#This Row],[Player Name]])=0,"",SUMIFS('College Data By Year'!G:G,'College Data By Year'!A:A,Table2[[#This Row],[Player Name]]))</f>
        <v>5.8</v>
      </c>
      <c r="X5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5.2258635961027457E-2</v>
      </c>
      <c r="Y51">
        <v>4.9800000000000004</v>
      </c>
      <c r="Z51">
        <v>10</v>
      </c>
      <c r="AA51" t="s">
        <v>227</v>
      </c>
      <c r="AB51">
        <v>218</v>
      </c>
      <c r="AC51">
        <v>26.5</v>
      </c>
      <c r="AD51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51">
        <f>ROUND(IF(Table2[[#This Row],[Draft Round]]=1,10,IF(Table2[[#This Row],[Draft Round]]=8,0,10/(20.884*EXP(-0.381*1))*(20.884*EXP(-0.381*Table2[[#This Row],[Draft Round]])))),0)</f>
        <v>1</v>
      </c>
      <c r="AF51">
        <f>ROUND(IF(Table2[[#This Row],[College BF Dominator]]&gt;0.3,10,IF(Table2[[#This Row],[College BF Dominator]]&lt;-0.156,0,10/(20.818*0.3+3.2667)*(20.818*Table2[[#This Row],[College BF Dominator]]+3.2667))),0)</f>
        <v>2</v>
      </c>
      <c r="AG51">
        <f>ROUND(IF(Table2[[#This Row],[College PTDR]]&gt;0.085,10,IF(Table2[[#This Row],[College PTDR]]&lt;0.04,0,10/(105.24*0.085-1.7837)*(105.24*Table2[[#This Row],[College PTDR]]-1.7837))),0)</f>
        <v>4</v>
      </c>
      <c r="AH51">
        <f>ROUND(IF(Table2[[#This Row],[College Passer Rating]]&gt;170,10,IF(Table2[[#This Row],[College Passer Rating]]&lt;112.475,0,10/(0.1495*170-16.815)*(0.1495*Table2[[#This Row],[College Passer Rating]]-16.815))),0)</f>
        <v>1</v>
      </c>
      <c r="AI51">
        <f>ROUND(IF(Table2[[#This Row],[PTD:INT]]&gt;4,10,IF(Table2[[#This Row],[PTD:INT]]&lt;1,0,10/(4.7442*LN(4)+0.4256)*(4.7442*LN(Table2[[#This Row],[PTD:INT]])+0.4256))),0)</f>
        <v>2</v>
      </c>
      <c r="AJ51">
        <f>ROUND(IF(Table2[[#This Row],[Patt:Ratt]]&lt;2.5,10,IF(Table2[[#This Row],[Patt:Ratt]]&gt;15,0,10/(-2.684*LN(2.5)+9.0869)*(-2.684*LN(Table2[[#This Row],[Patt:Ratt]])+9.0869))),0)</f>
        <v>4</v>
      </c>
      <c r="AK51">
        <f>ROUND(IF(Table2[[#This Row],[Y/A]]&gt;9.2,10,IF(Table2[[#This Row],[Y/A]]&lt;6.26,0,10/(2.2619*9.2-14.16)*(2.2619*Table2[[#This Row],[Y/A]]-14.16))),0)</f>
        <v>1</v>
      </c>
      <c r="AL51">
        <f>ROUND(IF(Table2[[#This Row],[AY/A]]&gt;10,10,IF(Table2[[#This Row],[AY/A]]&lt;5.51,0,10/(1.6571*10-9.1312)*(1.6571*Table2[[#This Row],[AY/A]]-9.1312))),0)</f>
        <v>1</v>
      </c>
      <c r="AM51">
        <f>ROUND(IF(Table2[[#This Row],[40 Yd Dash]]&lt;4.75,10,IF(Table2[[#This Row],[40 Yd Dash]]&gt;5.191,0,10/(-66.95*LN(4.75)+110.26)*(-66.95*LN(Table2[[#This Row],[40 Yd Dash]])+110.26))),0)</f>
        <v>5</v>
      </c>
      <c r="AN51">
        <f>ROUND(IF(Table2[[#This Row],[Hand Size]]&gt;10.25,10,IF(Table2[[#This Row],[Hand Size]]&lt;9,0,10/(15.49*LN(10.25)-30.577)*(15.49*LN(Table2[[#This Row],[Hand Size]])-30.577))),0)</f>
        <v>9</v>
      </c>
    </row>
    <row r="52" spans="1:40">
      <c r="A52">
        <v>2016</v>
      </c>
      <c r="B52">
        <v>6</v>
      </c>
      <c r="C52" t="s">
        <v>219</v>
      </c>
      <c r="D52" t="s">
        <v>92</v>
      </c>
      <c r="E52">
        <v>5.8</v>
      </c>
      <c r="F52" t="s">
        <v>234</v>
      </c>
      <c r="G52">
        <f>SUMIFS('NFL QB Data By Year'!$Q:$Q,'NFL QB Data By Year'!$D:$D,Table2[[#This Row],[Player Name]],'NFL QB Data By Year'!$B:$B,Table2[[#This Row],[Draft Year]]+G$1)</f>
        <v>0</v>
      </c>
      <c r="H52">
        <f>SUMIFS('NFL QB Data By Year'!$P:$P,'NFL QB Data By Year'!$D:$D,Table2[[#This Row],[Player Name]],'NFL QB Data By Year'!$B:$B,Table2[[#This Row],[Draft Year]]+H$1)</f>
        <v>0</v>
      </c>
      <c r="I52">
        <f>SUMIFS('NFL QB Data By Year'!$Q:$Q,'NFL QB Data By Year'!$D:$D,Table2[[#This Row],[Player Name]],'NFL QB Data By Year'!$B:$B,Table2[[#This Row],[Draft Year]]+I$1)</f>
        <v>3</v>
      </c>
      <c r="J52">
        <f>SUMIFS('NFL QB Data By Year'!$P:$P,'NFL QB Data By Year'!$D:$D,Table2[[#This Row],[Player Name]],'NFL QB Data By Year'!$B:$B,Table2[[#This Row],[Draft Year]]+J$1)</f>
        <v>-1</v>
      </c>
      <c r="K52">
        <f>SUMIFS('NFL QB Data By Year'!$Q:$Q,'NFL QB Data By Year'!$D:$D,Table2[[#This Row],[Player Name]],'NFL QB Data By Year'!$B:$B,Table2[[#This Row],[Draft Year]]+K$1)</f>
        <v>0</v>
      </c>
      <c r="L52">
        <f>SUMIFS('NFL QB Data By Year'!$P:$P,'NFL QB Data By Year'!$D:$D,Table2[[#This Row],[Player Name]],'NFL QB Data By Year'!$B:$B,Table2[[#This Row],[Draft Year]]+L$1)</f>
        <v>0</v>
      </c>
      <c r="M52">
        <f>Table2[[#This Row],[Year 1 G]]+Table2[[#This Row],[Year 2 G]]+Table2[[#This Row],[Year 3 G]]</f>
        <v>3</v>
      </c>
      <c r="N52">
        <f>Table2[[#This Row],[Year 1 FPTs]]+Table2[[#This Row],[Year 2 FPTs]]+Table2[[#This Row],[Year 3 FPTs]]</f>
        <v>-1</v>
      </c>
      <c r="O52" s="7">
        <f>IFERROR(Table2[[#This Row],[Total FPTs]]/Table2[[#This Row],[Total G]],0)</f>
        <v>-0.33333333333333331</v>
      </c>
      <c r="P52">
        <v>10</v>
      </c>
      <c r="Q52" s="8">
        <f xml:space="preserve"> IFERROR(SUMIFS('College Data By Year'!J:J,'College Data By Year'!A:A,Table2[[#This Row],[Player Name]])/SUMIFS('College Data By Year'!L:L,'College Data By Year'!A:A,Table2[[#This Row],[Player Name]]),"")</f>
        <v>8.5158150851581502E-2</v>
      </c>
      <c r="R52" s="11">
        <f xml:space="preserve"> IFERROR(SUMIFS('College Data By Year'!D:D,'College Data By Year'!A:A,Table2[[#This Row],[Player Name]])/SUMIFS('College Data By Year'!B:B,'College Data By Year'!A:A,Table2[[#This Row],[Player Name]]),"")</f>
        <v>0.05</v>
      </c>
      <c r="S52">
        <f>IF(SUMIFS('College Data By Year'!H:H,'College Data By Year'!A:A,Table2[[#This Row],[Player Name]])=0,"",SUMIFS('College Data By Year'!H:H,'College Data By Year'!A:A,Table2[[#This Row],[Player Name]]))</f>
        <v>134.1</v>
      </c>
      <c r="T52" s="7">
        <f>IFERROR(SUMIFS('College Data By Year'!D:D,'College Data By Year'!A:A,Table2[[#This Row],[Player Name]])/SUMIFS('College Data By Year'!E:E,'College Data By Year'!A:A,Table2[[#This Row],[Player Name]]),"")</f>
        <v>2</v>
      </c>
      <c r="U52" s="7">
        <f>IFERROR(SUMIFS('College Data By Year'!B:B,'College Data By Year'!A:A,Table2[[#This Row],[Player Name]])/SUMIFS('College Data By Year'!I:I,'College Data By Year'!A:A,Table2[[#This Row],[Player Name]]),"")</f>
        <v>5.625</v>
      </c>
      <c r="V52">
        <f>IF(SUMIFS('College Data By Year'!F:F,'College Data By Year'!A:A,Table2[[#This Row],[Player Name]])=0,"",SUMIFS('College Data By Year'!F:F,'College Data By Year'!A:A,Table2[[#This Row],[Player Name]]))</f>
        <v>7.3</v>
      </c>
      <c r="W52">
        <f>IF(SUMIFS('College Data By Year'!G:G,'College Data By Year'!A:A,Table2[[#This Row],[Player Name]])=0,"",SUMIFS('College Data By Year'!G:G,'College Data By Year'!A:A,Table2[[#This Row],[Player Name]]))</f>
        <v>7.1</v>
      </c>
      <c r="X5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3.8522012578616351E-2</v>
      </c>
      <c r="Y52">
        <v>4.93</v>
      </c>
      <c r="Z52">
        <v>9.75</v>
      </c>
      <c r="AA52" t="s">
        <v>229</v>
      </c>
      <c r="AB52">
        <v>207</v>
      </c>
      <c r="AC52">
        <v>25.9</v>
      </c>
      <c r="AD52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52">
        <f>ROUND(IF(Table2[[#This Row],[Draft Round]]=1,10,IF(Table2[[#This Row],[Draft Round]]=8,0,10/(20.884*EXP(-0.381*1))*(20.884*EXP(-0.381*Table2[[#This Row],[Draft Round]])))),0)</f>
        <v>1</v>
      </c>
      <c r="AF52">
        <f>ROUND(IF(Table2[[#This Row],[College BF Dominator]]&gt;0.3,10,IF(Table2[[#This Row],[College BF Dominator]]&lt;-0.156,0,10/(20.818*0.3+3.2667)*(20.818*Table2[[#This Row],[College BF Dominator]]+3.2667))),0)</f>
        <v>5</v>
      </c>
      <c r="AG52">
        <f>ROUND(IF(Table2[[#This Row],[College PTDR]]&gt;0.085,10,IF(Table2[[#This Row],[College PTDR]]&lt;0.04,0,10/(105.24*0.085-1.7837)*(105.24*Table2[[#This Row],[College PTDR]]-1.7837))),0)</f>
        <v>5</v>
      </c>
      <c r="AH52">
        <f>ROUND(IF(Table2[[#This Row],[College Passer Rating]]&gt;170,10,IF(Table2[[#This Row],[College Passer Rating]]&lt;112.475,0,10/(0.1495*170-16.815)*(0.1495*Table2[[#This Row],[College Passer Rating]]-16.815))),0)</f>
        <v>4</v>
      </c>
      <c r="AI52">
        <f>ROUND(IF(Table2[[#This Row],[PTD:INT]]&gt;4,10,IF(Table2[[#This Row],[PTD:INT]]&lt;1,0,10/(4.7442*LN(4)+0.4256)*(4.7442*LN(Table2[[#This Row],[PTD:INT]])+0.4256))),0)</f>
        <v>5</v>
      </c>
      <c r="AJ52">
        <f>ROUND(IF(Table2[[#This Row],[Patt:Ratt]]&lt;2.5,10,IF(Table2[[#This Row],[Patt:Ratt]]&gt;15,0,10/(-2.684*LN(2.5)+9.0869)*(-2.684*LN(Table2[[#This Row],[Patt:Ratt]])+9.0869))),0)</f>
        <v>7</v>
      </c>
      <c r="AK52">
        <f>ROUND(IF(Table2[[#This Row],[Y/A]]&gt;9.2,10,IF(Table2[[#This Row],[Y/A]]&lt;6.26,0,10/(2.2619*9.2-14.16)*(2.2619*Table2[[#This Row],[Y/A]]-14.16))),0)</f>
        <v>4</v>
      </c>
      <c r="AL52">
        <f>ROUND(IF(Table2[[#This Row],[AY/A]]&gt;10,10,IF(Table2[[#This Row],[AY/A]]&lt;5.51,0,10/(1.6571*10-9.1312)*(1.6571*Table2[[#This Row],[AY/A]]-9.1312))),0)</f>
        <v>4</v>
      </c>
      <c r="AM52">
        <f>ROUND(IF(Table2[[#This Row],[40 Yd Dash]]&lt;4.75,10,IF(Table2[[#This Row],[40 Yd Dash]]&gt;5.191,0,10/(-66.95*LN(4.75)+110.26)*(-66.95*LN(Table2[[#This Row],[40 Yd Dash]])+110.26))),0)</f>
        <v>6</v>
      </c>
      <c r="AN52">
        <f>ROUND(IF(Table2[[#This Row],[Hand Size]]&gt;10.25,10,IF(Table2[[#This Row],[Hand Size]]&lt;9,0,10/(15.49*LN(10.25)-30.577)*(15.49*LN(Table2[[#This Row],[Hand Size]])-30.577))),0)</f>
        <v>9</v>
      </c>
    </row>
    <row r="53" spans="1:40">
      <c r="A53">
        <v>2015</v>
      </c>
      <c r="B53">
        <v>7</v>
      </c>
      <c r="C53" t="s">
        <v>219</v>
      </c>
      <c r="D53" t="s">
        <v>115</v>
      </c>
      <c r="F53" t="s">
        <v>237</v>
      </c>
      <c r="G53">
        <f>SUMIFS('NFL QB Data By Year'!$Q:$Q,'NFL QB Data By Year'!$D:$D,Table2[[#This Row],[Player Name]],'NFL QB Data By Year'!$B:$B,Table2[[#This Row],[Draft Year]]+G$1)</f>
        <v>1</v>
      </c>
      <c r="H53">
        <f>SUMIFS('NFL QB Data By Year'!$P:$P,'NFL QB Data By Year'!$D:$D,Table2[[#This Row],[Player Name]],'NFL QB Data By Year'!$B:$B,Table2[[#This Row],[Draft Year]]+H$1)</f>
        <v>-0.1</v>
      </c>
      <c r="I53">
        <f>SUMIFS('NFL QB Data By Year'!$Q:$Q,'NFL QB Data By Year'!$D:$D,Table2[[#This Row],[Player Name]],'NFL QB Data By Year'!$B:$B,Table2[[#This Row],[Draft Year]]+I$1)</f>
        <v>14</v>
      </c>
      <c r="J53">
        <f>SUMIFS('NFL QB Data By Year'!$P:$P,'NFL QB Data By Year'!$D:$D,Table2[[#This Row],[Player Name]],'NFL QB Data By Year'!$B:$B,Table2[[#This Row],[Draft Year]]+J$1)</f>
        <v>191.6</v>
      </c>
      <c r="K53">
        <f>SUMIFS('NFL QB Data By Year'!$Q:$Q,'NFL QB Data By Year'!$D:$D,Table2[[#This Row],[Player Name]],'NFL QB Data By Year'!$B:$B,Table2[[#This Row],[Draft Year]]+K$1)</f>
        <v>11</v>
      </c>
      <c r="L53">
        <f>SUMIFS('NFL QB Data By Year'!$P:$P,'NFL QB Data By Year'!$D:$D,Table2[[#This Row],[Player Name]],'NFL QB Data By Year'!$B:$B,Table2[[#This Row],[Draft Year]]+L$1)</f>
        <v>126.2</v>
      </c>
      <c r="M53">
        <f>Table2[[#This Row],[Year 1 G]]+Table2[[#This Row],[Year 2 G]]+Table2[[#This Row],[Year 3 G]]</f>
        <v>26</v>
      </c>
      <c r="N53">
        <f>Table2[[#This Row],[Year 1 FPTs]]+Table2[[#This Row],[Year 2 FPTs]]+Table2[[#This Row],[Year 3 FPTs]]</f>
        <v>317.7</v>
      </c>
      <c r="O53" s="7">
        <f>IFERROR(Table2[[#This Row],[Total FPTs]]/Table2[[#This Row],[Total G]],0)</f>
        <v>12.219230769230769</v>
      </c>
      <c r="P53">
        <v>5</v>
      </c>
      <c r="Q53" s="8">
        <f xml:space="preserve"> IFERROR(SUMIFS('College Data By Year'!J:J,'College Data By Year'!A:A,Table2[[#This Row],[Player Name]])/SUMIFS('College Data By Year'!L:L,'College Data By Year'!A:A,Table2[[#This Row],[Player Name]]),"")</f>
        <v>-2.6118555530320236E-3</v>
      </c>
      <c r="R53" s="11">
        <f xml:space="preserve"> IFERROR(SUMIFS('College Data By Year'!D:D,'College Data By Year'!A:A,Table2[[#This Row],[Player Name]])/SUMIFS('College Data By Year'!B:B,'College Data By Year'!A:A,Table2[[#This Row],[Player Name]]),"")</f>
        <v>2.8907922912205567E-2</v>
      </c>
      <c r="S53">
        <f>IF(SUMIFS('College Data By Year'!H:H,'College Data By Year'!A:A,Table2[[#This Row],[Player Name]])=0,"",SUMIFS('College Data By Year'!H:H,'College Data By Year'!A:A,Table2[[#This Row],[Player Name]]))</f>
        <v>116.6</v>
      </c>
      <c r="T53" s="7">
        <f>IFERROR(SUMIFS('College Data By Year'!D:D,'College Data By Year'!A:A,Table2[[#This Row],[Player Name]])/SUMIFS('College Data By Year'!E:E,'College Data By Year'!A:A,Table2[[#This Row],[Player Name]]),"")</f>
        <v>1.125</v>
      </c>
      <c r="U53" s="7">
        <f>IFERROR(SUMIFS('College Data By Year'!B:B,'College Data By Year'!A:A,Table2[[#This Row],[Player Name]])/SUMIFS('College Data By Year'!I:I,'College Data By Year'!A:A,Table2[[#This Row],[Player Name]]),"")</f>
        <v>6.577464788732394</v>
      </c>
      <c r="V53">
        <f>IF(SUMIFS('College Data By Year'!F:F,'College Data By Year'!A:A,Table2[[#This Row],[Player Name]])=0,"",SUMIFS('College Data By Year'!F:F,'College Data By Year'!A:A,Table2[[#This Row],[Player Name]]))</f>
        <v>6.4</v>
      </c>
      <c r="W53">
        <f>IF(SUMIFS('College Data By Year'!G:G,'College Data By Year'!A:A,Table2[[#This Row],[Player Name]])=0,"",SUMIFS('College Data By Year'!G:G,'College Data By Year'!A:A,Table2[[#This Row],[Player Name]]))</f>
        <v>5.8</v>
      </c>
      <c r="X5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5.2973977695167283E-2</v>
      </c>
      <c r="Y53">
        <v>4.9400000000000004</v>
      </c>
      <c r="Z53">
        <v>9.875</v>
      </c>
      <c r="AA53" t="s">
        <v>229</v>
      </c>
      <c r="AB53">
        <v>210</v>
      </c>
      <c r="AC53">
        <v>26.2</v>
      </c>
      <c r="AD53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53">
        <f>ROUND(IF(Table2[[#This Row],[Draft Round]]=1,10,IF(Table2[[#This Row],[Draft Round]]=8,0,10/(20.884*EXP(-0.381*1))*(20.884*EXP(-0.381*Table2[[#This Row],[Draft Round]])))),0)</f>
        <v>1</v>
      </c>
      <c r="AF53">
        <f>ROUND(IF(Table2[[#This Row],[College BF Dominator]]&gt;0.3,10,IF(Table2[[#This Row],[College BF Dominator]]&lt;-0.156,0,10/(20.818*0.3+3.2667)*(20.818*Table2[[#This Row],[College BF Dominator]]+3.2667))),0)</f>
        <v>3</v>
      </c>
      <c r="AG53">
        <f>ROUND(IF(Table2[[#This Row],[College PTDR]]&gt;0.085,10,IF(Table2[[#This Row],[College PTDR]]&lt;0.04,0,10/(105.24*0.085-1.7837)*(105.24*Table2[[#This Row],[College PTDR]]-1.7837))),0)</f>
        <v>0</v>
      </c>
      <c r="AH53">
        <f>ROUND(IF(Table2[[#This Row],[College Passer Rating]]&gt;170,10,IF(Table2[[#This Row],[College Passer Rating]]&lt;112.475,0,10/(0.1495*170-16.815)*(0.1495*Table2[[#This Row],[College Passer Rating]]-16.815))),0)</f>
        <v>1</v>
      </c>
      <c r="AI53">
        <f>ROUND(IF(Table2[[#This Row],[PTD:INT]]&gt;4,10,IF(Table2[[#This Row],[PTD:INT]]&lt;1,0,10/(4.7442*LN(4)+0.4256)*(4.7442*LN(Table2[[#This Row],[PTD:INT]])+0.4256))),0)</f>
        <v>1</v>
      </c>
      <c r="AJ53">
        <f>ROUND(IF(Table2[[#This Row],[Patt:Ratt]]&lt;2.5,10,IF(Table2[[#This Row],[Patt:Ratt]]&gt;15,0,10/(-2.684*LN(2.5)+9.0869)*(-2.684*LN(Table2[[#This Row],[Patt:Ratt]])+9.0869))),0)</f>
        <v>6</v>
      </c>
      <c r="AK53">
        <f>ROUND(IF(Table2[[#This Row],[Y/A]]&gt;9.2,10,IF(Table2[[#This Row],[Y/A]]&lt;6.26,0,10/(2.2619*9.2-14.16)*(2.2619*Table2[[#This Row],[Y/A]]-14.16))),0)</f>
        <v>0</v>
      </c>
      <c r="AL53">
        <f>ROUND(IF(Table2[[#This Row],[AY/A]]&gt;10,10,IF(Table2[[#This Row],[AY/A]]&lt;5.51,0,10/(1.6571*10-9.1312)*(1.6571*Table2[[#This Row],[AY/A]]-9.1312))),0)</f>
        <v>1</v>
      </c>
      <c r="AM53">
        <f>ROUND(IF(Table2[[#This Row],[40 Yd Dash]]&lt;4.75,10,IF(Table2[[#This Row],[40 Yd Dash]]&gt;5.191,0,10/(-66.95*LN(4.75)+110.26)*(-66.95*LN(Table2[[#This Row],[40 Yd Dash]])+110.26))),0)</f>
        <v>6</v>
      </c>
      <c r="AN53">
        <f>ROUND(IF(Table2[[#This Row],[Hand Size]]&gt;10.25,10,IF(Table2[[#This Row],[Hand Size]]&lt;9,0,10/(15.49*LN(10.25)-30.577)*(15.49*LN(Table2[[#This Row],[Hand Size]])-30.577))),0)</f>
        <v>9</v>
      </c>
    </row>
    <row r="54" spans="1:40">
      <c r="A54">
        <v>2018</v>
      </c>
      <c r="B54">
        <v>7</v>
      </c>
      <c r="C54" t="s">
        <v>219</v>
      </c>
      <c r="D54" t="s">
        <v>76</v>
      </c>
      <c r="E54">
        <v>5.4</v>
      </c>
      <c r="F54" t="s">
        <v>237</v>
      </c>
      <c r="G54">
        <f>SUMIFS('NFL QB Data By Year'!$Q:$Q,'NFL QB Data By Year'!$D:$D,Table2[[#This Row],[Player Name]],'NFL QB Data By Year'!$B:$B,Table2[[#This Row],[Draft Year]]+G$1)</f>
        <v>0</v>
      </c>
      <c r="H54">
        <f>SUMIFS('NFL QB Data By Year'!$P:$P,'NFL QB Data By Year'!$D:$D,Table2[[#This Row],[Player Name]],'NFL QB Data By Year'!$B:$B,Table2[[#This Row],[Draft Year]]+H$1)</f>
        <v>0</v>
      </c>
      <c r="I54">
        <f>SUMIFS('NFL QB Data By Year'!$Q:$Q,'NFL QB Data By Year'!$D:$D,Table2[[#This Row],[Player Name]],'NFL QB Data By Year'!$B:$B,Table2[[#This Row],[Draft Year]]+I$1)</f>
        <v>0</v>
      </c>
      <c r="J54">
        <f>SUMIFS('NFL QB Data By Year'!$P:$P,'NFL QB Data By Year'!$D:$D,Table2[[#This Row],[Player Name]],'NFL QB Data By Year'!$B:$B,Table2[[#This Row],[Draft Year]]+J$1)</f>
        <v>0</v>
      </c>
      <c r="K54">
        <f>SUMIFS('NFL QB Data By Year'!$Q:$Q,'NFL QB Data By Year'!$D:$D,Table2[[#This Row],[Player Name]],'NFL QB Data By Year'!$B:$B,Table2[[#This Row],[Draft Year]]+K$1)</f>
        <v>6</v>
      </c>
      <c r="L54">
        <f>SUMIFS('NFL QB Data By Year'!$P:$P,'NFL QB Data By Year'!$D:$D,Table2[[#This Row],[Player Name]],'NFL QB Data By Year'!$B:$B,Table2[[#This Row],[Draft Year]]+L$1)</f>
        <v>1.3</v>
      </c>
      <c r="M54">
        <f>Table2[[#This Row],[Year 1 G]]+Table2[[#This Row],[Year 2 G]]+Table2[[#This Row],[Year 3 G]]</f>
        <v>6</v>
      </c>
      <c r="N54">
        <f>Table2[[#This Row],[Year 1 FPTs]]+Table2[[#This Row],[Year 2 FPTs]]+Table2[[#This Row],[Year 3 FPTs]]</f>
        <v>1.3</v>
      </c>
      <c r="O54" s="7">
        <f>IFERROR(Table2[[#This Row],[Total FPTs]]/Table2[[#This Row],[Total G]],0)</f>
        <v>0.21666666666666667</v>
      </c>
      <c r="P54">
        <v>10</v>
      </c>
      <c r="Q54" s="8">
        <f xml:space="preserve"> IFERROR(SUMIFS('College Data By Year'!J:J,'College Data By Year'!A:A,Table2[[#This Row],[Player Name]])/SUMIFS('College Data By Year'!L:L,'College Data By Year'!A:A,Table2[[#This Row],[Player Name]]),"")</f>
        <v>6.2384800793988376E-3</v>
      </c>
      <c r="R54" s="11">
        <f xml:space="preserve"> IFERROR(SUMIFS('College Data By Year'!D:D,'College Data By Year'!A:A,Table2[[#This Row],[Player Name]])/SUMIFS('College Data By Year'!B:B,'College Data By Year'!A:A,Table2[[#This Row],[Player Name]]),"")</f>
        <v>7.9759862778730706E-2</v>
      </c>
      <c r="S54">
        <f>IF(SUMIFS('College Data By Year'!H:H,'College Data By Year'!A:A,Table2[[#This Row],[Player Name]])=0,"",SUMIFS('College Data By Year'!H:H,'College Data By Year'!A:A,Table2[[#This Row],[Player Name]]))</f>
        <v>162.9</v>
      </c>
      <c r="T54" s="7">
        <f>IFERROR(SUMIFS('College Data By Year'!D:D,'College Data By Year'!A:A,Table2[[#This Row],[Player Name]])/SUMIFS('College Data By Year'!E:E,'College Data By Year'!A:A,Table2[[#This Row],[Player Name]]),"")</f>
        <v>3.72</v>
      </c>
      <c r="U54" s="7">
        <f>IFERROR(SUMIFS('College Data By Year'!B:B,'College Data By Year'!A:A,Table2[[#This Row],[Player Name]])/SUMIFS('College Data By Year'!I:I,'College Data By Year'!A:A,Table2[[#This Row],[Player Name]]),"")</f>
        <v>7.9863013698630141</v>
      </c>
      <c r="V54">
        <f>IF(SUMIFS('College Data By Year'!F:F,'College Data By Year'!A:A,Table2[[#This Row],[Player Name]])=0,"",SUMIFS('College Data By Year'!F:F,'College Data By Year'!A:A,Table2[[#This Row],[Player Name]]))</f>
        <v>9</v>
      </c>
      <c r="W54">
        <f>IF(SUMIFS('College Data By Year'!G:G,'College Data By Year'!A:A,Table2[[#This Row],[Player Name]])=0,"",SUMIFS('College Data By Year'!G:G,'College Data By Year'!A:A,Table2[[#This Row],[Player Name]]))</f>
        <v>9.6</v>
      </c>
      <c r="X5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3.4298780487804881E-2</v>
      </c>
      <c r="Y54">
        <v>4.79</v>
      </c>
      <c r="Z54">
        <v>9.75</v>
      </c>
      <c r="AA54" t="s">
        <v>228</v>
      </c>
      <c r="AB54">
        <v>213</v>
      </c>
      <c r="AC54">
        <v>28.1</v>
      </c>
      <c r="AD54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54">
        <f>ROUND(IF(Table2[[#This Row],[Draft Round]]=1,10,IF(Table2[[#This Row],[Draft Round]]=8,0,10/(20.884*EXP(-0.381*1))*(20.884*EXP(-0.381*Table2[[#This Row],[Draft Round]])))),0)</f>
        <v>1</v>
      </c>
      <c r="AF54">
        <f>ROUND(IF(Table2[[#This Row],[College BF Dominator]]&gt;0.3,10,IF(Table2[[#This Row],[College BF Dominator]]&lt;-0.156,0,10/(20.818*0.3+3.2667)*(20.818*Table2[[#This Row],[College BF Dominator]]+3.2667))),0)</f>
        <v>4</v>
      </c>
      <c r="AG54">
        <f>ROUND(IF(Table2[[#This Row],[College PTDR]]&gt;0.085,10,IF(Table2[[#This Row],[College PTDR]]&lt;0.04,0,10/(105.24*0.085-1.7837)*(105.24*Table2[[#This Row],[College PTDR]]-1.7837))),0)</f>
        <v>9</v>
      </c>
      <c r="AH54">
        <f>ROUND(IF(Table2[[#This Row],[College Passer Rating]]&gt;170,10,IF(Table2[[#This Row],[College Passer Rating]]&lt;112.475,0,10/(0.1495*170-16.815)*(0.1495*Table2[[#This Row],[College Passer Rating]]-16.815))),0)</f>
        <v>9</v>
      </c>
      <c r="AI54">
        <f>ROUND(IF(Table2[[#This Row],[PTD:INT]]&gt;4,10,IF(Table2[[#This Row],[PTD:INT]]&lt;1,0,10/(4.7442*LN(4)+0.4256)*(4.7442*LN(Table2[[#This Row],[PTD:INT]])+0.4256))),0)</f>
        <v>10</v>
      </c>
      <c r="AJ54">
        <f>ROUND(IF(Table2[[#This Row],[Patt:Ratt]]&lt;2.5,10,IF(Table2[[#This Row],[Patt:Ratt]]&gt;15,0,10/(-2.684*LN(2.5)+9.0869)*(-2.684*LN(Table2[[#This Row],[Patt:Ratt]])+9.0869))),0)</f>
        <v>5</v>
      </c>
      <c r="AK54">
        <f>ROUND(IF(Table2[[#This Row],[Y/A]]&gt;9.2,10,IF(Table2[[#This Row],[Y/A]]&lt;6.26,0,10/(2.2619*9.2-14.16)*(2.2619*Table2[[#This Row],[Y/A]]-14.16))),0)</f>
        <v>9</v>
      </c>
      <c r="AL54">
        <f>ROUND(IF(Table2[[#This Row],[AY/A]]&gt;10,10,IF(Table2[[#This Row],[AY/A]]&lt;5.51,0,10/(1.6571*10-9.1312)*(1.6571*Table2[[#This Row],[AY/A]]-9.1312))),0)</f>
        <v>9</v>
      </c>
      <c r="AM54">
        <f>ROUND(IF(Table2[[#This Row],[40 Yd Dash]]&lt;4.75,10,IF(Table2[[#This Row],[40 Yd Dash]]&gt;5.191,0,10/(-66.95*LN(4.75)+110.26)*(-66.95*LN(Table2[[#This Row],[40 Yd Dash]])+110.26))),0)</f>
        <v>9</v>
      </c>
      <c r="AN54">
        <f>ROUND(IF(Table2[[#This Row],[Hand Size]]&gt;10.25,10,IF(Table2[[#This Row],[Hand Size]]&lt;9,0,10/(15.49*LN(10.25)-30.577)*(15.49*LN(Table2[[#This Row],[Hand Size]])-30.577))),0)</f>
        <v>9</v>
      </c>
    </row>
    <row r="55" spans="1:40">
      <c r="A55">
        <v>2018</v>
      </c>
      <c r="B55">
        <v>7</v>
      </c>
      <c r="C55" t="s">
        <v>219</v>
      </c>
      <c r="D55" t="s">
        <v>109</v>
      </c>
      <c r="E55">
        <v>5.0999999999999996</v>
      </c>
      <c r="F55" t="s">
        <v>237</v>
      </c>
      <c r="G55">
        <f>SUMIFS('NFL QB Data By Year'!$Q:$Q,'NFL QB Data By Year'!$D:$D,Table2[[#This Row],[Player Name]],'NFL QB Data By Year'!$B:$B,Table2[[#This Row],[Draft Year]]+G$1)</f>
        <v>0</v>
      </c>
      <c r="H55">
        <f>SUMIFS('NFL QB Data By Year'!$P:$P,'NFL QB Data By Year'!$D:$D,Table2[[#This Row],[Player Name]],'NFL QB Data By Year'!$B:$B,Table2[[#This Row],[Draft Year]]+H$1)</f>
        <v>0</v>
      </c>
      <c r="I55">
        <f>SUMIFS('NFL QB Data By Year'!$Q:$Q,'NFL QB Data By Year'!$D:$D,Table2[[#This Row],[Player Name]],'NFL QB Data By Year'!$B:$B,Table2[[#This Row],[Draft Year]]+I$1)</f>
        <v>0</v>
      </c>
      <c r="J55">
        <f>SUMIFS('NFL QB Data By Year'!$P:$P,'NFL QB Data By Year'!$D:$D,Table2[[#This Row],[Player Name]],'NFL QB Data By Year'!$B:$B,Table2[[#This Row],[Draft Year]]+J$1)</f>
        <v>0</v>
      </c>
      <c r="K55">
        <f>SUMIFS('NFL QB Data By Year'!$Q:$Q,'NFL QB Data By Year'!$D:$D,Table2[[#This Row],[Player Name]],'NFL QB Data By Year'!$B:$B,Table2[[#This Row],[Draft Year]]+K$1)</f>
        <v>0</v>
      </c>
      <c r="L55">
        <f>SUMIFS('NFL QB Data By Year'!$P:$P,'NFL QB Data By Year'!$D:$D,Table2[[#This Row],[Player Name]],'NFL QB Data By Year'!$B:$B,Table2[[#This Row],[Draft Year]]+L$1)</f>
        <v>0</v>
      </c>
      <c r="M55">
        <f>Table2[[#This Row],[Year 1 G]]+Table2[[#This Row],[Year 2 G]]+Table2[[#This Row],[Year 3 G]]</f>
        <v>0</v>
      </c>
      <c r="N55">
        <f>Table2[[#This Row],[Year 1 FPTs]]+Table2[[#This Row],[Year 2 FPTs]]+Table2[[#This Row],[Year 3 FPTs]]</f>
        <v>0</v>
      </c>
      <c r="O55" s="7">
        <f>IFERROR(Table2[[#This Row],[Total FPTs]]/Table2[[#This Row],[Total G]],0)</f>
        <v>0</v>
      </c>
      <c r="P55">
        <v>10</v>
      </c>
      <c r="Q55" s="8">
        <f xml:space="preserve"> IFERROR(SUMIFS('College Data By Year'!J:J,'College Data By Year'!A:A,Table2[[#This Row],[Player Name]])/SUMIFS('College Data By Year'!L:L,'College Data By Year'!A:A,Table2[[#This Row],[Player Name]]),"")</f>
        <v>8.551184949914489E-3</v>
      </c>
      <c r="R55" s="11">
        <f xml:space="preserve"> IFERROR(SUMIFS('College Data By Year'!D:D,'College Data By Year'!A:A,Table2[[#This Row],[Player Name]])/SUMIFS('College Data By Year'!B:B,'College Data By Year'!A:A,Table2[[#This Row],[Player Name]]),"")</f>
        <v>4.4193216855087356E-2</v>
      </c>
      <c r="S55">
        <f>IF(SUMIFS('College Data By Year'!H:H,'College Data By Year'!A:A,Table2[[#This Row],[Player Name]])=0,"",SUMIFS('College Data By Year'!H:H,'College Data By Year'!A:A,Table2[[#This Row],[Player Name]]))</f>
        <v>129.6</v>
      </c>
      <c r="T55" s="7">
        <f>IFERROR(SUMIFS('College Data By Year'!D:D,'College Data By Year'!A:A,Table2[[#This Row],[Player Name]])/SUMIFS('College Data By Year'!E:E,'College Data By Year'!A:A,Table2[[#This Row],[Player Name]]),"")</f>
        <v>2.263157894736842</v>
      </c>
      <c r="U55" s="7">
        <f>IFERROR(SUMIFS('College Data By Year'!B:B,'College Data By Year'!A:A,Table2[[#This Row],[Player Name]])/SUMIFS('College Data By Year'!I:I,'College Data By Year'!A:A,Table2[[#This Row],[Player Name]]),"")</f>
        <v>4.8407960199004973</v>
      </c>
      <c r="V55">
        <f>IF(SUMIFS('College Data By Year'!F:F,'College Data By Year'!A:A,Table2[[#This Row],[Player Name]])=0,"",SUMIFS('College Data By Year'!F:F,'College Data By Year'!A:A,Table2[[#This Row],[Player Name]]))</f>
        <v>7.3</v>
      </c>
      <c r="W55">
        <f>IF(SUMIFS('College Data By Year'!G:G,'College Data By Year'!A:A,Table2[[#This Row],[Player Name]])=0,"",SUMIFS('College Data By Year'!G:G,'College Data By Year'!A:A,Table2[[#This Row],[Player Name]]))</f>
        <v>7.3</v>
      </c>
      <c r="X5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7.3253833049403749E-2</v>
      </c>
      <c r="Y55">
        <v>4.76</v>
      </c>
      <c r="Z55">
        <v>9.375</v>
      </c>
      <c r="AA55" t="s">
        <v>221</v>
      </c>
      <c r="AB55">
        <v>222</v>
      </c>
      <c r="AC55">
        <v>28.5</v>
      </c>
      <c r="AD55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55">
        <f>ROUND(IF(Table2[[#This Row],[Draft Round]]=1,10,IF(Table2[[#This Row],[Draft Round]]=8,0,10/(20.884*EXP(-0.381*1))*(20.884*EXP(-0.381*Table2[[#This Row],[Draft Round]])))),0)</f>
        <v>1</v>
      </c>
      <c r="AF55">
        <f>ROUND(IF(Table2[[#This Row],[College BF Dominator]]&gt;0.3,10,IF(Table2[[#This Row],[College BF Dominator]]&lt;-0.156,0,10/(20.818*0.3+3.2667)*(20.818*Table2[[#This Row],[College BF Dominator]]+3.2667))),0)</f>
        <v>4</v>
      </c>
      <c r="AG55">
        <f>ROUND(IF(Table2[[#This Row],[College PTDR]]&gt;0.085,10,IF(Table2[[#This Row],[College PTDR]]&lt;0.04,0,10/(105.24*0.085-1.7837)*(105.24*Table2[[#This Row],[College PTDR]]-1.7837))),0)</f>
        <v>4</v>
      </c>
      <c r="AH55">
        <f>ROUND(IF(Table2[[#This Row],[College Passer Rating]]&gt;170,10,IF(Table2[[#This Row],[College Passer Rating]]&lt;112.475,0,10/(0.1495*170-16.815)*(0.1495*Table2[[#This Row],[College Passer Rating]]-16.815))),0)</f>
        <v>3</v>
      </c>
      <c r="AI55">
        <f>ROUND(IF(Table2[[#This Row],[PTD:INT]]&gt;4,10,IF(Table2[[#This Row],[PTD:INT]]&lt;1,0,10/(4.7442*LN(4)+0.4256)*(4.7442*LN(Table2[[#This Row],[PTD:INT]])+0.4256))),0)</f>
        <v>6</v>
      </c>
      <c r="AJ55">
        <f>ROUND(IF(Table2[[#This Row],[Patt:Ratt]]&lt;2.5,10,IF(Table2[[#This Row],[Patt:Ratt]]&gt;15,0,10/(-2.684*LN(2.5)+9.0869)*(-2.684*LN(Table2[[#This Row],[Patt:Ratt]])+9.0869))),0)</f>
        <v>7</v>
      </c>
      <c r="AK55">
        <f>ROUND(IF(Table2[[#This Row],[Y/A]]&gt;9.2,10,IF(Table2[[#This Row],[Y/A]]&lt;6.26,0,10/(2.2619*9.2-14.16)*(2.2619*Table2[[#This Row],[Y/A]]-14.16))),0)</f>
        <v>4</v>
      </c>
      <c r="AL55">
        <f>ROUND(IF(Table2[[#This Row],[AY/A]]&gt;10,10,IF(Table2[[#This Row],[AY/A]]&lt;5.51,0,10/(1.6571*10-9.1312)*(1.6571*Table2[[#This Row],[AY/A]]-9.1312))),0)</f>
        <v>4</v>
      </c>
      <c r="AM55">
        <f>ROUND(IF(Table2[[#This Row],[40 Yd Dash]]&lt;4.75,10,IF(Table2[[#This Row],[40 Yd Dash]]&gt;5.191,0,10/(-66.95*LN(4.75)+110.26)*(-66.95*LN(Table2[[#This Row],[40 Yd Dash]])+110.26))),0)</f>
        <v>10</v>
      </c>
      <c r="AN55">
        <f>ROUND(IF(Table2[[#This Row],[Hand Size]]&gt;10.25,10,IF(Table2[[#This Row],[Hand Size]]&lt;9,0,10/(15.49*LN(10.25)-30.577)*(15.49*LN(Table2[[#This Row],[Hand Size]])-30.577))),0)</f>
        <v>7</v>
      </c>
    </row>
    <row r="56" spans="1:40">
      <c r="A56">
        <v>2016</v>
      </c>
      <c r="B56">
        <v>7</v>
      </c>
      <c r="C56" t="s">
        <v>219</v>
      </c>
      <c r="D56" t="s">
        <v>97</v>
      </c>
      <c r="E56">
        <v>5.6</v>
      </c>
      <c r="F56" t="s">
        <v>236</v>
      </c>
      <c r="G56">
        <f>SUMIFS('NFL QB Data By Year'!$Q:$Q,'NFL QB Data By Year'!$D:$D,Table2[[#This Row],[Player Name]],'NFL QB Data By Year'!$B:$B,Table2[[#This Row],[Draft Year]]+G$1)</f>
        <v>0</v>
      </c>
      <c r="H56">
        <f>SUMIFS('NFL QB Data By Year'!$P:$P,'NFL QB Data By Year'!$D:$D,Table2[[#This Row],[Player Name]],'NFL QB Data By Year'!$B:$B,Table2[[#This Row],[Draft Year]]+H$1)</f>
        <v>0</v>
      </c>
      <c r="I56">
        <f>SUMIFS('NFL QB Data By Year'!$Q:$Q,'NFL QB Data By Year'!$D:$D,Table2[[#This Row],[Player Name]],'NFL QB Data By Year'!$B:$B,Table2[[#This Row],[Draft Year]]+I$1)</f>
        <v>0</v>
      </c>
      <c r="J56">
        <f>SUMIFS('NFL QB Data By Year'!$P:$P,'NFL QB Data By Year'!$D:$D,Table2[[#This Row],[Player Name]],'NFL QB Data By Year'!$B:$B,Table2[[#This Row],[Draft Year]]+J$1)</f>
        <v>0</v>
      </c>
      <c r="K56">
        <f>SUMIFS('NFL QB Data By Year'!$Q:$Q,'NFL QB Data By Year'!$D:$D,Table2[[#This Row],[Player Name]],'NFL QB Data By Year'!$B:$B,Table2[[#This Row],[Draft Year]]+K$1)</f>
        <v>0</v>
      </c>
      <c r="L56">
        <f>SUMIFS('NFL QB Data By Year'!$P:$P,'NFL QB Data By Year'!$D:$D,Table2[[#This Row],[Player Name]],'NFL QB Data By Year'!$B:$B,Table2[[#This Row],[Draft Year]]+L$1)</f>
        <v>0</v>
      </c>
      <c r="M56">
        <f>Table2[[#This Row],[Year 1 G]]+Table2[[#This Row],[Year 2 G]]+Table2[[#This Row],[Year 3 G]]</f>
        <v>0</v>
      </c>
      <c r="N56">
        <f>Table2[[#This Row],[Year 1 FPTs]]+Table2[[#This Row],[Year 2 FPTs]]+Table2[[#This Row],[Year 3 FPTs]]</f>
        <v>0</v>
      </c>
      <c r="O56" s="7">
        <f>IFERROR(Table2[[#This Row],[Total FPTs]]/Table2[[#This Row],[Total G]],0)</f>
        <v>0</v>
      </c>
      <c r="P56">
        <v>10</v>
      </c>
      <c r="Q56" s="8">
        <f xml:space="preserve"> IFERROR(SUMIFS('College Data By Year'!J:J,'College Data By Year'!A:A,Table2[[#This Row],[Player Name]])/SUMIFS('College Data By Year'!L:L,'College Data By Year'!A:A,Table2[[#This Row],[Player Name]]),"")</f>
        <v>-2.5673362760111701E-2</v>
      </c>
      <c r="R56" s="11">
        <f xml:space="preserve"> IFERROR(SUMIFS('College Data By Year'!D:D,'College Data By Year'!A:A,Table2[[#This Row],[Player Name]])/SUMIFS('College Data By Year'!B:B,'College Data By Year'!A:A,Table2[[#This Row],[Player Name]]),"")</f>
        <v>7.4446680080482899E-2</v>
      </c>
      <c r="S56">
        <f>IF(SUMIFS('College Data By Year'!H:H,'College Data By Year'!A:A,Table2[[#This Row],[Player Name]])=0,"",SUMIFS('College Data By Year'!H:H,'College Data By Year'!A:A,Table2[[#This Row],[Player Name]]))</f>
        <v>161</v>
      </c>
      <c r="T56" s="7">
        <f>IFERROR(SUMIFS('College Data By Year'!D:D,'College Data By Year'!A:A,Table2[[#This Row],[Player Name]])/SUMIFS('College Data By Year'!E:E,'College Data By Year'!A:A,Table2[[#This Row],[Player Name]]),"")</f>
        <v>3.2647058823529411</v>
      </c>
      <c r="U56" s="7">
        <f>IFERROR(SUMIFS('College Data By Year'!B:B,'College Data By Year'!A:A,Table2[[#This Row],[Player Name]])/SUMIFS('College Data By Year'!I:I,'College Data By Year'!A:A,Table2[[#This Row],[Player Name]]),"")</f>
        <v>14.617647058823529</v>
      </c>
      <c r="V56">
        <f>IF(SUMIFS('College Data By Year'!F:F,'College Data By Year'!A:A,Table2[[#This Row],[Player Name]])=0,"",SUMIFS('College Data By Year'!F:F,'College Data By Year'!A:A,Table2[[#This Row],[Player Name]]))</f>
        <v>8.6</v>
      </c>
      <c r="W56">
        <f>IF(SUMIFS('College Data By Year'!G:G,'College Data By Year'!A:A,Table2[[#This Row],[Player Name]])=0,"",SUMIFS('College Data By Year'!G:G,'College Data By Year'!A:A,Table2[[#This Row],[Player Name]]))</f>
        <v>9.1</v>
      </c>
      <c r="X5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1.3182674199623353E-2</v>
      </c>
      <c r="Y56">
        <v>5.22</v>
      </c>
      <c r="Z56">
        <v>9.25</v>
      </c>
      <c r="AA56" t="s">
        <v>229</v>
      </c>
      <c r="AB56">
        <v>213</v>
      </c>
      <c r="AC56">
        <v>26.6</v>
      </c>
      <c r="AD56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56">
        <f>ROUND(IF(Table2[[#This Row],[Draft Round]]=1,10,IF(Table2[[#This Row],[Draft Round]]=8,0,10/(20.884*EXP(-0.381*1))*(20.884*EXP(-0.381*Table2[[#This Row],[Draft Round]])))),0)</f>
        <v>1</v>
      </c>
      <c r="AF56">
        <f>ROUND(IF(Table2[[#This Row],[College BF Dominator]]&gt;0.3,10,IF(Table2[[#This Row],[College BF Dominator]]&lt;-0.156,0,10/(20.818*0.3+3.2667)*(20.818*Table2[[#This Row],[College BF Dominator]]+3.2667))),0)</f>
        <v>3</v>
      </c>
      <c r="AG56">
        <f>ROUND(IF(Table2[[#This Row],[College PTDR]]&gt;0.085,10,IF(Table2[[#This Row],[College PTDR]]&lt;0.04,0,10/(105.24*0.085-1.7837)*(105.24*Table2[[#This Row],[College PTDR]]-1.7837))),0)</f>
        <v>8</v>
      </c>
      <c r="AH56">
        <f>ROUND(IF(Table2[[#This Row],[College Passer Rating]]&gt;170,10,IF(Table2[[#This Row],[College Passer Rating]]&lt;112.475,0,10/(0.1495*170-16.815)*(0.1495*Table2[[#This Row],[College Passer Rating]]-16.815))),0)</f>
        <v>8</v>
      </c>
      <c r="AI56">
        <f>ROUND(IF(Table2[[#This Row],[PTD:INT]]&gt;4,10,IF(Table2[[#This Row],[PTD:INT]]&lt;1,0,10/(4.7442*LN(4)+0.4256)*(4.7442*LN(Table2[[#This Row],[PTD:INT]])+0.4256))),0)</f>
        <v>9</v>
      </c>
      <c r="AJ56">
        <f>ROUND(IF(Table2[[#This Row],[Patt:Ratt]]&lt;2.5,10,IF(Table2[[#This Row],[Patt:Ratt]]&gt;15,0,10/(-2.684*LN(2.5)+9.0869)*(-2.684*LN(Table2[[#This Row],[Patt:Ratt]])+9.0869))),0)</f>
        <v>3</v>
      </c>
      <c r="AK56">
        <f>ROUND(IF(Table2[[#This Row],[Y/A]]&gt;9.2,10,IF(Table2[[#This Row],[Y/A]]&lt;6.26,0,10/(2.2619*9.2-14.16)*(2.2619*Table2[[#This Row],[Y/A]]-14.16))),0)</f>
        <v>8</v>
      </c>
      <c r="AL56">
        <f>ROUND(IF(Table2[[#This Row],[AY/A]]&gt;10,10,IF(Table2[[#This Row],[AY/A]]&lt;5.51,0,10/(1.6571*10-9.1312)*(1.6571*Table2[[#This Row],[AY/A]]-9.1312))),0)</f>
        <v>8</v>
      </c>
      <c r="AM56">
        <f>ROUND(IF(Table2[[#This Row],[40 Yd Dash]]&lt;4.75,10,IF(Table2[[#This Row],[40 Yd Dash]]&gt;5.191,0,10/(-66.95*LN(4.75)+110.26)*(-66.95*LN(Table2[[#This Row],[40 Yd Dash]])+110.26))),0)</f>
        <v>0</v>
      </c>
      <c r="AN56">
        <f>ROUND(IF(Table2[[#This Row],[Hand Size]]&gt;10.25,10,IF(Table2[[#This Row],[Hand Size]]&lt;9,0,10/(15.49*LN(10.25)-30.577)*(15.49*LN(Table2[[#This Row],[Hand Size]])-30.577))),0)</f>
        <v>7</v>
      </c>
    </row>
    <row r="57" spans="1:40">
      <c r="A57">
        <v>2017</v>
      </c>
      <c r="B57">
        <v>7</v>
      </c>
      <c r="C57" t="s">
        <v>219</v>
      </c>
      <c r="D57" t="s">
        <v>69</v>
      </c>
      <c r="E57">
        <v>5.9</v>
      </c>
      <c r="F57" t="s">
        <v>234</v>
      </c>
      <c r="G57">
        <f>SUMIFS('NFL QB Data By Year'!$Q:$Q,'NFL QB Data By Year'!$D:$D,Table2[[#This Row],[Player Name]],'NFL QB Data By Year'!$B:$B,Table2[[#This Row],[Draft Year]]+G$1)</f>
        <v>0</v>
      </c>
      <c r="H57">
        <f>SUMIFS('NFL QB Data By Year'!$P:$P,'NFL QB Data By Year'!$D:$D,Table2[[#This Row],[Player Name]],'NFL QB Data By Year'!$B:$B,Table2[[#This Row],[Draft Year]]+H$1)</f>
        <v>0</v>
      </c>
      <c r="I57">
        <f>SUMIFS('NFL QB Data By Year'!$Q:$Q,'NFL QB Data By Year'!$D:$D,Table2[[#This Row],[Player Name]],'NFL QB Data By Year'!$B:$B,Table2[[#This Row],[Draft Year]]+I$1)</f>
        <v>1</v>
      </c>
      <c r="J57">
        <f>SUMIFS('NFL QB Data By Year'!$P:$P,'NFL QB Data By Year'!$D:$D,Table2[[#This Row],[Player Name]],'NFL QB Data By Year'!$B:$B,Table2[[#This Row],[Draft Year]]+J$1)</f>
        <v>-0.1</v>
      </c>
      <c r="K57">
        <f>SUMIFS('NFL QB Data By Year'!$Q:$Q,'NFL QB Data By Year'!$D:$D,Table2[[#This Row],[Player Name]],'NFL QB Data By Year'!$B:$B,Table2[[#This Row],[Draft Year]]+K$1)</f>
        <v>1</v>
      </c>
      <c r="L57">
        <f>SUMIFS('NFL QB Data By Year'!$P:$P,'NFL QB Data By Year'!$D:$D,Table2[[#This Row],[Player Name]],'NFL QB Data By Year'!$B:$B,Table2[[#This Row],[Draft Year]]+L$1)</f>
        <v>0</v>
      </c>
      <c r="M57">
        <f>Table2[[#This Row],[Year 1 G]]+Table2[[#This Row],[Year 2 G]]+Table2[[#This Row],[Year 3 G]]</f>
        <v>2</v>
      </c>
      <c r="N57">
        <f>Table2[[#This Row],[Year 1 FPTs]]+Table2[[#This Row],[Year 2 FPTs]]+Table2[[#This Row],[Year 3 FPTs]]</f>
        <v>-0.1</v>
      </c>
      <c r="O57" s="7">
        <f>IFERROR(Table2[[#This Row],[Total FPTs]]/Table2[[#This Row],[Total G]],0)</f>
        <v>-0.05</v>
      </c>
      <c r="P57">
        <v>10</v>
      </c>
      <c r="Q57" s="8">
        <f xml:space="preserve"> IFERROR(SUMIFS('College Data By Year'!J:J,'College Data By Year'!A:A,Table2[[#This Row],[Player Name]])/SUMIFS('College Data By Year'!L:L,'College Data By Year'!A:A,Table2[[#This Row],[Player Name]]),"")</f>
        <v>0.1486884991463604</v>
      </c>
      <c r="R57" s="11">
        <f xml:space="preserve"> IFERROR(SUMIFS('College Data By Year'!D:D,'College Data By Year'!A:A,Table2[[#This Row],[Player Name]])/SUMIFS('College Data By Year'!B:B,'College Data By Year'!A:A,Table2[[#This Row],[Player Name]]),"")</f>
        <v>6.2266500622665005E-2</v>
      </c>
      <c r="S57">
        <f>IF(SUMIFS('College Data By Year'!H:H,'College Data By Year'!A:A,Table2[[#This Row],[Player Name]])=0,"",SUMIFS('College Data By Year'!H:H,'College Data By Year'!A:A,Table2[[#This Row],[Player Name]]))</f>
        <v>150.9</v>
      </c>
      <c r="T57" s="7">
        <f>IFERROR(SUMIFS('College Data By Year'!D:D,'College Data By Year'!A:A,Table2[[#This Row],[Player Name]])/SUMIFS('College Data By Year'!E:E,'College Data By Year'!A:A,Table2[[#This Row],[Player Name]]),"")</f>
        <v>2.3809523809523809</v>
      </c>
      <c r="U57" s="7">
        <f>IFERROR(SUMIFS('College Data By Year'!B:B,'College Data By Year'!A:A,Table2[[#This Row],[Player Name]])/SUMIFS('College Data By Year'!I:I,'College Data By Year'!A:A,Table2[[#This Row],[Player Name]]),"")</f>
        <v>3.9556650246305418</v>
      </c>
      <c r="V57">
        <f>IF(SUMIFS('College Data By Year'!F:F,'College Data By Year'!A:A,Table2[[#This Row],[Player Name]])=0,"",SUMIFS('College Data By Year'!F:F,'College Data By Year'!A:A,Table2[[#This Row],[Player Name]]))</f>
        <v>8.5</v>
      </c>
      <c r="W57">
        <f>IF(SUMIFS('College Data By Year'!G:G,'College Data By Year'!A:A,Table2[[#This Row],[Player Name]])=0,"",SUMIFS('College Data By Year'!G:G,'College Data By Year'!A:A,Table2[[#This Row],[Player Name]]))</f>
        <v>8.6</v>
      </c>
      <c r="X5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3.4791252485089463E-2</v>
      </c>
      <c r="Y57">
        <v>4.7699999999999996</v>
      </c>
      <c r="Z57">
        <v>9.125</v>
      </c>
      <c r="AA57" t="s">
        <v>221</v>
      </c>
      <c r="AB57">
        <v>216</v>
      </c>
      <c r="AC57">
        <v>27.7</v>
      </c>
      <c r="AD57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57">
        <f>ROUND(IF(Table2[[#This Row],[Draft Round]]=1,10,IF(Table2[[#This Row],[Draft Round]]=8,0,10/(20.884*EXP(-0.381*1))*(20.884*EXP(-0.381*Table2[[#This Row],[Draft Round]])))),0)</f>
        <v>1</v>
      </c>
      <c r="AF57">
        <f>ROUND(IF(Table2[[#This Row],[College BF Dominator]]&gt;0.3,10,IF(Table2[[#This Row],[College BF Dominator]]&lt;-0.156,0,10/(20.818*0.3+3.2667)*(20.818*Table2[[#This Row],[College BF Dominator]]+3.2667))),0)</f>
        <v>7</v>
      </c>
      <c r="AG57">
        <f>ROUND(IF(Table2[[#This Row],[College PTDR]]&gt;0.085,10,IF(Table2[[#This Row],[College PTDR]]&lt;0.04,0,10/(105.24*0.085-1.7837)*(105.24*Table2[[#This Row],[College PTDR]]-1.7837))),0)</f>
        <v>7</v>
      </c>
      <c r="AH57">
        <f>ROUND(IF(Table2[[#This Row],[College Passer Rating]]&gt;170,10,IF(Table2[[#This Row],[College Passer Rating]]&lt;112.475,0,10/(0.1495*170-16.815)*(0.1495*Table2[[#This Row],[College Passer Rating]]-16.815))),0)</f>
        <v>7</v>
      </c>
      <c r="AI57">
        <f>ROUND(IF(Table2[[#This Row],[PTD:INT]]&gt;4,10,IF(Table2[[#This Row],[PTD:INT]]&lt;1,0,10/(4.7442*LN(4)+0.4256)*(4.7442*LN(Table2[[#This Row],[PTD:INT]])+0.4256))),0)</f>
        <v>6</v>
      </c>
      <c r="AJ57">
        <f>ROUND(IF(Table2[[#This Row],[Patt:Ratt]]&lt;2.5,10,IF(Table2[[#This Row],[Patt:Ratt]]&gt;15,0,10/(-2.684*LN(2.5)+9.0869)*(-2.684*LN(Table2[[#This Row],[Patt:Ratt]])+9.0869))),0)</f>
        <v>8</v>
      </c>
      <c r="AK57">
        <f>ROUND(IF(Table2[[#This Row],[Y/A]]&gt;9.2,10,IF(Table2[[#This Row],[Y/A]]&lt;6.26,0,10/(2.2619*9.2-14.16)*(2.2619*Table2[[#This Row],[Y/A]]-14.16))),0)</f>
        <v>8</v>
      </c>
      <c r="AL57">
        <f>ROUND(IF(Table2[[#This Row],[AY/A]]&gt;10,10,IF(Table2[[#This Row],[AY/A]]&lt;5.51,0,10/(1.6571*10-9.1312)*(1.6571*Table2[[#This Row],[AY/A]]-9.1312))),0)</f>
        <v>7</v>
      </c>
      <c r="AM57">
        <f>ROUND(IF(Table2[[#This Row],[40 Yd Dash]]&lt;4.75,10,IF(Table2[[#This Row],[40 Yd Dash]]&gt;5.191,0,10/(-66.95*LN(4.75)+110.26)*(-66.95*LN(Table2[[#This Row],[40 Yd Dash]])+110.26))),0)</f>
        <v>10</v>
      </c>
      <c r="AN57">
        <f>ROUND(IF(Table2[[#This Row],[Hand Size]]&gt;10.25,10,IF(Table2[[#This Row],[Hand Size]]&lt;9,0,10/(15.49*LN(10.25)-30.577)*(15.49*LN(Table2[[#This Row],[Hand Size]])-30.577))),0)</f>
        <v>7</v>
      </c>
    </row>
    <row r="58" spans="1:40">
      <c r="A58">
        <v>2017</v>
      </c>
      <c r="B58">
        <v>8</v>
      </c>
      <c r="C58" t="s">
        <v>219</v>
      </c>
      <c r="D58" t="s">
        <v>122</v>
      </c>
      <c r="E58">
        <v>5.0999999999999996</v>
      </c>
      <c r="F58" t="s">
        <v>237</v>
      </c>
      <c r="G58">
        <f>SUMIFS('NFL QB Data By Year'!$Q:$Q,'NFL QB Data By Year'!$D:$D,Table2[[#This Row],[Player Name]],'NFL QB Data By Year'!$B:$B,Table2[[#This Row],[Draft Year]]+G$1)</f>
        <v>0</v>
      </c>
      <c r="H58">
        <f>SUMIFS('NFL QB Data By Year'!$P:$P,'NFL QB Data By Year'!$D:$D,Table2[[#This Row],[Player Name]],'NFL QB Data By Year'!$B:$B,Table2[[#This Row],[Draft Year]]+H$1)</f>
        <v>0</v>
      </c>
      <c r="I58">
        <f>SUMIFS('NFL QB Data By Year'!$Q:$Q,'NFL QB Data By Year'!$D:$D,Table2[[#This Row],[Player Name]],'NFL QB Data By Year'!$B:$B,Table2[[#This Row],[Draft Year]]+I$1)</f>
        <v>8</v>
      </c>
      <c r="J58">
        <f>SUMIFS('NFL QB Data By Year'!$P:$P,'NFL QB Data By Year'!$D:$D,Table2[[#This Row],[Player Name]],'NFL QB Data By Year'!$B:$B,Table2[[#This Row],[Draft Year]]+J$1)</f>
        <v>123.5</v>
      </c>
      <c r="K58">
        <f>SUMIFS('NFL QB Data By Year'!$Q:$Q,'NFL QB Data By Year'!$D:$D,Table2[[#This Row],[Player Name]],'NFL QB Data By Year'!$B:$B,Table2[[#This Row],[Draft Year]]+K$1)</f>
        <v>2</v>
      </c>
      <c r="L58">
        <f>SUMIFS('NFL QB Data By Year'!$P:$P,'NFL QB Data By Year'!$D:$D,Table2[[#This Row],[Player Name]],'NFL QB Data By Year'!$B:$B,Table2[[#This Row],[Draft Year]]+L$1)</f>
        <v>-0.3</v>
      </c>
      <c r="M58">
        <f>Table2[[#This Row],[Year 1 G]]+Table2[[#This Row],[Year 2 G]]+Table2[[#This Row],[Year 3 G]]</f>
        <v>10</v>
      </c>
      <c r="N58">
        <f>Table2[[#This Row],[Year 1 FPTs]]+Table2[[#This Row],[Year 2 FPTs]]+Table2[[#This Row],[Year 3 FPTs]]</f>
        <v>123.2</v>
      </c>
      <c r="O58" s="7">
        <f>IFERROR(Table2[[#This Row],[Total FPTs]]/Table2[[#This Row],[Total G]],0)</f>
        <v>12.32</v>
      </c>
      <c r="P58">
        <v>5</v>
      </c>
      <c r="Q58" s="8">
        <f xml:space="preserve"> IFERROR(SUMIFS('College Data By Year'!J:J,'College Data By Year'!A:A,Table2[[#This Row],[Player Name]])/SUMIFS('College Data By Year'!L:L,'College Data By Year'!A:A,Table2[[#This Row],[Player Name]]),"")</f>
        <v>-3.0859662013225569E-2</v>
      </c>
      <c r="R58" s="11">
        <f xml:space="preserve"> IFERROR(SUMIFS('College Data By Year'!D:D,'College Data By Year'!A:A,Table2[[#This Row],[Player Name]])/SUMIFS('College Data By Year'!B:B,'College Data By Year'!A:A,Table2[[#This Row],[Player Name]]),"")</f>
        <v>5.6274256144890039E-2</v>
      </c>
      <c r="S58">
        <f>IF(SUMIFS('College Data By Year'!H:H,'College Data By Year'!A:A,Table2[[#This Row],[Player Name]])=0,"",SUMIFS('College Data By Year'!H:H,'College Data By Year'!A:A,Table2[[#This Row],[Player Name]]))</f>
        <v>137.80000000000001</v>
      </c>
      <c r="T58" s="7">
        <f>IFERROR(SUMIFS('College Data By Year'!D:D,'College Data By Year'!A:A,Table2[[#This Row],[Player Name]])/SUMIFS('College Data By Year'!E:E,'College Data By Year'!A:A,Table2[[#This Row],[Player Name]]),"")</f>
        <v>1.8913043478260869</v>
      </c>
      <c r="U58" s="7">
        <f>IFERROR(SUMIFS('College Data By Year'!B:B,'College Data By Year'!A:A,Table2[[#This Row],[Player Name]])/SUMIFS('College Data By Year'!I:I,'College Data By Year'!A:A,Table2[[#This Row],[Player Name]]),"")</f>
        <v>8.4480874316939882</v>
      </c>
      <c r="V58">
        <f>IF(SUMIFS('College Data By Year'!F:F,'College Data By Year'!A:A,Table2[[#This Row],[Player Name]])=0,"",SUMIFS('College Data By Year'!F:F,'College Data By Year'!A:A,Table2[[#This Row],[Player Name]]))</f>
        <v>7.8</v>
      </c>
      <c r="W58">
        <f>IF(SUMIFS('College Data By Year'!G:G,'College Data By Year'!A:A,Table2[[#This Row],[Player Name]])=0,"",SUMIFS('College Data By Year'!G:G,'College Data By Year'!A:A,Table2[[#This Row],[Player Name]]))</f>
        <v>7.5</v>
      </c>
      <c r="X5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5.1474840948525162E-2</v>
      </c>
      <c r="Y58">
        <v>4.9000000000000004</v>
      </c>
      <c r="Z58">
        <v>9.125</v>
      </c>
      <c r="AA58" t="s">
        <v>228</v>
      </c>
      <c r="AB58">
        <v>187</v>
      </c>
      <c r="AC58">
        <v>24.7</v>
      </c>
      <c r="AD58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58">
        <f>ROUND(IF(Table2[[#This Row],[Draft Round]]=1,10,IF(Table2[[#This Row],[Draft Round]]=8,0,10/(20.884*EXP(-0.381*1))*(20.884*EXP(-0.381*Table2[[#This Row],[Draft Round]])))),0)</f>
        <v>0</v>
      </c>
      <c r="AF58">
        <f>ROUND(IF(Table2[[#This Row],[College BF Dominator]]&gt;0.3,10,IF(Table2[[#This Row],[College BF Dominator]]&lt;-0.156,0,10/(20.818*0.3+3.2667)*(20.818*Table2[[#This Row],[College BF Dominator]]+3.2667))),0)</f>
        <v>3</v>
      </c>
      <c r="AG58">
        <f>ROUND(IF(Table2[[#This Row],[College PTDR]]&gt;0.085,10,IF(Table2[[#This Row],[College PTDR]]&lt;0.04,0,10/(105.24*0.085-1.7837)*(105.24*Table2[[#This Row],[College PTDR]]-1.7837))),0)</f>
        <v>6</v>
      </c>
      <c r="AH58">
        <f>ROUND(IF(Table2[[#This Row],[College Passer Rating]]&gt;170,10,IF(Table2[[#This Row],[College Passer Rating]]&lt;112.475,0,10/(0.1495*170-16.815)*(0.1495*Table2[[#This Row],[College Passer Rating]]-16.815))),0)</f>
        <v>4</v>
      </c>
      <c r="AI58">
        <f>ROUND(IF(Table2[[#This Row],[PTD:INT]]&gt;4,10,IF(Table2[[#This Row],[PTD:INT]]&lt;1,0,10/(4.7442*LN(4)+0.4256)*(4.7442*LN(Table2[[#This Row],[PTD:INT]])+0.4256))),0)</f>
        <v>5</v>
      </c>
      <c r="AJ58">
        <f>ROUND(IF(Table2[[#This Row],[Patt:Ratt]]&lt;2.5,10,IF(Table2[[#This Row],[Patt:Ratt]]&gt;15,0,10/(-2.684*LN(2.5)+9.0869)*(-2.684*LN(Table2[[#This Row],[Patt:Ratt]])+9.0869))),0)</f>
        <v>5</v>
      </c>
      <c r="AK58">
        <f>ROUND(IF(Table2[[#This Row],[Y/A]]&gt;9.2,10,IF(Table2[[#This Row],[Y/A]]&lt;6.26,0,10/(2.2619*9.2-14.16)*(2.2619*Table2[[#This Row],[Y/A]]-14.16))),0)</f>
        <v>5</v>
      </c>
      <c r="AL58">
        <f>ROUND(IF(Table2[[#This Row],[AY/A]]&gt;10,10,IF(Table2[[#This Row],[AY/A]]&lt;5.51,0,10/(1.6571*10-9.1312)*(1.6571*Table2[[#This Row],[AY/A]]-9.1312))),0)</f>
        <v>4</v>
      </c>
      <c r="AM58">
        <f>ROUND(IF(Table2[[#This Row],[40 Yd Dash]]&lt;4.75,10,IF(Table2[[#This Row],[40 Yd Dash]]&gt;5.191,0,10/(-66.95*LN(4.75)+110.26)*(-66.95*LN(Table2[[#This Row],[40 Yd Dash]])+110.26))),0)</f>
        <v>6</v>
      </c>
      <c r="AN58">
        <f>ROUND(IF(Table2[[#This Row],[Hand Size]]&gt;10.25,10,IF(Table2[[#This Row],[Hand Size]]&lt;9,0,10/(15.49*LN(10.25)-30.577)*(15.49*LN(Table2[[#This Row],[Hand Size]])-30.577))),0)</f>
        <v>7</v>
      </c>
    </row>
    <row r="59" spans="1:40">
      <c r="A59">
        <v>2019</v>
      </c>
      <c r="B59">
        <v>8</v>
      </c>
      <c r="C59" t="s">
        <v>219</v>
      </c>
      <c r="D59" t="s">
        <v>102</v>
      </c>
      <c r="E59">
        <v>5.6</v>
      </c>
      <c r="F59" t="s">
        <v>236</v>
      </c>
      <c r="G59">
        <f>SUMIFS('NFL QB Data By Year'!$Q:$Q,'NFL QB Data By Year'!$D:$D,Table2[[#This Row],[Player Name]],'NFL QB Data By Year'!$B:$B,Table2[[#This Row],[Draft Year]]+G$1)</f>
        <v>0</v>
      </c>
      <c r="H59">
        <f>SUMIFS('NFL QB Data By Year'!$P:$P,'NFL QB Data By Year'!$D:$D,Table2[[#This Row],[Player Name]],'NFL QB Data By Year'!$B:$B,Table2[[#This Row],[Draft Year]]+H$1)</f>
        <v>0</v>
      </c>
      <c r="I59">
        <f>SUMIFS('NFL QB Data By Year'!$Q:$Q,'NFL QB Data By Year'!$D:$D,Table2[[#This Row],[Player Name]],'NFL QB Data By Year'!$B:$B,Table2[[#This Row],[Draft Year]]+I$1)</f>
        <v>3</v>
      </c>
      <c r="J59">
        <f>SUMIFS('NFL QB Data By Year'!$P:$P,'NFL QB Data By Year'!$D:$D,Table2[[#This Row],[Player Name]],'NFL QB Data By Year'!$B:$B,Table2[[#This Row],[Draft Year]]+J$1)</f>
        <v>15.3</v>
      </c>
      <c r="K59">
        <f>SUMIFS('NFL QB Data By Year'!$Q:$Q,'NFL QB Data By Year'!$D:$D,Table2[[#This Row],[Player Name]],'NFL QB Data By Year'!$B:$B,Table2[[#This Row],[Draft Year]]+K$1)</f>
        <v>1</v>
      </c>
      <c r="L59">
        <f>SUMIFS('NFL QB Data By Year'!$P:$P,'NFL QB Data By Year'!$D:$D,Table2[[#This Row],[Player Name]],'NFL QB Data By Year'!$B:$B,Table2[[#This Row],[Draft Year]]+L$1)</f>
        <v>0</v>
      </c>
      <c r="M59">
        <f>Table2[[#This Row],[Year 1 G]]+Table2[[#This Row],[Year 2 G]]+Table2[[#This Row],[Year 3 G]]</f>
        <v>4</v>
      </c>
      <c r="N59">
        <f>Table2[[#This Row],[Year 1 FPTs]]+Table2[[#This Row],[Year 2 FPTs]]+Table2[[#This Row],[Year 3 FPTs]]</f>
        <v>15.3</v>
      </c>
      <c r="O59" s="7">
        <f>IFERROR(Table2[[#This Row],[Total FPTs]]/Table2[[#This Row],[Total G]],0)</f>
        <v>3.8250000000000002</v>
      </c>
      <c r="P59">
        <v>8</v>
      </c>
      <c r="Q59" s="8">
        <f xml:space="preserve"> IFERROR(SUMIFS('College Data By Year'!J:J,'College Data By Year'!A:A,Table2[[#This Row],[Player Name]])/SUMIFS('College Data By Year'!L:L,'College Data By Year'!A:A,Table2[[#This Row],[Player Name]]),"")</f>
        <v>-1.1405568601140557E-2</v>
      </c>
      <c r="R59" s="11">
        <f xml:space="preserve"> IFERROR(SUMIFS('College Data By Year'!D:D,'College Data By Year'!A:A,Table2[[#This Row],[Player Name]])/SUMIFS('College Data By Year'!B:B,'College Data By Year'!A:A,Table2[[#This Row],[Player Name]]),"")</f>
        <v>5.5658627087198514E-2</v>
      </c>
      <c r="S59">
        <f>IF(SUMIFS('College Data By Year'!H:H,'College Data By Year'!A:A,Table2[[#This Row],[Player Name]])=0,"",SUMIFS('College Data By Year'!H:H,'College Data By Year'!A:A,Table2[[#This Row],[Player Name]]))</f>
        <v>149.30000000000001</v>
      </c>
      <c r="T59" s="7">
        <f>IFERROR(SUMIFS('College Data By Year'!D:D,'College Data By Year'!A:A,Table2[[#This Row],[Player Name]])/SUMIFS('College Data By Year'!E:E,'College Data By Year'!A:A,Table2[[#This Row],[Player Name]]),"")</f>
        <v>3.103448275862069</v>
      </c>
      <c r="U59" s="7">
        <f>IFERROR(SUMIFS('College Data By Year'!B:B,'College Data By Year'!A:A,Table2[[#This Row],[Player Name]])/SUMIFS('College Data By Year'!I:I,'College Data By Year'!A:A,Table2[[#This Row],[Player Name]]),"")</f>
        <v>7.6635071090047395</v>
      </c>
      <c r="V59">
        <f>IF(SUMIFS('College Data By Year'!F:F,'College Data By Year'!A:A,Table2[[#This Row],[Player Name]])=0,"",SUMIFS('College Data By Year'!F:F,'College Data By Year'!A:A,Table2[[#This Row],[Player Name]]))</f>
        <v>8.4</v>
      </c>
      <c r="W59">
        <f>IF(SUMIFS('College Data By Year'!G:G,'College Data By Year'!A:A,Table2[[#This Row],[Player Name]])=0,"",SUMIFS('College Data By Year'!G:G,'College Data By Year'!A:A,Table2[[#This Row],[Player Name]]))</f>
        <v>8.6999999999999993</v>
      </c>
      <c r="X5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4.9781181619256015E-2</v>
      </c>
      <c r="Y59">
        <v>4.91</v>
      </c>
      <c r="Z59">
        <v>9</v>
      </c>
      <c r="AA59" t="s">
        <v>221</v>
      </c>
      <c r="AB59">
        <v>210</v>
      </c>
      <c r="AC59">
        <v>27</v>
      </c>
      <c r="AD59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59">
        <f>ROUND(IF(Table2[[#This Row],[Draft Round]]=1,10,IF(Table2[[#This Row],[Draft Round]]=8,0,10/(20.884*EXP(-0.381*1))*(20.884*EXP(-0.381*Table2[[#This Row],[Draft Round]])))),0)</f>
        <v>0</v>
      </c>
      <c r="AF59">
        <f>ROUND(IF(Table2[[#This Row],[College BF Dominator]]&gt;0.3,10,IF(Table2[[#This Row],[College BF Dominator]]&lt;-0.156,0,10/(20.818*0.3+3.2667)*(20.818*Table2[[#This Row],[College BF Dominator]]+3.2667))),0)</f>
        <v>3</v>
      </c>
      <c r="AG59">
        <f>ROUND(IF(Table2[[#This Row],[College PTDR]]&gt;0.085,10,IF(Table2[[#This Row],[College PTDR]]&lt;0.04,0,10/(105.24*0.085-1.7837)*(105.24*Table2[[#This Row],[College PTDR]]-1.7837))),0)</f>
        <v>6</v>
      </c>
      <c r="AH59">
        <f>ROUND(IF(Table2[[#This Row],[College Passer Rating]]&gt;170,10,IF(Table2[[#This Row],[College Passer Rating]]&lt;112.475,0,10/(0.1495*170-16.815)*(0.1495*Table2[[#This Row],[College Passer Rating]]-16.815))),0)</f>
        <v>6</v>
      </c>
      <c r="AI59">
        <f>ROUND(IF(Table2[[#This Row],[PTD:INT]]&gt;4,10,IF(Table2[[#This Row],[PTD:INT]]&lt;1,0,10/(4.7442*LN(4)+0.4256)*(4.7442*LN(Table2[[#This Row],[PTD:INT]])+0.4256))),0)</f>
        <v>8</v>
      </c>
      <c r="AJ59">
        <f>ROUND(IF(Table2[[#This Row],[Patt:Ratt]]&lt;2.5,10,IF(Table2[[#This Row],[Patt:Ratt]]&gt;15,0,10/(-2.684*LN(2.5)+9.0869)*(-2.684*LN(Table2[[#This Row],[Patt:Ratt]])+9.0869))),0)</f>
        <v>5</v>
      </c>
      <c r="AK59">
        <f>ROUND(IF(Table2[[#This Row],[Y/A]]&gt;9.2,10,IF(Table2[[#This Row],[Y/A]]&lt;6.26,0,10/(2.2619*9.2-14.16)*(2.2619*Table2[[#This Row],[Y/A]]-14.16))),0)</f>
        <v>7</v>
      </c>
      <c r="AL59">
        <f>ROUND(IF(Table2[[#This Row],[AY/A]]&gt;10,10,IF(Table2[[#This Row],[AY/A]]&lt;5.51,0,10/(1.6571*10-9.1312)*(1.6571*Table2[[#This Row],[AY/A]]-9.1312))),0)</f>
        <v>7</v>
      </c>
      <c r="AM59">
        <f>ROUND(IF(Table2[[#This Row],[40 Yd Dash]]&lt;4.75,10,IF(Table2[[#This Row],[40 Yd Dash]]&gt;5.191,0,10/(-66.95*LN(4.75)+110.26)*(-66.95*LN(Table2[[#This Row],[40 Yd Dash]])+110.26))),0)</f>
        <v>6</v>
      </c>
      <c r="AN59">
        <f>ROUND(IF(Table2[[#This Row],[Hand Size]]&gt;10.25,10,IF(Table2[[#This Row],[Hand Size]]&lt;9,0,10/(15.49*LN(10.25)-30.577)*(15.49*LN(Table2[[#This Row],[Hand Size]])-30.577))),0)</f>
        <v>6</v>
      </c>
    </row>
    <row r="60" spans="1:40">
      <c r="A60">
        <v>2016</v>
      </c>
      <c r="B60">
        <v>8</v>
      </c>
      <c r="C60" t="s">
        <v>219</v>
      </c>
      <c r="D60" t="s">
        <v>94</v>
      </c>
      <c r="E60">
        <v>5.5</v>
      </c>
      <c r="F60" t="s">
        <v>232</v>
      </c>
      <c r="G60">
        <f>SUMIFS('NFL QB Data By Year'!$Q:$Q,'NFL QB Data By Year'!$D:$D,Table2[[#This Row],[Player Name]],'NFL QB Data By Year'!$B:$B,Table2[[#This Row],[Draft Year]]+G$1)</f>
        <v>5</v>
      </c>
      <c r="H60">
        <f>SUMIFS('NFL QB Data By Year'!$P:$P,'NFL QB Data By Year'!$D:$D,Table2[[#This Row],[Player Name]],'NFL QB Data By Year'!$B:$B,Table2[[#This Row],[Draft Year]]+H$1)</f>
        <v>7.9</v>
      </c>
      <c r="I60">
        <f>SUMIFS('NFL QB Data By Year'!$Q:$Q,'NFL QB Data By Year'!$D:$D,Table2[[#This Row],[Player Name]],'NFL QB Data By Year'!$B:$B,Table2[[#This Row],[Draft Year]]+I$1)</f>
        <v>0</v>
      </c>
      <c r="J60">
        <f>SUMIFS('NFL QB Data By Year'!$P:$P,'NFL QB Data By Year'!$D:$D,Table2[[#This Row],[Player Name]],'NFL QB Data By Year'!$B:$B,Table2[[#This Row],[Draft Year]]+J$1)</f>
        <v>0</v>
      </c>
      <c r="K60">
        <f>SUMIFS('NFL QB Data By Year'!$Q:$Q,'NFL QB Data By Year'!$D:$D,Table2[[#This Row],[Player Name]],'NFL QB Data By Year'!$B:$B,Table2[[#This Row],[Draft Year]]+K$1)</f>
        <v>0</v>
      </c>
      <c r="L60">
        <f>SUMIFS('NFL QB Data By Year'!$P:$P,'NFL QB Data By Year'!$D:$D,Table2[[#This Row],[Player Name]],'NFL QB Data By Year'!$B:$B,Table2[[#This Row],[Draft Year]]+L$1)</f>
        <v>0</v>
      </c>
      <c r="M60">
        <f>Table2[[#This Row],[Year 1 G]]+Table2[[#This Row],[Year 2 G]]+Table2[[#This Row],[Year 3 G]]</f>
        <v>5</v>
      </c>
      <c r="N60">
        <f>Table2[[#This Row],[Year 1 FPTs]]+Table2[[#This Row],[Year 2 FPTs]]+Table2[[#This Row],[Year 3 FPTs]]</f>
        <v>7.9</v>
      </c>
      <c r="O60" s="7">
        <f>IFERROR(Table2[[#This Row],[Total FPTs]]/Table2[[#This Row],[Total G]],0)</f>
        <v>1.58</v>
      </c>
      <c r="P60">
        <v>9</v>
      </c>
      <c r="Q60" s="8">
        <f xml:space="preserve"> IFERROR(SUMIFS('College Data By Year'!J:J,'College Data By Year'!A:A,Table2[[#This Row],[Player Name]])/SUMIFS('College Data By Year'!L:L,'College Data By Year'!A:A,Table2[[#This Row],[Player Name]]),"")</f>
        <v>0.23050961862976713</v>
      </c>
      <c r="R60" s="11">
        <f xml:space="preserve"> IFERROR(SUMIFS('College Data By Year'!D:D,'College Data By Year'!A:A,Table2[[#This Row],[Player Name]])/SUMIFS('College Data By Year'!B:B,'College Data By Year'!A:A,Table2[[#This Row],[Player Name]]),"")</f>
        <v>6.3468634686346864E-2</v>
      </c>
      <c r="S60">
        <f>IF(SUMIFS('College Data By Year'!H:H,'College Data By Year'!A:A,Table2[[#This Row],[Player Name]])=0,"",SUMIFS('College Data By Year'!H:H,'College Data By Year'!A:A,Table2[[#This Row],[Player Name]]))</f>
        <v>143.19999999999999</v>
      </c>
      <c r="T60" s="7">
        <f>IFERROR(SUMIFS('College Data By Year'!D:D,'College Data By Year'!A:A,Table2[[#This Row],[Player Name]])/SUMIFS('College Data By Year'!E:E,'College Data By Year'!A:A,Table2[[#This Row],[Player Name]]),"")</f>
        <v>2.3243243243243241</v>
      </c>
      <c r="U60" s="7">
        <f>IFERROR(SUMIFS('College Data By Year'!B:B,'College Data By Year'!A:A,Table2[[#This Row],[Player Name]])/SUMIFS('College Data By Year'!I:I,'College Data By Year'!A:A,Table2[[#This Row],[Player Name]]),"")</f>
        <v>2.6725838264299804</v>
      </c>
      <c r="V60">
        <f>IF(SUMIFS('College Data By Year'!F:F,'College Data By Year'!A:A,Table2[[#This Row],[Player Name]])=0,"",SUMIFS('College Data By Year'!F:F,'College Data By Year'!A:A,Table2[[#This Row],[Player Name]]))</f>
        <v>7.9</v>
      </c>
      <c r="W60">
        <f>IF(SUMIFS('College Data By Year'!G:G,'College Data By Year'!A:A,Table2[[#This Row],[Player Name]])=0,"",SUMIFS('College Data By Year'!G:G,'College Data By Year'!A:A,Table2[[#This Row],[Player Name]]))</f>
        <v>8</v>
      </c>
      <c r="X6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3.9205155746509131E-2</v>
      </c>
      <c r="Y60">
        <v>4.7699999999999996</v>
      </c>
      <c r="Z60">
        <v>9.375</v>
      </c>
      <c r="AA60" t="s">
        <v>238</v>
      </c>
      <c r="AB60">
        <v>212</v>
      </c>
      <c r="AC60">
        <v>28.7</v>
      </c>
      <c r="AD60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0">
        <f>ROUND(IF(Table2[[#This Row],[Draft Round]]=1,10,IF(Table2[[#This Row],[Draft Round]]=8,0,10/(20.884*EXP(-0.381*1))*(20.884*EXP(-0.381*Table2[[#This Row],[Draft Round]])))),0)</f>
        <v>0</v>
      </c>
      <c r="AF60">
        <f>ROUND(IF(Table2[[#This Row],[College BF Dominator]]&gt;0.3,10,IF(Table2[[#This Row],[College BF Dominator]]&lt;-0.156,0,10/(20.818*0.3+3.2667)*(20.818*Table2[[#This Row],[College BF Dominator]]+3.2667))),0)</f>
        <v>8</v>
      </c>
      <c r="AG60">
        <f>ROUND(IF(Table2[[#This Row],[College PTDR]]&gt;0.085,10,IF(Table2[[#This Row],[College PTDR]]&lt;0.04,0,10/(105.24*0.085-1.7837)*(105.24*Table2[[#This Row],[College PTDR]]-1.7837))),0)</f>
        <v>7</v>
      </c>
      <c r="AH60">
        <f>ROUND(IF(Table2[[#This Row],[College Passer Rating]]&gt;170,10,IF(Table2[[#This Row],[College Passer Rating]]&lt;112.475,0,10/(0.1495*170-16.815)*(0.1495*Table2[[#This Row],[College Passer Rating]]-16.815))),0)</f>
        <v>5</v>
      </c>
      <c r="AI60">
        <f>ROUND(IF(Table2[[#This Row],[PTD:INT]]&gt;4,10,IF(Table2[[#This Row],[PTD:INT]]&lt;1,0,10/(4.7442*LN(4)+0.4256)*(4.7442*LN(Table2[[#This Row],[PTD:INT]])+0.4256))),0)</f>
        <v>6</v>
      </c>
      <c r="AJ60">
        <f>ROUND(IF(Table2[[#This Row],[Patt:Ratt]]&lt;2.5,10,IF(Table2[[#This Row],[Patt:Ratt]]&gt;15,0,10/(-2.684*LN(2.5)+9.0869)*(-2.684*LN(Table2[[#This Row],[Patt:Ratt]])+9.0869))),0)</f>
        <v>10</v>
      </c>
      <c r="AK60">
        <f>ROUND(IF(Table2[[#This Row],[Y/A]]&gt;9.2,10,IF(Table2[[#This Row],[Y/A]]&lt;6.26,0,10/(2.2619*9.2-14.16)*(2.2619*Table2[[#This Row],[Y/A]]-14.16))),0)</f>
        <v>6</v>
      </c>
      <c r="AL60">
        <f>ROUND(IF(Table2[[#This Row],[AY/A]]&gt;10,10,IF(Table2[[#This Row],[AY/A]]&lt;5.51,0,10/(1.6571*10-9.1312)*(1.6571*Table2[[#This Row],[AY/A]]-9.1312))),0)</f>
        <v>6</v>
      </c>
      <c r="AM60">
        <f>ROUND(IF(Table2[[#This Row],[40 Yd Dash]]&lt;4.75,10,IF(Table2[[#This Row],[40 Yd Dash]]&gt;5.191,0,10/(-66.95*LN(4.75)+110.26)*(-66.95*LN(Table2[[#This Row],[40 Yd Dash]])+110.26))),0)</f>
        <v>10</v>
      </c>
      <c r="AN60">
        <f>ROUND(IF(Table2[[#This Row],[Hand Size]]&gt;10.25,10,IF(Table2[[#This Row],[Hand Size]]&lt;9,0,10/(15.49*LN(10.25)-30.577)*(15.49*LN(Table2[[#This Row],[Hand Size]])-30.577))),0)</f>
        <v>7</v>
      </c>
    </row>
    <row r="61" spans="1:40">
      <c r="A61">
        <v>2015</v>
      </c>
      <c r="B61">
        <v>8</v>
      </c>
      <c r="C61" t="s">
        <v>219</v>
      </c>
      <c r="D61" t="s">
        <v>95</v>
      </c>
      <c r="E61">
        <v>5.6</v>
      </c>
      <c r="F61" t="s">
        <v>236</v>
      </c>
      <c r="G61">
        <f>SUMIFS('NFL QB Data By Year'!$Q:$Q,'NFL QB Data By Year'!$D:$D,Table2[[#This Row],[Player Name]],'NFL QB Data By Year'!$B:$B,Table2[[#This Row],[Draft Year]]+G$1)</f>
        <v>0</v>
      </c>
      <c r="H61">
        <f>SUMIFS('NFL QB Data By Year'!$P:$P,'NFL QB Data By Year'!$D:$D,Table2[[#This Row],[Player Name]],'NFL QB Data By Year'!$B:$B,Table2[[#This Row],[Draft Year]]+H$1)</f>
        <v>0</v>
      </c>
      <c r="I61">
        <f>SUMIFS('NFL QB Data By Year'!$Q:$Q,'NFL QB Data By Year'!$D:$D,Table2[[#This Row],[Player Name]],'NFL QB Data By Year'!$B:$B,Table2[[#This Row],[Draft Year]]+I$1)</f>
        <v>0</v>
      </c>
      <c r="J61">
        <f>SUMIFS('NFL QB Data By Year'!$P:$P,'NFL QB Data By Year'!$D:$D,Table2[[#This Row],[Player Name]],'NFL QB Data By Year'!$B:$B,Table2[[#This Row],[Draft Year]]+J$1)</f>
        <v>0</v>
      </c>
      <c r="K61">
        <f>SUMIFS('NFL QB Data By Year'!$Q:$Q,'NFL QB Data By Year'!$D:$D,Table2[[#This Row],[Player Name]],'NFL QB Data By Year'!$B:$B,Table2[[#This Row],[Draft Year]]+K$1)</f>
        <v>1</v>
      </c>
      <c r="L61">
        <f>SUMIFS('NFL QB Data By Year'!$P:$P,'NFL QB Data By Year'!$D:$D,Table2[[#This Row],[Player Name]],'NFL QB Data By Year'!$B:$B,Table2[[#This Row],[Draft Year]]+L$1)</f>
        <v>0.6</v>
      </c>
      <c r="M61">
        <f>Table2[[#This Row],[Year 1 G]]+Table2[[#This Row],[Year 2 G]]+Table2[[#This Row],[Year 3 G]]</f>
        <v>1</v>
      </c>
      <c r="N61">
        <f>Table2[[#This Row],[Year 1 FPTs]]+Table2[[#This Row],[Year 2 FPTs]]+Table2[[#This Row],[Year 3 FPTs]]</f>
        <v>0.6</v>
      </c>
      <c r="O61" s="7">
        <f>IFERROR(Table2[[#This Row],[Total FPTs]]/Table2[[#This Row],[Total G]],0)</f>
        <v>0.6</v>
      </c>
      <c r="P61">
        <v>10</v>
      </c>
      <c r="Q61" s="8">
        <f xml:space="preserve"> IFERROR(SUMIFS('College Data By Year'!J:J,'College Data By Year'!A:A,Table2[[#This Row],[Player Name]])/SUMIFS('College Data By Year'!L:L,'College Data By Year'!A:A,Table2[[#This Row],[Player Name]]),"")</f>
        <v>0.13133764832793959</v>
      </c>
      <c r="R61" s="11">
        <f xml:space="preserve"> IFERROR(SUMIFS('College Data By Year'!D:D,'College Data By Year'!A:A,Table2[[#This Row],[Player Name]])/SUMIFS('College Data By Year'!B:B,'College Data By Year'!A:A,Table2[[#This Row],[Player Name]]),"")</f>
        <v>6.6808059384941679E-2</v>
      </c>
      <c r="S61">
        <f>IF(SUMIFS('College Data By Year'!H:H,'College Data By Year'!A:A,Table2[[#This Row],[Player Name]])=0,"",SUMIFS('College Data By Year'!H:H,'College Data By Year'!A:A,Table2[[#This Row],[Player Name]]))</f>
        <v>141.80000000000001</v>
      </c>
      <c r="T61" s="7">
        <f>IFERROR(SUMIFS('College Data By Year'!D:D,'College Data By Year'!A:A,Table2[[#This Row],[Player Name]])/SUMIFS('College Data By Year'!E:E,'College Data By Year'!A:A,Table2[[#This Row],[Player Name]]),"")</f>
        <v>2.625</v>
      </c>
      <c r="U61" s="7">
        <f>IFERROR(SUMIFS('College Data By Year'!B:B,'College Data By Year'!A:A,Table2[[#This Row],[Player Name]])/SUMIFS('College Data By Year'!I:I,'College Data By Year'!A:A,Table2[[#This Row],[Player Name]]),"")</f>
        <v>5.4508670520231215</v>
      </c>
      <c r="V61">
        <f>IF(SUMIFS('College Data By Year'!F:F,'College Data By Year'!A:A,Table2[[#This Row],[Player Name]])=0,"",SUMIFS('College Data By Year'!F:F,'College Data By Year'!A:A,Table2[[#This Row],[Player Name]]))</f>
        <v>7.6</v>
      </c>
      <c r="W61">
        <f>IF(SUMIFS('College Data By Year'!G:G,'College Data By Year'!A:A,Table2[[#This Row],[Player Name]])=0,"",SUMIFS('College Data By Year'!G:G,'College Data By Year'!A:A,Table2[[#This Row],[Player Name]]))</f>
        <v>7.3</v>
      </c>
      <c r="X6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4.2114695340501794E-2</v>
      </c>
      <c r="Y61">
        <v>4.67</v>
      </c>
      <c r="Z61">
        <v>9.25</v>
      </c>
      <c r="AA61" t="s">
        <v>228</v>
      </c>
      <c r="AB61">
        <v>213</v>
      </c>
      <c r="AC61">
        <v>28.1</v>
      </c>
      <c r="AD61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61">
        <f>ROUND(IF(Table2[[#This Row],[Draft Round]]=1,10,IF(Table2[[#This Row],[Draft Round]]=8,0,10/(20.884*EXP(-0.381*1))*(20.884*EXP(-0.381*Table2[[#This Row],[Draft Round]])))),0)</f>
        <v>0</v>
      </c>
      <c r="AF61">
        <f>ROUND(IF(Table2[[#This Row],[College BF Dominator]]&gt;0.3,10,IF(Table2[[#This Row],[College BF Dominator]]&lt;-0.156,0,10/(20.818*0.3+3.2667)*(20.818*Table2[[#This Row],[College BF Dominator]]+3.2667))),0)</f>
        <v>6</v>
      </c>
      <c r="AG61">
        <f>ROUND(IF(Table2[[#This Row],[College PTDR]]&gt;0.085,10,IF(Table2[[#This Row],[College PTDR]]&lt;0.04,0,10/(105.24*0.085-1.7837)*(105.24*Table2[[#This Row],[College PTDR]]-1.7837))),0)</f>
        <v>7</v>
      </c>
      <c r="AH61">
        <f>ROUND(IF(Table2[[#This Row],[College Passer Rating]]&gt;170,10,IF(Table2[[#This Row],[College Passer Rating]]&lt;112.475,0,10/(0.1495*170-16.815)*(0.1495*Table2[[#This Row],[College Passer Rating]]-16.815))),0)</f>
        <v>5</v>
      </c>
      <c r="AI61">
        <f>ROUND(IF(Table2[[#This Row],[PTD:INT]]&gt;4,10,IF(Table2[[#This Row],[PTD:INT]]&lt;1,0,10/(4.7442*LN(4)+0.4256)*(4.7442*LN(Table2[[#This Row],[PTD:INT]])+0.4256))),0)</f>
        <v>7</v>
      </c>
      <c r="AJ61">
        <f>ROUND(IF(Table2[[#This Row],[Patt:Ratt]]&lt;2.5,10,IF(Table2[[#This Row],[Patt:Ratt]]&gt;15,0,10/(-2.684*LN(2.5)+9.0869)*(-2.684*LN(Table2[[#This Row],[Patt:Ratt]])+9.0869))),0)</f>
        <v>7</v>
      </c>
      <c r="AK61">
        <f>ROUND(IF(Table2[[#This Row],[Y/A]]&gt;9.2,10,IF(Table2[[#This Row],[Y/A]]&lt;6.26,0,10/(2.2619*9.2-14.16)*(2.2619*Table2[[#This Row],[Y/A]]-14.16))),0)</f>
        <v>5</v>
      </c>
      <c r="AL61">
        <f>ROUND(IF(Table2[[#This Row],[AY/A]]&gt;10,10,IF(Table2[[#This Row],[AY/A]]&lt;5.51,0,10/(1.6571*10-9.1312)*(1.6571*Table2[[#This Row],[AY/A]]-9.1312))),0)</f>
        <v>4</v>
      </c>
      <c r="AM61">
        <f>ROUND(IF(Table2[[#This Row],[40 Yd Dash]]&lt;4.75,10,IF(Table2[[#This Row],[40 Yd Dash]]&gt;5.191,0,10/(-66.95*LN(4.75)+110.26)*(-66.95*LN(Table2[[#This Row],[40 Yd Dash]])+110.26))),0)</f>
        <v>10</v>
      </c>
      <c r="AN61">
        <f>ROUND(IF(Table2[[#This Row],[Hand Size]]&gt;10.25,10,IF(Table2[[#This Row],[Hand Size]]&lt;9,0,10/(15.49*LN(10.25)-30.577)*(15.49*LN(Table2[[#This Row],[Hand Size]])-30.577))),0)</f>
        <v>7</v>
      </c>
    </row>
    <row r="62" spans="1:40">
      <c r="A62">
        <v>2017</v>
      </c>
      <c r="B62">
        <v>8</v>
      </c>
      <c r="C62" t="s">
        <v>219</v>
      </c>
      <c r="D62" t="s">
        <v>118</v>
      </c>
      <c r="E62">
        <v>5.5</v>
      </c>
      <c r="F62" t="s">
        <v>232</v>
      </c>
      <c r="G62">
        <f>SUMIFS('NFL QB Data By Year'!$Q:$Q,'NFL QB Data By Year'!$D:$D,Table2[[#This Row],[Player Name]],'NFL QB Data By Year'!$B:$B,Table2[[#This Row],[Draft Year]]+G$1)</f>
        <v>2</v>
      </c>
      <c r="H62">
        <f>SUMIFS('NFL QB Data By Year'!$P:$P,'NFL QB Data By Year'!$D:$D,Table2[[#This Row],[Player Name]],'NFL QB Data By Year'!$B:$B,Table2[[#This Row],[Draft Year]]+H$1)</f>
        <v>1.4</v>
      </c>
      <c r="I62">
        <f>SUMIFS('NFL QB Data By Year'!$Q:$Q,'NFL QB Data By Year'!$D:$D,Table2[[#This Row],[Player Name]],'NFL QB Data By Year'!$B:$B,Table2[[#This Row],[Draft Year]]+I$1)</f>
        <v>1</v>
      </c>
      <c r="J62">
        <f>SUMIFS('NFL QB Data By Year'!$P:$P,'NFL QB Data By Year'!$D:$D,Table2[[#This Row],[Player Name]],'NFL QB Data By Year'!$B:$B,Table2[[#This Row],[Draft Year]]+J$1)</f>
        <v>0</v>
      </c>
      <c r="K62">
        <f>SUMIFS('NFL QB Data By Year'!$Q:$Q,'NFL QB Data By Year'!$D:$D,Table2[[#This Row],[Player Name]],'NFL QB Data By Year'!$B:$B,Table2[[#This Row],[Draft Year]]+K$1)</f>
        <v>2</v>
      </c>
      <c r="L62">
        <f>SUMIFS('NFL QB Data By Year'!$P:$P,'NFL QB Data By Year'!$D:$D,Table2[[#This Row],[Player Name]],'NFL QB Data By Year'!$B:$B,Table2[[#This Row],[Draft Year]]+L$1)</f>
        <v>0</v>
      </c>
      <c r="M62">
        <f>Table2[[#This Row],[Year 1 G]]+Table2[[#This Row],[Year 2 G]]+Table2[[#This Row],[Year 3 G]]</f>
        <v>5</v>
      </c>
      <c r="N62">
        <f>Table2[[#This Row],[Year 1 FPTs]]+Table2[[#This Row],[Year 2 FPTs]]+Table2[[#This Row],[Year 3 FPTs]]</f>
        <v>1.4</v>
      </c>
      <c r="O62" s="7">
        <f>IFERROR(Table2[[#This Row],[Total FPTs]]/Table2[[#This Row],[Total G]],0)</f>
        <v>0.27999999999999997</v>
      </c>
      <c r="P62">
        <v>10</v>
      </c>
      <c r="Q62" s="8">
        <f xml:space="preserve"> IFERROR(SUMIFS('College Data By Year'!J:J,'College Data By Year'!A:A,Table2[[#This Row],[Player Name]])/SUMIFS('College Data By Year'!L:L,'College Data By Year'!A:A,Table2[[#This Row],[Player Name]]),"")</f>
        <v>-1.8365758754863813E-2</v>
      </c>
      <c r="R62" s="11">
        <f xml:space="preserve"> IFERROR(SUMIFS('College Data By Year'!D:D,'College Data By Year'!A:A,Table2[[#This Row],[Player Name]])/SUMIFS('College Data By Year'!B:B,'College Data By Year'!A:A,Table2[[#This Row],[Player Name]]),"")</f>
        <v>5.461165048543689E-2</v>
      </c>
      <c r="S62">
        <f>IF(SUMIFS('College Data By Year'!H:H,'College Data By Year'!A:A,Table2[[#This Row],[Player Name]])=0,"",SUMIFS('College Data By Year'!H:H,'College Data By Year'!A:A,Table2[[#This Row],[Player Name]]))</f>
        <v>139.1</v>
      </c>
      <c r="T62" s="7">
        <f>IFERROR(SUMIFS('College Data By Year'!D:D,'College Data By Year'!A:A,Table2[[#This Row],[Player Name]])/SUMIFS('College Data By Year'!E:E,'College Data By Year'!A:A,Table2[[#This Row],[Player Name]]),"")</f>
        <v>1.6363636363636365</v>
      </c>
      <c r="U62" s="7">
        <f>IFERROR(SUMIFS('College Data By Year'!B:B,'College Data By Year'!A:A,Table2[[#This Row],[Player Name]])/SUMIFS('College Data By Year'!I:I,'College Data By Year'!A:A,Table2[[#This Row],[Player Name]]),"")</f>
        <v>7.6651162790697676</v>
      </c>
      <c r="V62">
        <f>IF(SUMIFS('College Data By Year'!F:F,'College Data By Year'!A:A,Table2[[#This Row],[Player Name]])=0,"",SUMIFS('College Data By Year'!F:F,'College Data By Year'!A:A,Table2[[#This Row],[Player Name]]))</f>
        <v>7.8</v>
      </c>
      <c r="W62">
        <f>IF(SUMIFS('College Data By Year'!G:G,'College Data By Year'!A:A,Table2[[#This Row],[Player Name]])=0,"",SUMIFS('College Data By Year'!G:G,'College Data By Year'!A:A,Table2[[#This Row],[Player Name]]))</f>
        <v>7.4</v>
      </c>
      <c r="X6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6.3338701019860444E-2</v>
      </c>
      <c r="Y62">
        <v>4.93</v>
      </c>
      <c r="Z62">
        <v>9.125</v>
      </c>
      <c r="AA62" t="s">
        <v>229</v>
      </c>
      <c r="AB62">
        <v>228</v>
      </c>
      <c r="AC62">
        <v>28.5</v>
      </c>
      <c r="AD62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2">
        <f>ROUND(IF(Table2[[#This Row],[Draft Round]]=1,10,IF(Table2[[#This Row],[Draft Round]]=8,0,10/(20.884*EXP(-0.381*1))*(20.884*EXP(-0.381*Table2[[#This Row],[Draft Round]])))),0)</f>
        <v>0</v>
      </c>
      <c r="AF62">
        <f>ROUND(IF(Table2[[#This Row],[College BF Dominator]]&gt;0.3,10,IF(Table2[[#This Row],[College BF Dominator]]&lt;-0.156,0,10/(20.818*0.3+3.2667)*(20.818*Table2[[#This Row],[College BF Dominator]]+3.2667))),0)</f>
        <v>3</v>
      </c>
      <c r="AG62">
        <f>ROUND(IF(Table2[[#This Row],[College PTDR]]&gt;0.085,10,IF(Table2[[#This Row],[College PTDR]]&lt;0.04,0,10/(105.24*0.085-1.7837)*(105.24*Table2[[#This Row],[College PTDR]]-1.7837))),0)</f>
        <v>6</v>
      </c>
      <c r="AH62">
        <f>ROUND(IF(Table2[[#This Row],[College Passer Rating]]&gt;170,10,IF(Table2[[#This Row],[College Passer Rating]]&lt;112.475,0,10/(0.1495*170-16.815)*(0.1495*Table2[[#This Row],[College Passer Rating]]-16.815))),0)</f>
        <v>5</v>
      </c>
      <c r="AI62">
        <f>ROUND(IF(Table2[[#This Row],[PTD:INT]]&gt;4,10,IF(Table2[[#This Row],[PTD:INT]]&lt;1,0,10/(4.7442*LN(4)+0.4256)*(4.7442*LN(Table2[[#This Row],[PTD:INT]])+0.4256))),0)</f>
        <v>4</v>
      </c>
      <c r="AJ62">
        <f>ROUND(IF(Table2[[#This Row],[Patt:Ratt]]&lt;2.5,10,IF(Table2[[#This Row],[Patt:Ratt]]&gt;15,0,10/(-2.684*LN(2.5)+9.0869)*(-2.684*LN(Table2[[#This Row],[Patt:Ratt]])+9.0869))),0)</f>
        <v>5</v>
      </c>
      <c r="AK62">
        <f>ROUND(IF(Table2[[#This Row],[Y/A]]&gt;9.2,10,IF(Table2[[#This Row],[Y/A]]&lt;6.26,0,10/(2.2619*9.2-14.16)*(2.2619*Table2[[#This Row],[Y/A]]-14.16))),0)</f>
        <v>5</v>
      </c>
      <c r="AL62">
        <f>ROUND(IF(Table2[[#This Row],[AY/A]]&gt;10,10,IF(Table2[[#This Row],[AY/A]]&lt;5.51,0,10/(1.6571*10-9.1312)*(1.6571*Table2[[#This Row],[AY/A]]-9.1312))),0)</f>
        <v>4</v>
      </c>
      <c r="AM62">
        <f>ROUND(IF(Table2[[#This Row],[40 Yd Dash]]&lt;4.75,10,IF(Table2[[#This Row],[40 Yd Dash]]&gt;5.191,0,10/(-66.95*LN(4.75)+110.26)*(-66.95*LN(Table2[[#This Row],[40 Yd Dash]])+110.26))),0)</f>
        <v>6</v>
      </c>
      <c r="AN62">
        <f>ROUND(IF(Table2[[#This Row],[Hand Size]]&gt;10.25,10,IF(Table2[[#This Row],[Hand Size]]&lt;9,0,10/(15.49*LN(10.25)-30.577)*(15.49*LN(Table2[[#This Row],[Hand Size]])-30.577))),0)</f>
        <v>7</v>
      </c>
    </row>
    <row r="63" spans="1:40">
      <c r="A63">
        <v>2019</v>
      </c>
      <c r="B63">
        <v>8</v>
      </c>
      <c r="C63" t="s">
        <v>219</v>
      </c>
      <c r="D63" t="s">
        <v>110</v>
      </c>
      <c r="E63">
        <v>5.4</v>
      </c>
      <c r="F63" t="s">
        <v>237</v>
      </c>
      <c r="G63">
        <f>SUMIFS('NFL QB Data By Year'!$Q:$Q,'NFL QB Data By Year'!$D:$D,Table2[[#This Row],[Player Name]],'NFL QB Data By Year'!$B:$B,Table2[[#This Row],[Draft Year]]+G$1)</f>
        <v>0</v>
      </c>
      <c r="H63">
        <f>SUMIFS('NFL QB Data By Year'!$P:$P,'NFL QB Data By Year'!$D:$D,Table2[[#This Row],[Player Name]],'NFL QB Data By Year'!$B:$B,Table2[[#This Row],[Draft Year]]+H$1)</f>
        <v>0</v>
      </c>
      <c r="I63">
        <f>SUMIFS('NFL QB Data By Year'!$Q:$Q,'NFL QB Data By Year'!$D:$D,Table2[[#This Row],[Player Name]],'NFL QB Data By Year'!$B:$B,Table2[[#This Row],[Draft Year]]+I$1)</f>
        <v>0</v>
      </c>
      <c r="J63">
        <f>SUMIFS('NFL QB Data By Year'!$P:$P,'NFL QB Data By Year'!$D:$D,Table2[[#This Row],[Player Name]],'NFL QB Data By Year'!$B:$B,Table2[[#This Row],[Draft Year]]+J$1)</f>
        <v>0</v>
      </c>
      <c r="K63">
        <f>SUMIFS('NFL QB Data By Year'!$Q:$Q,'NFL QB Data By Year'!$D:$D,Table2[[#This Row],[Player Name]],'NFL QB Data By Year'!$B:$B,Table2[[#This Row],[Draft Year]]+K$1)</f>
        <v>0</v>
      </c>
      <c r="L63">
        <f>SUMIFS('NFL QB Data By Year'!$P:$P,'NFL QB Data By Year'!$D:$D,Table2[[#This Row],[Player Name]],'NFL QB Data By Year'!$B:$B,Table2[[#This Row],[Draft Year]]+L$1)</f>
        <v>0</v>
      </c>
      <c r="M63">
        <f>Table2[[#This Row],[Year 1 G]]+Table2[[#This Row],[Year 2 G]]+Table2[[#This Row],[Year 3 G]]</f>
        <v>0</v>
      </c>
      <c r="N63">
        <f>Table2[[#This Row],[Year 1 FPTs]]+Table2[[#This Row],[Year 2 FPTs]]+Table2[[#This Row],[Year 3 FPTs]]</f>
        <v>0</v>
      </c>
      <c r="O63" s="7">
        <f>IFERROR(Table2[[#This Row],[Total FPTs]]/Table2[[#This Row],[Total G]],0)</f>
        <v>0</v>
      </c>
      <c r="P63">
        <v>10</v>
      </c>
      <c r="Q63" s="8">
        <f xml:space="preserve"> IFERROR(SUMIFS('College Data By Year'!J:J,'College Data By Year'!A:A,Table2[[#This Row],[Player Name]])/SUMIFS('College Data By Year'!L:L,'College Data By Year'!A:A,Table2[[#This Row],[Player Name]]),"")</f>
        <v>0.32645488279482304</v>
      </c>
      <c r="R63" s="11">
        <f xml:space="preserve"> IFERROR(SUMIFS('College Data By Year'!D:D,'College Data By Year'!A:A,Table2[[#This Row],[Player Name]])/SUMIFS('College Data By Year'!B:B,'College Data By Year'!A:A,Table2[[#This Row],[Player Name]]),"")</f>
        <v>5.8386411889596604E-2</v>
      </c>
      <c r="S63">
        <f>IF(SUMIFS('College Data By Year'!H:H,'College Data By Year'!A:A,Table2[[#This Row],[Player Name]])=0,"",SUMIFS('College Data By Year'!H:H,'College Data By Year'!A:A,Table2[[#This Row],[Player Name]]))</f>
        <v>122.5</v>
      </c>
      <c r="T63" s="7">
        <f>IFERROR(SUMIFS('College Data By Year'!D:D,'College Data By Year'!A:A,Table2[[#This Row],[Player Name]])/SUMIFS('College Data By Year'!E:E,'College Data By Year'!A:A,Table2[[#This Row],[Player Name]]),"")</f>
        <v>1.8333333333333333</v>
      </c>
      <c r="U63" s="7">
        <f>IFERROR(SUMIFS('College Data By Year'!B:B,'College Data By Year'!A:A,Table2[[#This Row],[Player Name]])/SUMIFS('College Data By Year'!I:I,'College Data By Year'!A:A,Table2[[#This Row],[Player Name]]),"")</f>
        <v>1.5673876871880199</v>
      </c>
      <c r="V63">
        <f>IF(SUMIFS('College Data By Year'!F:F,'College Data By Year'!A:A,Table2[[#This Row],[Player Name]])=0,"",SUMIFS('College Data By Year'!F:F,'College Data By Year'!A:A,Table2[[#This Row],[Player Name]]))</f>
        <v>6.6</v>
      </c>
      <c r="W63">
        <f>IF(SUMIFS('College Data By Year'!G:G,'College Data By Year'!A:A,Table2[[#This Row],[Player Name]])=0,"",SUMIFS('College Data By Year'!G:G,'College Data By Year'!A:A,Table2[[#This Row],[Player Name]]))</f>
        <v>6.3</v>
      </c>
      <c r="X6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63">
        <v>4.6399999999999997</v>
      </c>
      <c r="Z63">
        <v>9.75</v>
      </c>
      <c r="AA63" t="s">
        <v>225</v>
      </c>
      <c r="AB63">
        <v>226</v>
      </c>
      <c r="AC63">
        <v>26.8</v>
      </c>
      <c r="AD63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3">
        <f>ROUND(IF(Table2[[#This Row],[Draft Round]]=1,10,IF(Table2[[#This Row],[Draft Round]]=8,0,10/(20.884*EXP(-0.381*1))*(20.884*EXP(-0.381*Table2[[#This Row],[Draft Round]])))),0)</f>
        <v>0</v>
      </c>
      <c r="AF63">
        <f>ROUND(IF(Table2[[#This Row],[College BF Dominator]]&gt;0.3,10,IF(Table2[[#This Row],[College BF Dominator]]&lt;-0.156,0,10/(20.818*0.3+3.2667)*(20.818*Table2[[#This Row],[College BF Dominator]]+3.2667))),0)</f>
        <v>10</v>
      </c>
      <c r="AG63">
        <f>ROUND(IF(Table2[[#This Row],[College PTDR]]&gt;0.085,10,IF(Table2[[#This Row],[College PTDR]]&lt;0.04,0,10/(105.24*0.085-1.7837)*(105.24*Table2[[#This Row],[College PTDR]]-1.7837))),0)</f>
        <v>6</v>
      </c>
      <c r="AH63">
        <f>ROUND(IF(Table2[[#This Row],[College Passer Rating]]&gt;170,10,IF(Table2[[#This Row],[College Passer Rating]]&lt;112.475,0,10/(0.1495*170-16.815)*(0.1495*Table2[[#This Row],[College Passer Rating]]-16.815))),0)</f>
        <v>2</v>
      </c>
      <c r="AI63">
        <f>ROUND(IF(Table2[[#This Row],[PTD:INT]]&gt;4,10,IF(Table2[[#This Row],[PTD:INT]]&lt;1,0,10/(4.7442*LN(4)+0.4256)*(4.7442*LN(Table2[[#This Row],[PTD:INT]])+0.4256))),0)</f>
        <v>5</v>
      </c>
      <c r="AJ63">
        <f>ROUND(IF(Table2[[#This Row],[Patt:Ratt]]&lt;2.5,10,IF(Table2[[#This Row],[Patt:Ratt]]&gt;15,0,10/(-2.684*LN(2.5)+9.0869)*(-2.684*LN(Table2[[#This Row],[Patt:Ratt]])+9.0869))),0)</f>
        <v>10</v>
      </c>
      <c r="AK63">
        <f>ROUND(IF(Table2[[#This Row],[Y/A]]&gt;9.2,10,IF(Table2[[#This Row],[Y/A]]&lt;6.26,0,10/(2.2619*9.2-14.16)*(2.2619*Table2[[#This Row],[Y/A]]-14.16))),0)</f>
        <v>1</v>
      </c>
      <c r="AL63">
        <f>ROUND(IF(Table2[[#This Row],[AY/A]]&gt;10,10,IF(Table2[[#This Row],[AY/A]]&lt;5.51,0,10/(1.6571*10-9.1312)*(1.6571*Table2[[#This Row],[AY/A]]-9.1312))),0)</f>
        <v>2</v>
      </c>
      <c r="AM63">
        <f>ROUND(IF(Table2[[#This Row],[40 Yd Dash]]&lt;4.75,10,IF(Table2[[#This Row],[40 Yd Dash]]&gt;5.191,0,10/(-66.95*LN(4.75)+110.26)*(-66.95*LN(Table2[[#This Row],[40 Yd Dash]])+110.26))),0)</f>
        <v>10</v>
      </c>
      <c r="AN63">
        <f>ROUND(IF(Table2[[#This Row],[Hand Size]]&gt;10.25,10,IF(Table2[[#This Row],[Hand Size]]&lt;9,0,10/(15.49*LN(10.25)-30.577)*(15.49*LN(Table2[[#This Row],[Hand Size]])-30.577))),0)</f>
        <v>9</v>
      </c>
    </row>
    <row r="64" spans="1:40">
      <c r="A64">
        <v>2015</v>
      </c>
      <c r="B64">
        <v>8</v>
      </c>
      <c r="C64" t="s">
        <v>219</v>
      </c>
      <c r="D64" t="s">
        <v>107</v>
      </c>
      <c r="E64">
        <v>5.5</v>
      </c>
      <c r="F64" t="s">
        <v>232</v>
      </c>
      <c r="G64">
        <f>SUMIFS('NFL QB Data By Year'!$Q:$Q,'NFL QB Data By Year'!$D:$D,Table2[[#This Row],[Player Name]],'NFL QB Data By Year'!$B:$B,Table2[[#This Row],[Draft Year]]+G$1)</f>
        <v>0</v>
      </c>
      <c r="H64">
        <f>SUMIFS('NFL QB Data By Year'!$P:$P,'NFL QB Data By Year'!$D:$D,Table2[[#This Row],[Player Name]],'NFL QB Data By Year'!$B:$B,Table2[[#This Row],[Draft Year]]+H$1)</f>
        <v>0</v>
      </c>
      <c r="I64">
        <f>SUMIFS('NFL QB Data By Year'!$Q:$Q,'NFL QB Data By Year'!$D:$D,Table2[[#This Row],[Player Name]],'NFL QB Data By Year'!$B:$B,Table2[[#This Row],[Draft Year]]+I$1)</f>
        <v>0</v>
      </c>
      <c r="J64">
        <f>SUMIFS('NFL QB Data By Year'!$P:$P,'NFL QB Data By Year'!$D:$D,Table2[[#This Row],[Player Name]],'NFL QB Data By Year'!$B:$B,Table2[[#This Row],[Draft Year]]+J$1)</f>
        <v>0</v>
      </c>
      <c r="K64">
        <f>SUMIFS('NFL QB Data By Year'!$Q:$Q,'NFL QB Data By Year'!$D:$D,Table2[[#This Row],[Player Name]],'NFL QB Data By Year'!$B:$B,Table2[[#This Row],[Draft Year]]+K$1)</f>
        <v>0</v>
      </c>
      <c r="L64">
        <f>SUMIFS('NFL QB Data By Year'!$P:$P,'NFL QB Data By Year'!$D:$D,Table2[[#This Row],[Player Name]],'NFL QB Data By Year'!$B:$B,Table2[[#This Row],[Draft Year]]+L$1)</f>
        <v>0</v>
      </c>
      <c r="M64">
        <f>Table2[[#This Row],[Year 1 G]]+Table2[[#This Row],[Year 2 G]]+Table2[[#This Row],[Year 3 G]]</f>
        <v>0</v>
      </c>
      <c r="N64">
        <f>Table2[[#This Row],[Year 1 FPTs]]+Table2[[#This Row],[Year 2 FPTs]]+Table2[[#This Row],[Year 3 FPTs]]</f>
        <v>0</v>
      </c>
      <c r="O64" s="7">
        <f>IFERROR(Table2[[#This Row],[Total FPTs]]/Table2[[#This Row],[Total G]],0)</f>
        <v>0</v>
      </c>
      <c r="P64">
        <v>10</v>
      </c>
      <c r="Q64" s="8">
        <f xml:space="preserve"> IFERROR(SUMIFS('College Data By Year'!J:J,'College Data By Year'!A:A,Table2[[#This Row],[Player Name]])/SUMIFS('College Data By Year'!L:L,'College Data By Year'!A:A,Table2[[#This Row],[Player Name]]),"")</f>
        <v>0.30121107266435987</v>
      </c>
      <c r="R64" s="11">
        <f xml:space="preserve"> IFERROR(SUMIFS('College Data By Year'!D:D,'College Data By Year'!A:A,Table2[[#This Row],[Player Name]])/SUMIFS('College Data By Year'!B:B,'College Data By Year'!A:A,Table2[[#This Row],[Player Name]]),"")</f>
        <v>4.2284866468842733E-2</v>
      </c>
      <c r="S64">
        <f>IF(SUMIFS('College Data By Year'!H:H,'College Data By Year'!A:A,Table2[[#This Row],[Player Name]])=0,"",SUMIFS('College Data By Year'!H:H,'College Data By Year'!A:A,Table2[[#This Row],[Player Name]]))</f>
        <v>135</v>
      </c>
      <c r="T64" s="7">
        <f>IFERROR(SUMIFS('College Data By Year'!D:D,'College Data By Year'!A:A,Table2[[#This Row],[Player Name]])/SUMIFS('College Data By Year'!E:E,'College Data By Year'!A:A,Table2[[#This Row],[Player Name]]),"")</f>
        <v>1.9655172413793103</v>
      </c>
      <c r="U64" s="7">
        <f>IFERROR(SUMIFS('College Data By Year'!B:B,'College Data By Year'!A:A,Table2[[#This Row],[Player Name]])/SUMIFS('College Data By Year'!I:I,'College Data By Year'!A:A,Table2[[#This Row],[Player Name]]),"")</f>
        <v>3.7134986225895319</v>
      </c>
      <c r="V64">
        <f>IF(SUMIFS('College Data By Year'!F:F,'College Data By Year'!A:A,Table2[[#This Row],[Player Name]])=0,"",SUMIFS('College Data By Year'!F:F,'College Data By Year'!A:A,Table2[[#This Row],[Player Name]]))</f>
        <v>7.2</v>
      </c>
      <c r="W64">
        <f>IF(SUMIFS('College Data By Year'!G:G,'College Data By Year'!A:A,Table2[[#This Row],[Player Name]])=0,"",SUMIFS('College Data By Year'!G:G,'College Data By Year'!A:A,Table2[[#This Row],[Player Name]]))</f>
        <v>7</v>
      </c>
      <c r="X6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3.9742840444184691E-2</v>
      </c>
      <c r="Y64">
        <v>4.63</v>
      </c>
      <c r="Z64">
        <v>9.5</v>
      </c>
      <c r="AA64" t="s">
        <v>228</v>
      </c>
      <c r="AB64">
        <v>223</v>
      </c>
      <c r="AC64">
        <v>29.4</v>
      </c>
      <c r="AD64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4">
        <f>ROUND(IF(Table2[[#This Row],[Draft Round]]=1,10,IF(Table2[[#This Row],[Draft Round]]=8,0,10/(20.884*EXP(-0.381*1))*(20.884*EXP(-0.381*Table2[[#This Row],[Draft Round]])))),0)</f>
        <v>0</v>
      </c>
      <c r="AF64">
        <f>ROUND(IF(Table2[[#This Row],[College BF Dominator]]&gt;0.3,10,IF(Table2[[#This Row],[College BF Dominator]]&lt;-0.156,0,10/(20.818*0.3+3.2667)*(20.818*Table2[[#This Row],[College BF Dominator]]+3.2667))),0)</f>
        <v>10</v>
      </c>
      <c r="AG64">
        <f>ROUND(IF(Table2[[#This Row],[College PTDR]]&gt;0.085,10,IF(Table2[[#This Row],[College PTDR]]&lt;0.04,0,10/(105.24*0.085-1.7837)*(105.24*Table2[[#This Row],[College PTDR]]-1.7837))),0)</f>
        <v>4</v>
      </c>
      <c r="AH64">
        <f>ROUND(IF(Table2[[#This Row],[College Passer Rating]]&gt;170,10,IF(Table2[[#This Row],[College Passer Rating]]&lt;112.475,0,10/(0.1495*170-16.815)*(0.1495*Table2[[#This Row],[College Passer Rating]]-16.815))),0)</f>
        <v>4</v>
      </c>
      <c r="AI64">
        <f>ROUND(IF(Table2[[#This Row],[PTD:INT]]&gt;4,10,IF(Table2[[#This Row],[PTD:INT]]&lt;1,0,10/(4.7442*LN(4)+0.4256)*(4.7442*LN(Table2[[#This Row],[PTD:INT]])+0.4256))),0)</f>
        <v>5</v>
      </c>
      <c r="AJ64">
        <f>ROUND(IF(Table2[[#This Row],[Patt:Ratt]]&lt;2.5,10,IF(Table2[[#This Row],[Patt:Ratt]]&gt;15,0,10/(-2.684*LN(2.5)+9.0869)*(-2.684*LN(Table2[[#This Row],[Patt:Ratt]])+9.0869))),0)</f>
        <v>8</v>
      </c>
      <c r="AK64">
        <f>ROUND(IF(Table2[[#This Row],[Y/A]]&gt;9.2,10,IF(Table2[[#This Row],[Y/A]]&lt;6.26,0,10/(2.2619*9.2-14.16)*(2.2619*Table2[[#This Row],[Y/A]]-14.16))),0)</f>
        <v>3</v>
      </c>
      <c r="AL64">
        <f>ROUND(IF(Table2[[#This Row],[AY/A]]&gt;10,10,IF(Table2[[#This Row],[AY/A]]&lt;5.51,0,10/(1.6571*10-9.1312)*(1.6571*Table2[[#This Row],[AY/A]]-9.1312))),0)</f>
        <v>3</v>
      </c>
      <c r="AM64">
        <f>ROUND(IF(Table2[[#This Row],[40 Yd Dash]]&lt;4.75,10,IF(Table2[[#This Row],[40 Yd Dash]]&gt;5.191,0,10/(-66.95*LN(4.75)+110.26)*(-66.95*LN(Table2[[#This Row],[40 Yd Dash]])+110.26))),0)</f>
        <v>10</v>
      </c>
      <c r="AN64">
        <f>ROUND(IF(Table2[[#This Row],[Hand Size]]&gt;10.25,10,IF(Table2[[#This Row],[Hand Size]]&lt;9,0,10/(15.49*LN(10.25)-30.577)*(15.49*LN(Table2[[#This Row],[Hand Size]])-30.577))),0)</f>
        <v>8</v>
      </c>
    </row>
    <row r="65" spans="1:40">
      <c r="A65">
        <v>2018</v>
      </c>
      <c r="B65">
        <v>8</v>
      </c>
      <c r="C65" t="s">
        <v>219</v>
      </c>
      <c r="D65" t="s">
        <v>85</v>
      </c>
      <c r="E65">
        <v>5.4</v>
      </c>
      <c r="F65" t="s">
        <v>237</v>
      </c>
      <c r="G65">
        <f>SUMIFS('NFL QB Data By Year'!$Q:$Q,'NFL QB Data By Year'!$D:$D,Table2[[#This Row],[Player Name]],'NFL QB Data By Year'!$B:$B,Table2[[#This Row],[Draft Year]]+G$1)</f>
        <v>0</v>
      </c>
      <c r="H65">
        <f>SUMIFS('NFL QB Data By Year'!$P:$P,'NFL QB Data By Year'!$D:$D,Table2[[#This Row],[Player Name]],'NFL QB Data By Year'!$B:$B,Table2[[#This Row],[Draft Year]]+H$1)</f>
        <v>0</v>
      </c>
      <c r="I65">
        <f>SUMIFS('NFL QB Data By Year'!$Q:$Q,'NFL QB Data By Year'!$D:$D,Table2[[#This Row],[Player Name]],'NFL QB Data By Year'!$B:$B,Table2[[#This Row],[Draft Year]]+I$1)</f>
        <v>0</v>
      </c>
      <c r="J65">
        <f>SUMIFS('NFL QB Data By Year'!$P:$P,'NFL QB Data By Year'!$D:$D,Table2[[#This Row],[Player Name]],'NFL QB Data By Year'!$B:$B,Table2[[#This Row],[Draft Year]]+J$1)</f>
        <v>0</v>
      </c>
      <c r="K65">
        <f>SUMIFS('NFL QB Data By Year'!$Q:$Q,'NFL QB Data By Year'!$D:$D,Table2[[#This Row],[Player Name]],'NFL QB Data By Year'!$B:$B,Table2[[#This Row],[Draft Year]]+K$1)</f>
        <v>0</v>
      </c>
      <c r="L65">
        <f>SUMIFS('NFL QB Data By Year'!$P:$P,'NFL QB Data By Year'!$D:$D,Table2[[#This Row],[Player Name]],'NFL QB Data By Year'!$B:$B,Table2[[#This Row],[Draft Year]]+L$1)</f>
        <v>0</v>
      </c>
      <c r="M65">
        <f>Table2[[#This Row],[Year 1 G]]+Table2[[#This Row],[Year 2 G]]+Table2[[#This Row],[Year 3 G]]</f>
        <v>0</v>
      </c>
      <c r="N65">
        <f>Table2[[#This Row],[Year 1 FPTs]]+Table2[[#This Row],[Year 2 FPTs]]+Table2[[#This Row],[Year 3 FPTs]]</f>
        <v>0</v>
      </c>
      <c r="O65" s="7">
        <f>IFERROR(Table2[[#This Row],[Total FPTs]]/Table2[[#This Row],[Total G]],0)</f>
        <v>0</v>
      </c>
      <c r="P65">
        <v>10</v>
      </c>
      <c r="Q65" s="8">
        <f xml:space="preserve"> IFERROR(SUMIFS('College Data By Year'!J:J,'College Data By Year'!A:A,Table2[[#This Row],[Player Name]])/SUMIFS('College Data By Year'!L:L,'College Data By Year'!A:A,Table2[[#This Row],[Player Name]]),"")</f>
        <v>0.23734361361652603</v>
      </c>
      <c r="R65" s="11">
        <f xml:space="preserve"> IFERROR(SUMIFS('College Data By Year'!D:D,'College Data By Year'!A:A,Table2[[#This Row],[Player Name]])/SUMIFS('College Data By Year'!B:B,'College Data By Year'!A:A,Table2[[#This Row],[Player Name]]),"")</f>
        <v>8.5879438480594553E-2</v>
      </c>
      <c r="S65">
        <f>IF(SUMIFS('College Data By Year'!H:H,'College Data By Year'!A:A,Table2[[#This Row],[Player Name]])=0,"",SUMIFS('College Data By Year'!H:H,'College Data By Year'!A:A,Table2[[#This Row],[Player Name]]))</f>
        <v>152.30000000000001</v>
      </c>
      <c r="T65" s="7">
        <f>IFERROR(SUMIFS('College Data By Year'!D:D,'College Data By Year'!A:A,Table2[[#This Row],[Player Name]])/SUMIFS('College Data By Year'!E:E,'College Data By Year'!A:A,Table2[[#This Row],[Player Name]]),"")</f>
        <v>3.4666666666666668</v>
      </c>
      <c r="U65" s="7">
        <f>IFERROR(SUMIFS('College Data By Year'!B:B,'College Data By Year'!A:A,Table2[[#This Row],[Player Name]])/SUMIFS('College Data By Year'!I:I,'College Data By Year'!A:A,Table2[[#This Row],[Player Name]]),"")</f>
        <v>1.8460365853658536</v>
      </c>
      <c r="V65">
        <f>IF(SUMIFS('College Data By Year'!F:F,'College Data By Year'!A:A,Table2[[#This Row],[Player Name]])=0,"",SUMIFS('College Data By Year'!F:F,'College Data By Year'!A:A,Table2[[#This Row],[Player Name]]))</f>
        <v>7.8</v>
      </c>
      <c r="W65">
        <f>IF(SUMIFS('College Data By Year'!G:G,'College Data By Year'!A:A,Table2[[#This Row],[Player Name]])=0,"",SUMIFS('College Data By Year'!G:G,'College Data By Year'!A:A,Table2[[#This Row],[Player Name]]))</f>
        <v>8.4</v>
      </c>
      <c r="X6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4.0171397964649171E-2</v>
      </c>
      <c r="Y65">
        <v>4.7</v>
      </c>
      <c r="Z65">
        <v>9.875</v>
      </c>
      <c r="AA65" t="s">
        <v>228</v>
      </c>
      <c r="AB65">
        <v>224</v>
      </c>
      <c r="AC65">
        <v>29.6</v>
      </c>
      <c r="AD65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5">
        <f>ROUND(IF(Table2[[#This Row],[Draft Round]]=1,10,IF(Table2[[#This Row],[Draft Round]]=8,0,10/(20.884*EXP(-0.381*1))*(20.884*EXP(-0.381*Table2[[#This Row],[Draft Round]])))),0)</f>
        <v>0</v>
      </c>
      <c r="AF65">
        <f>ROUND(IF(Table2[[#This Row],[College BF Dominator]]&gt;0.3,10,IF(Table2[[#This Row],[College BF Dominator]]&lt;-0.156,0,10/(20.818*0.3+3.2667)*(20.818*Table2[[#This Row],[College BF Dominator]]+3.2667))),0)</f>
        <v>9</v>
      </c>
      <c r="AG65">
        <f>ROUND(IF(Table2[[#This Row],[College PTDR]]&gt;0.085,10,IF(Table2[[#This Row],[College PTDR]]&lt;0.04,0,10/(105.24*0.085-1.7837)*(105.24*Table2[[#This Row],[College PTDR]]-1.7837))),0)</f>
        <v>10</v>
      </c>
      <c r="AH65">
        <f>ROUND(IF(Table2[[#This Row],[College Passer Rating]]&gt;170,10,IF(Table2[[#This Row],[College Passer Rating]]&lt;112.475,0,10/(0.1495*170-16.815)*(0.1495*Table2[[#This Row],[College Passer Rating]]-16.815))),0)</f>
        <v>7</v>
      </c>
      <c r="AI65">
        <f>ROUND(IF(Table2[[#This Row],[PTD:INT]]&gt;4,10,IF(Table2[[#This Row],[PTD:INT]]&lt;1,0,10/(4.7442*LN(4)+0.4256)*(4.7442*LN(Table2[[#This Row],[PTD:INT]])+0.4256))),0)</f>
        <v>9</v>
      </c>
      <c r="AJ65">
        <f>ROUND(IF(Table2[[#This Row],[Patt:Ratt]]&lt;2.5,10,IF(Table2[[#This Row],[Patt:Ratt]]&gt;15,0,10/(-2.684*LN(2.5)+9.0869)*(-2.684*LN(Table2[[#This Row],[Patt:Ratt]])+9.0869))),0)</f>
        <v>10</v>
      </c>
      <c r="AK65">
        <f>ROUND(IF(Table2[[#This Row],[Y/A]]&gt;9.2,10,IF(Table2[[#This Row],[Y/A]]&lt;6.26,0,10/(2.2619*9.2-14.16)*(2.2619*Table2[[#This Row],[Y/A]]-14.16))),0)</f>
        <v>5</v>
      </c>
      <c r="AL65">
        <f>ROUND(IF(Table2[[#This Row],[AY/A]]&gt;10,10,IF(Table2[[#This Row],[AY/A]]&lt;5.51,0,10/(1.6571*10-9.1312)*(1.6571*Table2[[#This Row],[AY/A]]-9.1312))),0)</f>
        <v>6</v>
      </c>
      <c r="AM65">
        <f>ROUND(IF(Table2[[#This Row],[40 Yd Dash]]&lt;4.75,10,IF(Table2[[#This Row],[40 Yd Dash]]&gt;5.191,0,10/(-66.95*LN(4.75)+110.26)*(-66.95*LN(Table2[[#This Row],[40 Yd Dash]])+110.26))),0)</f>
        <v>10</v>
      </c>
      <c r="AN65">
        <f>ROUND(IF(Table2[[#This Row],[Hand Size]]&gt;10.25,10,IF(Table2[[#This Row],[Hand Size]]&lt;9,0,10/(15.49*LN(10.25)-30.577)*(15.49*LN(Table2[[#This Row],[Hand Size]])-30.577))),0)</f>
        <v>9</v>
      </c>
    </row>
    <row r="66" spans="1:40">
      <c r="A66">
        <v>2019</v>
      </c>
      <c r="B66">
        <v>8</v>
      </c>
      <c r="C66" t="s">
        <v>219</v>
      </c>
      <c r="D66" t="s">
        <v>86</v>
      </c>
      <c r="E66">
        <v>5.4</v>
      </c>
      <c r="F66" t="s">
        <v>237</v>
      </c>
      <c r="G66">
        <f>SUMIFS('NFL QB Data By Year'!$Q:$Q,'NFL QB Data By Year'!$D:$D,Table2[[#This Row],[Player Name]],'NFL QB Data By Year'!$B:$B,Table2[[#This Row],[Draft Year]]+G$1)</f>
        <v>0</v>
      </c>
      <c r="H66">
        <f>SUMIFS('NFL QB Data By Year'!$P:$P,'NFL QB Data By Year'!$D:$D,Table2[[#This Row],[Player Name]],'NFL QB Data By Year'!$B:$B,Table2[[#This Row],[Draft Year]]+H$1)</f>
        <v>0</v>
      </c>
      <c r="I66">
        <f>SUMIFS('NFL QB Data By Year'!$Q:$Q,'NFL QB Data By Year'!$D:$D,Table2[[#This Row],[Player Name]],'NFL QB Data By Year'!$B:$B,Table2[[#This Row],[Draft Year]]+I$1)</f>
        <v>0</v>
      </c>
      <c r="J66">
        <f>SUMIFS('NFL QB Data By Year'!$P:$P,'NFL QB Data By Year'!$D:$D,Table2[[#This Row],[Player Name]],'NFL QB Data By Year'!$B:$B,Table2[[#This Row],[Draft Year]]+J$1)</f>
        <v>0</v>
      </c>
      <c r="K66">
        <f>SUMIFS('NFL QB Data By Year'!$Q:$Q,'NFL QB Data By Year'!$D:$D,Table2[[#This Row],[Player Name]],'NFL QB Data By Year'!$B:$B,Table2[[#This Row],[Draft Year]]+K$1)</f>
        <v>0</v>
      </c>
      <c r="L66">
        <f>SUMIFS('NFL QB Data By Year'!$P:$P,'NFL QB Data By Year'!$D:$D,Table2[[#This Row],[Player Name]],'NFL QB Data By Year'!$B:$B,Table2[[#This Row],[Draft Year]]+L$1)</f>
        <v>0</v>
      </c>
      <c r="M66">
        <f>Table2[[#This Row],[Year 1 G]]+Table2[[#This Row],[Year 2 G]]+Table2[[#This Row],[Year 3 G]]</f>
        <v>0</v>
      </c>
      <c r="N66">
        <f>Table2[[#This Row],[Year 1 FPTs]]+Table2[[#This Row],[Year 2 FPTs]]+Table2[[#This Row],[Year 3 FPTs]]</f>
        <v>0</v>
      </c>
      <c r="O66" s="7">
        <f>IFERROR(Table2[[#This Row],[Total FPTs]]/Table2[[#This Row],[Total G]],0)</f>
        <v>0</v>
      </c>
      <c r="P66">
        <v>10</v>
      </c>
      <c r="Q66" s="8">
        <f xml:space="preserve"> IFERROR(SUMIFS('College Data By Year'!J:J,'College Data By Year'!A:A,Table2[[#This Row],[Player Name]])/SUMIFS('College Data By Year'!L:L,'College Data By Year'!A:A,Table2[[#This Row],[Player Name]]),"")</f>
        <v>0.16764412968905609</v>
      </c>
      <c r="R66" s="11">
        <f xml:space="preserve"> IFERROR(SUMIFS('College Data By Year'!D:D,'College Data By Year'!A:A,Table2[[#This Row],[Player Name]])/SUMIFS('College Data By Year'!B:B,'College Data By Year'!A:A,Table2[[#This Row],[Player Name]]),"")</f>
        <v>7.630227439471754E-2</v>
      </c>
      <c r="S66">
        <f>IF(SUMIFS('College Data By Year'!H:H,'College Data By Year'!A:A,Table2[[#This Row],[Player Name]])=0,"",SUMIFS('College Data By Year'!H:H,'College Data By Year'!A:A,Table2[[#This Row],[Player Name]]))</f>
        <v>151.00073367571534</v>
      </c>
      <c r="T66" s="7">
        <f>IFERROR(SUMIFS('College Data By Year'!D:D,'College Data By Year'!A:A,Table2[[#This Row],[Player Name]])/SUMIFS('College Data By Year'!E:E,'College Data By Year'!A:A,Table2[[#This Row],[Player Name]]),"")</f>
        <v>3.0588235294117645</v>
      </c>
      <c r="U66" s="7">
        <f>IFERROR(SUMIFS('College Data By Year'!B:B,'College Data By Year'!A:A,Table2[[#This Row],[Player Name]])/SUMIFS('College Data By Year'!I:I,'College Data By Year'!A:A,Table2[[#This Row],[Player Name]]),"")</f>
        <v>3.340686274509804</v>
      </c>
      <c r="V66">
        <f>IF(SUMIFS('College Data By Year'!F:F,'College Data By Year'!A:A,Table2[[#This Row],[Player Name]])=0,"",SUMIFS('College Data By Year'!F:F,'College Data By Year'!A:A,Table2[[#This Row],[Player Name]]))</f>
        <v>8.4629493763756418</v>
      </c>
      <c r="W66">
        <f>IF(SUMIFS('College Data By Year'!G:G,'College Data By Year'!A:A,Table2[[#This Row],[Player Name]])=0,"",SUMIFS('College Data By Year'!G:G,'College Data By Year'!A:A,Table2[[#This Row],[Player Name]]))</f>
        <v>8.8664710198092447</v>
      </c>
      <c r="X6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7.9051383399209481E-3</v>
      </c>
      <c r="Y66">
        <v>4.49</v>
      </c>
      <c r="Z66">
        <v>9.25</v>
      </c>
      <c r="AA66" t="s">
        <v>221</v>
      </c>
      <c r="AB66">
        <v>225</v>
      </c>
      <c r="AC66">
        <v>28.9</v>
      </c>
      <c r="AD66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6">
        <f>ROUND(IF(Table2[[#This Row],[Draft Round]]=1,10,IF(Table2[[#This Row],[Draft Round]]=8,0,10/(20.884*EXP(-0.381*1))*(20.884*EXP(-0.381*Table2[[#This Row],[Draft Round]])))),0)</f>
        <v>0</v>
      </c>
      <c r="AF66">
        <f>ROUND(IF(Table2[[#This Row],[College BF Dominator]]&gt;0.3,10,IF(Table2[[#This Row],[College BF Dominator]]&lt;-0.156,0,10/(20.818*0.3+3.2667)*(20.818*Table2[[#This Row],[College BF Dominator]]+3.2667))),0)</f>
        <v>7</v>
      </c>
      <c r="AG66">
        <f>ROUND(IF(Table2[[#This Row],[College PTDR]]&gt;0.085,10,IF(Table2[[#This Row],[College PTDR]]&lt;0.04,0,10/(105.24*0.085-1.7837)*(105.24*Table2[[#This Row],[College PTDR]]-1.7837))),0)</f>
        <v>9</v>
      </c>
      <c r="AH66">
        <f>ROUND(IF(Table2[[#This Row],[College Passer Rating]]&gt;170,10,IF(Table2[[#This Row],[College Passer Rating]]&lt;112.475,0,10/(0.1495*170-16.815)*(0.1495*Table2[[#This Row],[College Passer Rating]]-16.815))),0)</f>
        <v>7</v>
      </c>
      <c r="AI66">
        <f>ROUND(IF(Table2[[#This Row],[PTD:INT]]&gt;4,10,IF(Table2[[#This Row],[PTD:INT]]&lt;1,0,10/(4.7442*LN(4)+0.4256)*(4.7442*LN(Table2[[#This Row],[PTD:INT]])+0.4256))),0)</f>
        <v>8</v>
      </c>
      <c r="AJ66">
        <f>ROUND(IF(Table2[[#This Row],[Patt:Ratt]]&lt;2.5,10,IF(Table2[[#This Row],[Patt:Ratt]]&gt;15,0,10/(-2.684*LN(2.5)+9.0869)*(-2.684*LN(Table2[[#This Row],[Patt:Ratt]])+9.0869))),0)</f>
        <v>9</v>
      </c>
      <c r="AK66">
        <f>ROUND(IF(Table2[[#This Row],[Y/A]]&gt;9.2,10,IF(Table2[[#This Row],[Y/A]]&lt;6.26,0,10/(2.2619*9.2-14.16)*(2.2619*Table2[[#This Row],[Y/A]]-14.16))),0)</f>
        <v>7</v>
      </c>
      <c r="AL66">
        <f>ROUND(IF(Table2[[#This Row],[AY/A]]&gt;10,10,IF(Table2[[#This Row],[AY/A]]&lt;5.51,0,10/(1.6571*10-9.1312)*(1.6571*Table2[[#This Row],[AY/A]]-9.1312))),0)</f>
        <v>7</v>
      </c>
      <c r="AM66">
        <f>ROUND(IF(Table2[[#This Row],[40 Yd Dash]]&lt;4.75,10,IF(Table2[[#This Row],[40 Yd Dash]]&gt;5.191,0,10/(-66.95*LN(4.75)+110.26)*(-66.95*LN(Table2[[#This Row],[40 Yd Dash]])+110.26))),0)</f>
        <v>10</v>
      </c>
      <c r="AN66">
        <f>ROUND(IF(Table2[[#This Row],[Hand Size]]&gt;10.25,10,IF(Table2[[#This Row],[Hand Size]]&lt;9,0,10/(15.49*LN(10.25)-30.577)*(15.49*LN(Table2[[#This Row],[Hand Size]])-30.577))),0)</f>
        <v>7</v>
      </c>
    </row>
    <row r="67" spans="1:40">
      <c r="A67">
        <v>2017</v>
      </c>
      <c r="B67">
        <v>8</v>
      </c>
      <c r="C67" t="s">
        <v>219</v>
      </c>
      <c r="D67" t="s">
        <v>113</v>
      </c>
      <c r="E67">
        <v>5.5</v>
      </c>
      <c r="F67" t="s">
        <v>232</v>
      </c>
      <c r="G67">
        <f>SUMIFS('NFL QB Data By Year'!$Q:$Q,'NFL QB Data By Year'!$D:$D,Table2[[#This Row],[Player Name]],'NFL QB Data By Year'!$B:$B,Table2[[#This Row],[Draft Year]]+G$1)</f>
        <v>0</v>
      </c>
      <c r="H67">
        <f>SUMIFS('NFL QB Data By Year'!$P:$P,'NFL QB Data By Year'!$D:$D,Table2[[#This Row],[Player Name]],'NFL QB Data By Year'!$B:$B,Table2[[#This Row],[Draft Year]]+H$1)</f>
        <v>0</v>
      </c>
      <c r="I67">
        <f>SUMIFS('NFL QB Data By Year'!$Q:$Q,'NFL QB Data By Year'!$D:$D,Table2[[#This Row],[Player Name]],'NFL QB Data By Year'!$B:$B,Table2[[#This Row],[Draft Year]]+I$1)</f>
        <v>0</v>
      </c>
      <c r="J67">
        <f>SUMIFS('NFL QB Data By Year'!$P:$P,'NFL QB Data By Year'!$D:$D,Table2[[#This Row],[Player Name]],'NFL QB Data By Year'!$B:$B,Table2[[#This Row],[Draft Year]]+J$1)</f>
        <v>0</v>
      </c>
      <c r="K67">
        <f>SUMIFS('NFL QB Data By Year'!$Q:$Q,'NFL QB Data By Year'!$D:$D,Table2[[#This Row],[Player Name]],'NFL QB Data By Year'!$B:$B,Table2[[#This Row],[Draft Year]]+K$1)</f>
        <v>0</v>
      </c>
      <c r="L67">
        <f>SUMIFS('NFL QB Data By Year'!$P:$P,'NFL QB Data By Year'!$D:$D,Table2[[#This Row],[Player Name]],'NFL QB Data By Year'!$B:$B,Table2[[#This Row],[Draft Year]]+L$1)</f>
        <v>0</v>
      </c>
      <c r="M67">
        <f>Table2[[#This Row],[Year 1 G]]+Table2[[#This Row],[Year 2 G]]+Table2[[#This Row],[Year 3 G]]</f>
        <v>0</v>
      </c>
      <c r="N67">
        <f>Table2[[#This Row],[Year 1 FPTs]]+Table2[[#This Row],[Year 2 FPTs]]+Table2[[#This Row],[Year 3 FPTs]]</f>
        <v>0</v>
      </c>
      <c r="O67" s="7">
        <f>IFERROR(Table2[[#This Row],[Total FPTs]]/Table2[[#This Row],[Total G]],0)</f>
        <v>0</v>
      </c>
      <c r="P67">
        <v>10</v>
      </c>
      <c r="Q67" s="8">
        <f xml:space="preserve"> IFERROR(SUMIFS('College Data By Year'!J:J,'College Data By Year'!A:A,Table2[[#This Row],[Player Name]])/SUMIFS('College Data By Year'!L:L,'College Data By Year'!A:A,Table2[[#This Row],[Player Name]]),"")</f>
        <v>0.15678184631253222</v>
      </c>
      <c r="R67" s="11">
        <f xml:space="preserve"> IFERROR(SUMIFS('College Data By Year'!D:D,'College Data By Year'!A:A,Table2[[#This Row],[Player Name]])/SUMIFS('College Data By Year'!B:B,'College Data By Year'!A:A,Table2[[#This Row],[Player Name]]),"")</f>
        <v>5.3997923156801658E-2</v>
      </c>
      <c r="S67">
        <f>IF(SUMIFS('College Data By Year'!H:H,'College Data By Year'!A:A,Table2[[#This Row],[Player Name]])=0,"",SUMIFS('College Data By Year'!H:H,'College Data By Year'!A:A,Table2[[#This Row],[Player Name]]))</f>
        <v>140.46728971962617</v>
      </c>
      <c r="T67" s="7">
        <f>IFERROR(SUMIFS('College Data By Year'!D:D,'College Data By Year'!A:A,Table2[[#This Row],[Player Name]])/SUMIFS('College Data By Year'!E:E,'College Data By Year'!A:A,Table2[[#This Row],[Player Name]]),"")</f>
        <v>2.8888888888888888</v>
      </c>
      <c r="U67" s="7">
        <f>IFERROR(SUMIFS('College Data By Year'!B:B,'College Data By Year'!A:A,Table2[[#This Row],[Player Name]])/SUMIFS('College Data By Year'!I:I,'College Data By Year'!A:A,Table2[[#This Row],[Player Name]]),"")</f>
        <v>3.018808777429467</v>
      </c>
      <c r="V67">
        <f>IF(SUMIFS('College Data By Year'!F:F,'College Data By Year'!A:A,Table2[[#This Row],[Player Name]])=0,"",SUMIFS('College Data By Year'!F:F,'College Data By Year'!A:A,Table2[[#This Row],[Player Name]]))</f>
        <v>7.2949117341640708</v>
      </c>
      <c r="W67">
        <f>IF(SUMIFS('College Data By Year'!G:G,'College Data By Year'!A:A,Table2[[#This Row],[Player Name]])=0,"",SUMIFS('College Data By Year'!G:G,'College Data By Year'!A:A,Table2[[#This Row],[Player Name]]))</f>
        <v>7.5337487019730007</v>
      </c>
      <c r="X6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67">
        <v>4.96</v>
      </c>
      <c r="Z67">
        <v>9.25</v>
      </c>
      <c r="AA67" t="s">
        <v>221</v>
      </c>
      <c r="AB67">
        <v>229</v>
      </c>
      <c r="AC67">
        <v>29.4</v>
      </c>
      <c r="AD67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7">
        <f>ROUND(IF(Table2[[#This Row],[Draft Round]]=1,10,IF(Table2[[#This Row],[Draft Round]]=8,0,10/(20.884*EXP(-0.381*1))*(20.884*EXP(-0.381*Table2[[#This Row],[Draft Round]])))),0)</f>
        <v>0</v>
      </c>
      <c r="AF67">
        <f>ROUND(IF(Table2[[#This Row],[College BF Dominator]]&gt;0.3,10,IF(Table2[[#This Row],[College BF Dominator]]&lt;-0.156,0,10/(20.818*0.3+3.2667)*(20.818*Table2[[#This Row],[College BF Dominator]]+3.2667))),0)</f>
        <v>7</v>
      </c>
      <c r="AG67">
        <f>ROUND(IF(Table2[[#This Row],[College PTDR]]&gt;0.085,10,IF(Table2[[#This Row],[College PTDR]]&lt;0.04,0,10/(105.24*0.085-1.7837)*(105.24*Table2[[#This Row],[College PTDR]]-1.7837))),0)</f>
        <v>5</v>
      </c>
      <c r="AH67">
        <f>ROUND(IF(Table2[[#This Row],[College Passer Rating]]&gt;170,10,IF(Table2[[#This Row],[College Passer Rating]]&lt;112.475,0,10/(0.1495*170-16.815)*(0.1495*Table2[[#This Row],[College Passer Rating]]-16.815))),0)</f>
        <v>5</v>
      </c>
      <c r="AI67">
        <f>ROUND(IF(Table2[[#This Row],[PTD:INT]]&gt;4,10,IF(Table2[[#This Row],[PTD:INT]]&lt;1,0,10/(4.7442*LN(4)+0.4256)*(4.7442*LN(Table2[[#This Row],[PTD:INT]])+0.4256))),0)</f>
        <v>8</v>
      </c>
      <c r="AJ67">
        <f>ROUND(IF(Table2[[#This Row],[Patt:Ratt]]&lt;2.5,10,IF(Table2[[#This Row],[Patt:Ratt]]&gt;15,0,10/(-2.684*LN(2.5)+9.0869)*(-2.684*LN(Table2[[#This Row],[Patt:Ratt]])+9.0869))),0)</f>
        <v>9</v>
      </c>
      <c r="AK67">
        <f>ROUND(IF(Table2[[#This Row],[Y/A]]&gt;9.2,10,IF(Table2[[#This Row],[Y/A]]&lt;6.26,0,10/(2.2619*9.2-14.16)*(2.2619*Table2[[#This Row],[Y/A]]-14.16))),0)</f>
        <v>4</v>
      </c>
      <c r="AL67">
        <f>ROUND(IF(Table2[[#This Row],[AY/A]]&gt;10,10,IF(Table2[[#This Row],[AY/A]]&lt;5.51,0,10/(1.6571*10-9.1312)*(1.6571*Table2[[#This Row],[AY/A]]-9.1312))),0)</f>
        <v>5</v>
      </c>
      <c r="AM67">
        <f>ROUND(IF(Table2[[#This Row],[40 Yd Dash]]&lt;4.75,10,IF(Table2[[#This Row],[40 Yd Dash]]&gt;5.191,0,10/(-66.95*LN(4.75)+110.26)*(-66.95*LN(Table2[[#This Row],[40 Yd Dash]])+110.26))),0)</f>
        <v>5</v>
      </c>
      <c r="AN67">
        <f>ROUND(IF(Table2[[#This Row],[Hand Size]]&gt;10.25,10,IF(Table2[[#This Row],[Hand Size]]&lt;9,0,10/(15.49*LN(10.25)-30.577)*(15.49*LN(Table2[[#This Row],[Hand Size]])-30.577))),0)</f>
        <v>7</v>
      </c>
    </row>
    <row r="68" spans="1:40">
      <c r="A68">
        <v>2017</v>
      </c>
      <c r="B68">
        <v>8</v>
      </c>
      <c r="C68" t="s">
        <v>219</v>
      </c>
      <c r="D68" t="s">
        <v>126</v>
      </c>
      <c r="E68">
        <v>5.0999999999999996</v>
      </c>
      <c r="F68" t="s">
        <v>237</v>
      </c>
      <c r="G68">
        <f>SUMIFS('NFL QB Data By Year'!$Q:$Q,'NFL QB Data By Year'!$D:$D,Table2[[#This Row],[Player Name]],'NFL QB Data By Year'!$B:$B,Table2[[#This Row],[Draft Year]]+G$1)</f>
        <v>0</v>
      </c>
      <c r="H68">
        <f>SUMIFS('NFL QB Data By Year'!$P:$P,'NFL QB Data By Year'!$D:$D,Table2[[#This Row],[Player Name]],'NFL QB Data By Year'!$B:$B,Table2[[#This Row],[Draft Year]]+H$1)</f>
        <v>0</v>
      </c>
      <c r="I68">
        <f>SUMIFS('NFL QB Data By Year'!$Q:$Q,'NFL QB Data By Year'!$D:$D,Table2[[#This Row],[Player Name]],'NFL QB Data By Year'!$B:$B,Table2[[#This Row],[Draft Year]]+I$1)</f>
        <v>0</v>
      </c>
      <c r="J68">
        <f>SUMIFS('NFL QB Data By Year'!$P:$P,'NFL QB Data By Year'!$D:$D,Table2[[#This Row],[Player Name]],'NFL QB Data By Year'!$B:$B,Table2[[#This Row],[Draft Year]]+J$1)</f>
        <v>0</v>
      </c>
      <c r="K68">
        <f>SUMIFS('NFL QB Data By Year'!$Q:$Q,'NFL QB Data By Year'!$D:$D,Table2[[#This Row],[Player Name]],'NFL QB Data By Year'!$B:$B,Table2[[#This Row],[Draft Year]]+K$1)</f>
        <v>0</v>
      </c>
      <c r="L68">
        <f>SUMIFS('NFL QB Data By Year'!$P:$P,'NFL QB Data By Year'!$D:$D,Table2[[#This Row],[Player Name]],'NFL QB Data By Year'!$B:$B,Table2[[#This Row],[Draft Year]]+L$1)</f>
        <v>0</v>
      </c>
      <c r="M68">
        <f>Table2[[#This Row],[Year 1 G]]+Table2[[#This Row],[Year 2 G]]+Table2[[#This Row],[Year 3 G]]</f>
        <v>0</v>
      </c>
      <c r="N68">
        <f>Table2[[#This Row],[Year 1 FPTs]]+Table2[[#This Row],[Year 2 FPTs]]+Table2[[#This Row],[Year 3 FPTs]]</f>
        <v>0</v>
      </c>
      <c r="O68" s="7">
        <f>IFERROR(Table2[[#This Row],[Total FPTs]]/Table2[[#This Row],[Total G]],0)</f>
        <v>0</v>
      </c>
      <c r="P68">
        <v>10</v>
      </c>
      <c r="Q68" s="8">
        <f xml:space="preserve"> IFERROR(SUMIFS('College Data By Year'!J:J,'College Data By Year'!A:A,Table2[[#This Row],[Player Name]])/SUMIFS('College Data By Year'!L:L,'College Data By Year'!A:A,Table2[[#This Row],[Player Name]]),"")</f>
        <v>0.15574539014480676</v>
      </c>
      <c r="R68" s="11">
        <f xml:space="preserve"> IFERROR(SUMIFS('College Data By Year'!D:D,'College Data By Year'!A:A,Table2[[#This Row],[Player Name]])/SUMIFS('College Data By Year'!B:B,'College Data By Year'!A:A,Table2[[#This Row],[Player Name]]),"")</f>
        <v>3.4985422740524783E-2</v>
      </c>
      <c r="S68">
        <f>IF(SUMIFS('College Data By Year'!H:H,'College Data By Year'!A:A,Table2[[#This Row],[Player Name]])=0,"",SUMIFS('College Data By Year'!H:H,'College Data By Year'!A:A,Table2[[#This Row],[Player Name]]))</f>
        <v>121.2</v>
      </c>
      <c r="T68" s="7">
        <f>IFERROR(SUMIFS('College Data By Year'!D:D,'College Data By Year'!A:A,Table2[[#This Row],[Player Name]])/SUMIFS('College Data By Year'!E:E,'College Data By Year'!A:A,Table2[[#This Row],[Player Name]]),"")</f>
        <v>1.125</v>
      </c>
      <c r="U68" s="7">
        <f>IFERROR(SUMIFS('College Data By Year'!B:B,'College Data By Year'!A:A,Table2[[#This Row],[Player Name]])/SUMIFS('College Data By Year'!I:I,'College Data By Year'!A:A,Table2[[#This Row],[Player Name]]),"")</f>
        <v>2.3071748878923768</v>
      </c>
      <c r="V68">
        <f>IF(SUMIFS('College Data By Year'!F:F,'College Data By Year'!A:A,Table2[[#This Row],[Player Name]])=0,"",SUMIFS('College Data By Year'!F:F,'College Data By Year'!A:A,Table2[[#This Row],[Player Name]]))</f>
        <v>7.1</v>
      </c>
      <c r="W68">
        <f>IF(SUMIFS('College Data By Year'!G:G,'College Data By Year'!A:A,Table2[[#This Row],[Player Name]])=0,"",SUMIFS('College Data By Year'!G:G,'College Data By Year'!A:A,Table2[[#This Row],[Player Name]]))</f>
        <v>6.4</v>
      </c>
      <c r="X6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4.4067796610169491E-2</v>
      </c>
      <c r="Y68">
        <v>4.93</v>
      </c>
      <c r="Z68">
        <v>10</v>
      </c>
      <c r="AA68" t="s">
        <v>229</v>
      </c>
      <c r="AB68">
        <v>226</v>
      </c>
      <c r="AC68">
        <v>28.2</v>
      </c>
      <c r="AD68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68">
        <f>ROUND(IF(Table2[[#This Row],[Draft Round]]=1,10,IF(Table2[[#This Row],[Draft Round]]=8,0,10/(20.884*EXP(-0.381*1))*(20.884*EXP(-0.381*Table2[[#This Row],[Draft Round]])))),0)</f>
        <v>0</v>
      </c>
      <c r="AF68">
        <f>ROUND(IF(Table2[[#This Row],[College BF Dominator]]&gt;0.3,10,IF(Table2[[#This Row],[College BF Dominator]]&lt;-0.156,0,10/(20.818*0.3+3.2667)*(20.818*Table2[[#This Row],[College BF Dominator]]+3.2667))),0)</f>
        <v>7</v>
      </c>
      <c r="AG68">
        <f>ROUND(IF(Table2[[#This Row],[College PTDR]]&gt;0.085,10,IF(Table2[[#This Row],[College PTDR]]&lt;0.04,0,10/(105.24*0.085-1.7837)*(105.24*Table2[[#This Row],[College PTDR]]-1.7837))),0)</f>
        <v>0</v>
      </c>
      <c r="AH68">
        <f>ROUND(IF(Table2[[#This Row],[College Passer Rating]]&gt;170,10,IF(Table2[[#This Row],[College Passer Rating]]&lt;112.475,0,10/(0.1495*170-16.815)*(0.1495*Table2[[#This Row],[College Passer Rating]]-16.815))),0)</f>
        <v>2</v>
      </c>
      <c r="AI68">
        <f>ROUND(IF(Table2[[#This Row],[PTD:INT]]&gt;4,10,IF(Table2[[#This Row],[PTD:INT]]&lt;1,0,10/(4.7442*LN(4)+0.4256)*(4.7442*LN(Table2[[#This Row],[PTD:INT]])+0.4256))),0)</f>
        <v>1</v>
      </c>
      <c r="AJ68">
        <f>ROUND(IF(Table2[[#This Row],[Patt:Ratt]]&lt;2.5,10,IF(Table2[[#This Row],[Patt:Ratt]]&gt;15,0,10/(-2.684*LN(2.5)+9.0869)*(-2.684*LN(Table2[[#This Row],[Patt:Ratt]])+9.0869))),0)</f>
        <v>10</v>
      </c>
      <c r="AK68">
        <f>ROUND(IF(Table2[[#This Row],[Y/A]]&gt;9.2,10,IF(Table2[[#This Row],[Y/A]]&lt;6.26,0,10/(2.2619*9.2-14.16)*(2.2619*Table2[[#This Row],[Y/A]]-14.16))),0)</f>
        <v>3</v>
      </c>
      <c r="AL68">
        <f>ROUND(IF(Table2[[#This Row],[AY/A]]&gt;10,10,IF(Table2[[#This Row],[AY/A]]&lt;5.51,0,10/(1.6571*10-9.1312)*(1.6571*Table2[[#This Row],[AY/A]]-9.1312))),0)</f>
        <v>2</v>
      </c>
      <c r="AM68">
        <f>ROUND(IF(Table2[[#This Row],[40 Yd Dash]]&lt;4.75,10,IF(Table2[[#This Row],[40 Yd Dash]]&gt;5.191,0,10/(-66.95*LN(4.75)+110.26)*(-66.95*LN(Table2[[#This Row],[40 Yd Dash]])+110.26))),0)</f>
        <v>6</v>
      </c>
      <c r="AN68">
        <f>ROUND(IF(Table2[[#This Row],[Hand Size]]&gt;10.25,10,IF(Table2[[#This Row],[Hand Size]]&lt;9,0,10/(15.49*LN(10.25)-30.577)*(15.49*LN(Table2[[#This Row],[Hand Size]])-30.577))),0)</f>
        <v>9</v>
      </c>
    </row>
    <row r="69" spans="1:40">
      <c r="A69">
        <v>2019</v>
      </c>
      <c r="B69">
        <v>8</v>
      </c>
      <c r="C69" t="s">
        <v>219</v>
      </c>
      <c r="D69" t="s">
        <v>79</v>
      </c>
      <c r="E69">
        <v>5.4</v>
      </c>
      <c r="F69" t="s">
        <v>237</v>
      </c>
      <c r="G69">
        <f>SUMIFS('NFL QB Data By Year'!$Q:$Q,'NFL QB Data By Year'!$D:$D,Table2[[#This Row],[Player Name]],'NFL QB Data By Year'!$B:$B,Table2[[#This Row],[Draft Year]]+G$1)</f>
        <v>0</v>
      </c>
      <c r="H69">
        <f>SUMIFS('NFL QB Data By Year'!$P:$P,'NFL QB Data By Year'!$D:$D,Table2[[#This Row],[Player Name]],'NFL QB Data By Year'!$B:$B,Table2[[#This Row],[Draft Year]]+H$1)</f>
        <v>0</v>
      </c>
      <c r="I69">
        <f>SUMIFS('NFL QB Data By Year'!$Q:$Q,'NFL QB Data By Year'!$D:$D,Table2[[#This Row],[Player Name]],'NFL QB Data By Year'!$B:$B,Table2[[#This Row],[Draft Year]]+I$1)</f>
        <v>0</v>
      </c>
      <c r="J69">
        <f>SUMIFS('NFL QB Data By Year'!$P:$P,'NFL QB Data By Year'!$D:$D,Table2[[#This Row],[Player Name]],'NFL QB Data By Year'!$B:$B,Table2[[#This Row],[Draft Year]]+J$1)</f>
        <v>0</v>
      </c>
      <c r="K69">
        <f>SUMIFS('NFL QB Data By Year'!$Q:$Q,'NFL QB Data By Year'!$D:$D,Table2[[#This Row],[Player Name]],'NFL QB Data By Year'!$B:$B,Table2[[#This Row],[Draft Year]]+K$1)</f>
        <v>0</v>
      </c>
      <c r="L69">
        <f>SUMIFS('NFL QB Data By Year'!$P:$P,'NFL QB Data By Year'!$D:$D,Table2[[#This Row],[Player Name]],'NFL QB Data By Year'!$B:$B,Table2[[#This Row],[Draft Year]]+L$1)</f>
        <v>0</v>
      </c>
      <c r="M69">
        <f>Table2[[#This Row],[Year 1 G]]+Table2[[#This Row],[Year 2 G]]+Table2[[#This Row],[Year 3 G]]</f>
        <v>0</v>
      </c>
      <c r="N69">
        <f>Table2[[#This Row],[Year 1 FPTs]]+Table2[[#This Row],[Year 2 FPTs]]+Table2[[#This Row],[Year 3 FPTs]]</f>
        <v>0</v>
      </c>
      <c r="O69" s="7">
        <f>IFERROR(Table2[[#This Row],[Total FPTs]]/Table2[[#This Row],[Total G]],0)</f>
        <v>0</v>
      </c>
      <c r="P69">
        <v>10</v>
      </c>
      <c r="Q69" s="8">
        <f xml:space="preserve"> IFERROR(SUMIFS('College Data By Year'!J:J,'College Data By Year'!A:A,Table2[[#This Row],[Player Name]])/SUMIFS('College Data By Year'!L:L,'College Data By Year'!A:A,Table2[[#This Row],[Player Name]]),"")</f>
        <v>0.14177852348993289</v>
      </c>
      <c r="R69" s="11">
        <f xml:space="preserve"> IFERROR(SUMIFS('College Data By Year'!D:D,'College Data By Year'!A:A,Table2[[#This Row],[Player Name]])/SUMIFS('College Data By Year'!B:B,'College Data By Year'!A:A,Table2[[#This Row],[Player Name]]),"")</f>
        <v>5.0761421319796954E-2</v>
      </c>
      <c r="S69">
        <f>IF(SUMIFS('College Data By Year'!H:H,'College Data By Year'!A:A,Table2[[#This Row],[Player Name]])=0,"",SUMIFS('College Data By Year'!H:H,'College Data By Year'!A:A,Table2[[#This Row],[Player Name]]))</f>
        <v>156.80000000000001</v>
      </c>
      <c r="T69" s="7">
        <f>IFERROR(SUMIFS('College Data By Year'!D:D,'College Data By Year'!A:A,Table2[[#This Row],[Player Name]])/SUMIFS('College Data By Year'!E:E,'College Data By Year'!A:A,Table2[[#This Row],[Player Name]]),"")</f>
        <v>2.5</v>
      </c>
      <c r="U69" s="7">
        <f>IFERROR(SUMIFS('College Data By Year'!B:B,'College Data By Year'!A:A,Table2[[#This Row],[Player Name]])/SUMIFS('College Data By Year'!I:I,'College Data By Year'!A:A,Table2[[#This Row],[Player Name]]),"")</f>
        <v>3.4161849710982657</v>
      </c>
      <c r="V69">
        <f>IF(SUMIFS('College Data By Year'!F:F,'College Data By Year'!A:A,Table2[[#This Row],[Player Name]])=0,"",SUMIFS('College Data By Year'!F:F,'College Data By Year'!A:A,Table2[[#This Row],[Player Name]]))</f>
        <v>9.5</v>
      </c>
      <c r="W69">
        <f>IF(SUMIFS('College Data By Year'!G:G,'College Data By Year'!A:A,Table2[[#This Row],[Player Name]])=0,"",SUMIFS('College Data By Year'!G:G,'College Data By Year'!A:A,Table2[[#This Row],[Player Name]]))</f>
        <v>9.6</v>
      </c>
      <c r="X6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5.4973821989528798E-2</v>
      </c>
      <c r="Y69">
        <v>4.7699999999999996</v>
      </c>
      <c r="Z69">
        <v>9.875</v>
      </c>
      <c r="AA69" t="s">
        <v>229</v>
      </c>
      <c r="AB69">
        <v>221</v>
      </c>
      <c r="AC69">
        <v>27.6</v>
      </c>
      <c r="AD69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69">
        <f>ROUND(IF(Table2[[#This Row],[Draft Round]]=1,10,IF(Table2[[#This Row],[Draft Round]]=8,0,10/(20.884*EXP(-0.381*1))*(20.884*EXP(-0.381*Table2[[#This Row],[Draft Round]])))),0)</f>
        <v>0</v>
      </c>
      <c r="AF69">
        <f>ROUND(IF(Table2[[#This Row],[College BF Dominator]]&gt;0.3,10,IF(Table2[[#This Row],[College BF Dominator]]&lt;-0.156,0,10/(20.818*0.3+3.2667)*(20.818*Table2[[#This Row],[College BF Dominator]]+3.2667))),0)</f>
        <v>7</v>
      </c>
      <c r="AG69">
        <f>ROUND(IF(Table2[[#This Row],[College PTDR]]&gt;0.085,10,IF(Table2[[#This Row],[College PTDR]]&lt;0.04,0,10/(105.24*0.085-1.7837)*(105.24*Table2[[#This Row],[College PTDR]]-1.7837))),0)</f>
        <v>5</v>
      </c>
      <c r="AH69">
        <f>ROUND(IF(Table2[[#This Row],[College Passer Rating]]&gt;170,10,IF(Table2[[#This Row],[College Passer Rating]]&lt;112.475,0,10/(0.1495*170-16.815)*(0.1495*Table2[[#This Row],[College Passer Rating]]-16.815))),0)</f>
        <v>8</v>
      </c>
      <c r="AI69">
        <f>ROUND(IF(Table2[[#This Row],[PTD:INT]]&gt;4,10,IF(Table2[[#This Row],[PTD:INT]]&lt;1,0,10/(4.7442*LN(4)+0.4256)*(4.7442*LN(Table2[[#This Row],[PTD:INT]])+0.4256))),0)</f>
        <v>7</v>
      </c>
      <c r="AJ69">
        <f>ROUND(IF(Table2[[#This Row],[Patt:Ratt]]&lt;2.5,10,IF(Table2[[#This Row],[Patt:Ratt]]&gt;15,0,10/(-2.684*LN(2.5)+9.0869)*(-2.684*LN(Table2[[#This Row],[Patt:Ratt]])+9.0869))),0)</f>
        <v>9</v>
      </c>
      <c r="AK69">
        <f>ROUND(IF(Table2[[#This Row],[Y/A]]&gt;9.2,10,IF(Table2[[#This Row],[Y/A]]&lt;6.26,0,10/(2.2619*9.2-14.16)*(2.2619*Table2[[#This Row],[Y/A]]-14.16))),0)</f>
        <v>10</v>
      </c>
      <c r="AL69">
        <f>ROUND(IF(Table2[[#This Row],[AY/A]]&gt;10,10,IF(Table2[[#This Row],[AY/A]]&lt;5.51,0,10/(1.6571*10-9.1312)*(1.6571*Table2[[#This Row],[AY/A]]-9.1312))),0)</f>
        <v>9</v>
      </c>
      <c r="AM69">
        <f>ROUND(IF(Table2[[#This Row],[40 Yd Dash]]&lt;4.75,10,IF(Table2[[#This Row],[40 Yd Dash]]&gt;5.191,0,10/(-66.95*LN(4.75)+110.26)*(-66.95*LN(Table2[[#This Row],[40 Yd Dash]])+110.26))),0)</f>
        <v>10</v>
      </c>
      <c r="AN69">
        <f>ROUND(IF(Table2[[#This Row],[Hand Size]]&gt;10.25,10,IF(Table2[[#This Row],[Hand Size]]&lt;9,0,10/(15.49*LN(10.25)-30.577)*(15.49*LN(Table2[[#This Row],[Hand Size]])-30.577))),0)</f>
        <v>9</v>
      </c>
    </row>
    <row r="70" spans="1:40">
      <c r="A70">
        <v>2017</v>
      </c>
      <c r="B70">
        <v>8</v>
      </c>
      <c r="C70" t="s">
        <v>219</v>
      </c>
      <c r="D70" t="s">
        <v>120</v>
      </c>
      <c r="E70">
        <v>5.0999999999999996</v>
      </c>
      <c r="F70" t="s">
        <v>237</v>
      </c>
      <c r="G70">
        <f>SUMIFS('NFL QB Data By Year'!$Q:$Q,'NFL QB Data By Year'!$D:$D,Table2[[#This Row],[Player Name]],'NFL QB Data By Year'!$B:$B,Table2[[#This Row],[Draft Year]]+G$1)</f>
        <v>0</v>
      </c>
      <c r="H70">
        <f>SUMIFS('NFL QB Data By Year'!$P:$P,'NFL QB Data By Year'!$D:$D,Table2[[#This Row],[Player Name]],'NFL QB Data By Year'!$B:$B,Table2[[#This Row],[Draft Year]]+H$1)</f>
        <v>0</v>
      </c>
      <c r="I70">
        <f>SUMIFS('NFL QB Data By Year'!$Q:$Q,'NFL QB Data By Year'!$D:$D,Table2[[#This Row],[Player Name]],'NFL QB Data By Year'!$B:$B,Table2[[#This Row],[Draft Year]]+I$1)</f>
        <v>0</v>
      </c>
      <c r="J70">
        <f>SUMIFS('NFL QB Data By Year'!$P:$P,'NFL QB Data By Year'!$D:$D,Table2[[#This Row],[Player Name]],'NFL QB Data By Year'!$B:$B,Table2[[#This Row],[Draft Year]]+J$1)</f>
        <v>0</v>
      </c>
      <c r="K70">
        <f>SUMIFS('NFL QB Data By Year'!$Q:$Q,'NFL QB Data By Year'!$D:$D,Table2[[#This Row],[Player Name]],'NFL QB Data By Year'!$B:$B,Table2[[#This Row],[Draft Year]]+K$1)</f>
        <v>0</v>
      </c>
      <c r="L70">
        <f>SUMIFS('NFL QB Data By Year'!$P:$P,'NFL QB Data By Year'!$D:$D,Table2[[#This Row],[Player Name]],'NFL QB Data By Year'!$B:$B,Table2[[#This Row],[Draft Year]]+L$1)</f>
        <v>0</v>
      </c>
      <c r="M70">
        <f>Table2[[#This Row],[Year 1 G]]+Table2[[#This Row],[Year 2 G]]+Table2[[#This Row],[Year 3 G]]</f>
        <v>0</v>
      </c>
      <c r="N70">
        <f>Table2[[#This Row],[Year 1 FPTs]]+Table2[[#This Row],[Year 2 FPTs]]+Table2[[#This Row],[Year 3 FPTs]]</f>
        <v>0</v>
      </c>
      <c r="O70" s="7">
        <f>IFERROR(Table2[[#This Row],[Total FPTs]]/Table2[[#This Row],[Total G]],0)</f>
        <v>0</v>
      </c>
      <c r="P70">
        <v>10</v>
      </c>
      <c r="Q70" s="8">
        <f xml:space="preserve"> IFERROR(SUMIFS('College Data By Year'!J:J,'College Data By Year'!A:A,Table2[[#This Row],[Player Name]])/SUMIFS('College Data By Year'!L:L,'College Data By Year'!A:A,Table2[[#This Row],[Player Name]]),"")</f>
        <v>0.12279233280321419</v>
      </c>
      <c r="R70" s="11">
        <f xml:space="preserve"> IFERROR(SUMIFS('College Data By Year'!D:D,'College Data By Year'!A:A,Table2[[#This Row],[Player Name]])/SUMIFS('College Data By Year'!B:B,'College Data By Year'!A:A,Table2[[#This Row],[Player Name]]),"")</f>
        <v>5.1643192488262914E-2</v>
      </c>
      <c r="S70">
        <f>IF(SUMIFS('College Data By Year'!H:H,'College Data By Year'!A:A,Table2[[#This Row],[Player Name]])=0,"",SUMIFS('College Data By Year'!H:H,'College Data By Year'!A:A,Table2[[#This Row],[Player Name]]))</f>
        <v>124.2</v>
      </c>
      <c r="T70" s="7">
        <f>IFERROR(SUMIFS('College Data By Year'!D:D,'College Data By Year'!A:A,Table2[[#This Row],[Player Name]])/SUMIFS('College Data By Year'!E:E,'College Data By Year'!A:A,Table2[[#This Row],[Player Name]]),"")</f>
        <v>1.6923076923076923</v>
      </c>
      <c r="U70" s="7">
        <f>IFERROR(SUMIFS('College Data By Year'!B:B,'College Data By Year'!A:A,Table2[[#This Row],[Player Name]])/SUMIFS('College Data By Year'!I:I,'College Data By Year'!A:A,Table2[[#This Row],[Player Name]]),"")</f>
        <v>3.3675889328063242</v>
      </c>
      <c r="V70">
        <f>IF(SUMIFS('College Data By Year'!F:F,'College Data By Year'!A:A,Table2[[#This Row],[Player Name]])=0,"",SUMIFS('College Data By Year'!F:F,'College Data By Year'!A:A,Table2[[#This Row],[Player Name]]))</f>
        <v>6.9</v>
      </c>
      <c r="W70">
        <f>IF(SUMIFS('College Data By Year'!G:G,'College Data By Year'!A:A,Table2[[#This Row],[Player Name]])=0,"",SUMIFS('College Data By Year'!G:G,'College Data By Year'!A:A,Table2[[#This Row],[Player Name]]))</f>
        <v>6.5</v>
      </c>
      <c r="X7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70">
        <v>4.54</v>
      </c>
      <c r="Z70">
        <v>9.875</v>
      </c>
      <c r="AA70" t="s">
        <v>228</v>
      </c>
      <c r="AB70">
        <v>219</v>
      </c>
      <c r="AC70">
        <v>28.9</v>
      </c>
      <c r="AD70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70">
        <f>ROUND(IF(Table2[[#This Row],[Draft Round]]=1,10,IF(Table2[[#This Row],[Draft Round]]=8,0,10/(20.884*EXP(-0.381*1))*(20.884*EXP(-0.381*Table2[[#This Row],[Draft Round]])))),0)</f>
        <v>0</v>
      </c>
      <c r="AF70">
        <f>ROUND(IF(Table2[[#This Row],[College BF Dominator]]&gt;0.3,10,IF(Table2[[#This Row],[College BF Dominator]]&lt;-0.156,0,10/(20.818*0.3+3.2667)*(20.818*Table2[[#This Row],[College BF Dominator]]+3.2667))),0)</f>
        <v>6</v>
      </c>
      <c r="AG70">
        <f>ROUND(IF(Table2[[#This Row],[College PTDR]]&gt;0.085,10,IF(Table2[[#This Row],[College PTDR]]&lt;0.04,0,10/(105.24*0.085-1.7837)*(105.24*Table2[[#This Row],[College PTDR]]-1.7837))),0)</f>
        <v>5</v>
      </c>
      <c r="AH70">
        <f>ROUND(IF(Table2[[#This Row],[College Passer Rating]]&gt;170,10,IF(Table2[[#This Row],[College Passer Rating]]&lt;112.475,0,10/(0.1495*170-16.815)*(0.1495*Table2[[#This Row],[College Passer Rating]]-16.815))),0)</f>
        <v>2</v>
      </c>
      <c r="AI70">
        <f>ROUND(IF(Table2[[#This Row],[PTD:INT]]&gt;4,10,IF(Table2[[#This Row],[PTD:INT]]&lt;1,0,10/(4.7442*LN(4)+0.4256)*(4.7442*LN(Table2[[#This Row],[PTD:INT]])+0.4256))),0)</f>
        <v>4</v>
      </c>
      <c r="AJ70">
        <f>ROUND(IF(Table2[[#This Row],[Patt:Ratt]]&lt;2.5,10,IF(Table2[[#This Row],[Patt:Ratt]]&gt;15,0,10/(-2.684*LN(2.5)+9.0869)*(-2.684*LN(Table2[[#This Row],[Patt:Ratt]])+9.0869))),0)</f>
        <v>9</v>
      </c>
      <c r="AK70">
        <f>ROUND(IF(Table2[[#This Row],[Y/A]]&gt;9.2,10,IF(Table2[[#This Row],[Y/A]]&lt;6.26,0,10/(2.2619*9.2-14.16)*(2.2619*Table2[[#This Row],[Y/A]]-14.16))),0)</f>
        <v>2</v>
      </c>
      <c r="AL70">
        <f>ROUND(IF(Table2[[#This Row],[AY/A]]&gt;10,10,IF(Table2[[#This Row],[AY/A]]&lt;5.51,0,10/(1.6571*10-9.1312)*(1.6571*Table2[[#This Row],[AY/A]]-9.1312))),0)</f>
        <v>2</v>
      </c>
      <c r="AM70">
        <f>ROUND(IF(Table2[[#This Row],[40 Yd Dash]]&lt;4.75,10,IF(Table2[[#This Row],[40 Yd Dash]]&gt;5.191,0,10/(-66.95*LN(4.75)+110.26)*(-66.95*LN(Table2[[#This Row],[40 Yd Dash]])+110.26))),0)</f>
        <v>10</v>
      </c>
      <c r="AN70">
        <f>ROUND(IF(Table2[[#This Row],[Hand Size]]&gt;10.25,10,IF(Table2[[#This Row],[Hand Size]]&lt;9,0,10/(15.49*LN(10.25)-30.577)*(15.49*LN(Table2[[#This Row],[Hand Size]])-30.577))),0)</f>
        <v>9</v>
      </c>
    </row>
    <row r="71" spans="1:40">
      <c r="A71">
        <v>2019</v>
      </c>
      <c r="B71">
        <v>8</v>
      </c>
      <c r="C71" t="s">
        <v>219</v>
      </c>
      <c r="D71" t="s">
        <v>91</v>
      </c>
      <c r="E71">
        <v>5.8</v>
      </c>
      <c r="F71" t="s">
        <v>234</v>
      </c>
      <c r="G71">
        <f>SUMIFS('NFL QB Data By Year'!$Q:$Q,'NFL QB Data By Year'!$D:$D,Table2[[#This Row],[Player Name]],'NFL QB Data By Year'!$B:$B,Table2[[#This Row],[Draft Year]]+G$1)</f>
        <v>0</v>
      </c>
      <c r="H71">
        <f>SUMIFS('NFL QB Data By Year'!$P:$P,'NFL QB Data By Year'!$D:$D,Table2[[#This Row],[Player Name]],'NFL QB Data By Year'!$B:$B,Table2[[#This Row],[Draft Year]]+H$1)</f>
        <v>0</v>
      </c>
      <c r="I71">
        <f>SUMIFS('NFL QB Data By Year'!$Q:$Q,'NFL QB Data By Year'!$D:$D,Table2[[#This Row],[Player Name]],'NFL QB Data By Year'!$B:$B,Table2[[#This Row],[Draft Year]]+I$1)</f>
        <v>0</v>
      </c>
      <c r="J71">
        <f>SUMIFS('NFL QB Data By Year'!$P:$P,'NFL QB Data By Year'!$D:$D,Table2[[#This Row],[Player Name]],'NFL QB Data By Year'!$B:$B,Table2[[#This Row],[Draft Year]]+J$1)</f>
        <v>0</v>
      </c>
      <c r="K71">
        <f>SUMIFS('NFL QB Data By Year'!$Q:$Q,'NFL QB Data By Year'!$D:$D,Table2[[#This Row],[Player Name]],'NFL QB Data By Year'!$B:$B,Table2[[#This Row],[Draft Year]]+K$1)</f>
        <v>0</v>
      </c>
      <c r="L71">
        <f>SUMIFS('NFL QB Data By Year'!$P:$P,'NFL QB Data By Year'!$D:$D,Table2[[#This Row],[Player Name]],'NFL QB Data By Year'!$B:$B,Table2[[#This Row],[Draft Year]]+L$1)</f>
        <v>0</v>
      </c>
      <c r="M71">
        <f>Table2[[#This Row],[Year 1 G]]+Table2[[#This Row],[Year 2 G]]+Table2[[#This Row],[Year 3 G]]</f>
        <v>0</v>
      </c>
      <c r="N71">
        <f>Table2[[#This Row],[Year 1 FPTs]]+Table2[[#This Row],[Year 2 FPTs]]+Table2[[#This Row],[Year 3 FPTs]]</f>
        <v>0</v>
      </c>
      <c r="O71" s="7">
        <f>IFERROR(Table2[[#This Row],[Total FPTs]]/Table2[[#This Row],[Total G]],0)</f>
        <v>0</v>
      </c>
      <c r="P71">
        <v>10</v>
      </c>
      <c r="Q71" s="8">
        <f xml:space="preserve"> IFERROR(SUMIFS('College Data By Year'!J:J,'College Data By Year'!A:A,Table2[[#This Row],[Player Name]])/SUMIFS('College Data By Year'!L:L,'College Data By Year'!A:A,Table2[[#This Row],[Player Name]]),"")</f>
        <v>0.12249190938511327</v>
      </c>
      <c r="R71" s="11">
        <f xml:space="preserve"> IFERROR(SUMIFS('College Data By Year'!D:D,'College Data By Year'!A:A,Table2[[#This Row],[Player Name]])/SUMIFS('College Data By Year'!B:B,'College Data By Year'!A:A,Table2[[#This Row],[Player Name]]),"")</f>
        <v>5.1308900523560207E-2</v>
      </c>
      <c r="S71">
        <f>IF(SUMIFS('College Data By Year'!H:H,'College Data By Year'!A:A,Table2[[#This Row],[Player Name]])=0,"",SUMIFS('College Data By Year'!H:H,'College Data By Year'!A:A,Table2[[#This Row],[Player Name]]))</f>
        <v>129.30000000000001</v>
      </c>
      <c r="T71" s="7">
        <f>IFERROR(SUMIFS('College Data By Year'!D:D,'College Data By Year'!A:A,Table2[[#This Row],[Player Name]])/SUMIFS('College Data By Year'!E:E,'College Data By Year'!A:A,Table2[[#This Row],[Player Name]]),"")</f>
        <v>2.0416666666666665</v>
      </c>
      <c r="U71" s="7">
        <f>IFERROR(SUMIFS('College Data By Year'!B:B,'College Data By Year'!A:A,Table2[[#This Row],[Player Name]])/SUMIFS('College Data By Year'!I:I,'College Data By Year'!A:A,Table2[[#This Row],[Player Name]]),"")</f>
        <v>4.7512437810945274</v>
      </c>
      <c r="V71">
        <f>IF(SUMIFS('College Data By Year'!F:F,'College Data By Year'!A:A,Table2[[#This Row],[Player Name]])=0,"",SUMIFS('College Data By Year'!F:F,'College Data By Year'!A:A,Table2[[#This Row],[Player Name]]))</f>
        <v>7.3</v>
      </c>
      <c r="W71">
        <f>IF(SUMIFS('College Data By Year'!G:G,'College Data By Year'!A:A,Table2[[#This Row],[Player Name]])=0,"",SUMIFS('College Data By Year'!G:G,'College Data By Year'!A:A,Table2[[#This Row],[Player Name]]))</f>
        <v>7.2</v>
      </c>
      <c r="X7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3.0276816608996539E-2</v>
      </c>
      <c r="Y71">
        <v>4.59</v>
      </c>
      <c r="Z71">
        <v>10.25</v>
      </c>
      <c r="AA71" t="s">
        <v>230</v>
      </c>
      <c r="AB71">
        <v>249</v>
      </c>
      <c r="AC71">
        <v>28</v>
      </c>
      <c r="AD71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71">
        <f>ROUND(IF(Table2[[#This Row],[Draft Round]]=1,10,IF(Table2[[#This Row],[Draft Round]]=8,0,10/(20.884*EXP(-0.381*1))*(20.884*EXP(-0.381*Table2[[#This Row],[Draft Round]])))),0)</f>
        <v>0</v>
      </c>
      <c r="AF71">
        <f>ROUND(IF(Table2[[#This Row],[College BF Dominator]]&gt;0.3,10,IF(Table2[[#This Row],[College BF Dominator]]&lt;-0.156,0,10/(20.818*0.3+3.2667)*(20.818*Table2[[#This Row],[College BF Dominator]]+3.2667))),0)</f>
        <v>6</v>
      </c>
      <c r="AG71">
        <f>ROUND(IF(Table2[[#This Row],[College PTDR]]&gt;0.085,10,IF(Table2[[#This Row],[College PTDR]]&lt;0.04,0,10/(105.24*0.085-1.7837)*(105.24*Table2[[#This Row],[College PTDR]]-1.7837))),0)</f>
        <v>5</v>
      </c>
      <c r="AH71">
        <f>ROUND(IF(Table2[[#This Row],[College Passer Rating]]&gt;170,10,IF(Table2[[#This Row],[College Passer Rating]]&lt;112.475,0,10/(0.1495*170-16.815)*(0.1495*Table2[[#This Row],[College Passer Rating]]-16.815))),0)</f>
        <v>3</v>
      </c>
      <c r="AI71">
        <f>ROUND(IF(Table2[[#This Row],[PTD:INT]]&gt;4,10,IF(Table2[[#This Row],[PTD:INT]]&lt;1,0,10/(4.7442*LN(4)+0.4256)*(4.7442*LN(Table2[[#This Row],[PTD:INT]])+0.4256))),0)</f>
        <v>5</v>
      </c>
      <c r="AJ71">
        <f>ROUND(IF(Table2[[#This Row],[Patt:Ratt]]&lt;2.5,10,IF(Table2[[#This Row],[Patt:Ratt]]&gt;15,0,10/(-2.684*LN(2.5)+9.0869)*(-2.684*LN(Table2[[#This Row],[Patt:Ratt]])+9.0869))),0)</f>
        <v>7</v>
      </c>
      <c r="AK71">
        <f>ROUND(IF(Table2[[#This Row],[Y/A]]&gt;9.2,10,IF(Table2[[#This Row],[Y/A]]&lt;6.26,0,10/(2.2619*9.2-14.16)*(2.2619*Table2[[#This Row],[Y/A]]-14.16))),0)</f>
        <v>4</v>
      </c>
      <c r="AL71">
        <f>ROUND(IF(Table2[[#This Row],[AY/A]]&gt;10,10,IF(Table2[[#This Row],[AY/A]]&lt;5.51,0,10/(1.6571*10-9.1312)*(1.6571*Table2[[#This Row],[AY/A]]-9.1312))),0)</f>
        <v>4</v>
      </c>
      <c r="AM71">
        <f>ROUND(IF(Table2[[#This Row],[40 Yd Dash]]&lt;4.75,10,IF(Table2[[#This Row],[40 Yd Dash]]&gt;5.191,0,10/(-66.95*LN(4.75)+110.26)*(-66.95*LN(Table2[[#This Row],[40 Yd Dash]])+110.26))),0)</f>
        <v>10</v>
      </c>
      <c r="AN71">
        <f>ROUND(IF(Table2[[#This Row],[Hand Size]]&gt;10.25,10,IF(Table2[[#This Row],[Hand Size]]&lt;9,0,10/(15.49*LN(10.25)-30.577)*(15.49*LN(Table2[[#This Row],[Hand Size]])-30.577))),0)</f>
        <v>10</v>
      </c>
    </row>
    <row r="72" spans="1:40">
      <c r="A72">
        <v>2019</v>
      </c>
      <c r="B72">
        <v>8</v>
      </c>
      <c r="C72" t="s">
        <v>219</v>
      </c>
      <c r="D72" t="s">
        <v>90</v>
      </c>
      <c r="E72">
        <v>5.8</v>
      </c>
      <c r="F72" t="s">
        <v>234</v>
      </c>
      <c r="G72">
        <f>SUMIFS('NFL QB Data By Year'!$Q:$Q,'NFL QB Data By Year'!$D:$D,Table2[[#This Row],[Player Name]],'NFL QB Data By Year'!$B:$B,Table2[[#This Row],[Draft Year]]+G$1)</f>
        <v>0</v>
      </c>
      <c r="H72">
        <f>SUMIFS('NFL QB Data By Year'!$P:$P,'NFL QB Data By Year'!$D:$D,Table2[[#This Row],[Player Name]],'NFL QB Data By Year'!$B:$B,Table2[[#This Row],[Draft Year]]+H$1)</f>
        <v>0</v>
      </c>
      <c r="I72">
        <f>SUMIFS('NFL QB Data By Year'!$Q:$Q,'NFL QB Data By Year'!$D:$D,Table2[[#This Row],[Player Name]],'NFL QB Data By Year'!$B:$B,Table2[[#This Row],[Draft Year]]+I$1)</f>
        <v>0</v>
      </c>
      <c r="J72">
        <f>SUMIFS('NFL QB Data By Year'!$P:$P,'NFL QB Data By Year'!$D:$D,Table2[[#This Row],[Player Name]],'NFL QB Data By Year'!$B:$B,Table2[[#This Row],[Draft Year]]+J$1)</f>
        <v>0</v>
      </c>
      <c r="K72">
        <f>SUMIFS('NFL QB Data By Year'!$Q:$Q,'NFL QB Data By Year'!$D:$D,Table2[[#This Row],[Player Name]],'NFL QB Data By Year'!$B:$B,Table2[[#This Row],[Draft Year]]+K$1)</f>
        <v>0</v>
      </c>
      <c r="L72">
        <f>SUMIFS('NFL QB Data By Year'!$P:$P,'NFL QB Data By Year'!$D:$D,Table2[[#This Row],[Player Name]],'NFL QB Data By Year'!$B:$B,Table2[[#This Row],[Draft Year]]+L$1)</f>
        <v>0</v>
      </c>
      <c r="M72">
        <f>Table2[[#This Row],[Year 1 G]]+Table2[[#This Row],[Year 2 G]]+Table2[[#This Row],[Year 3 G]]</f>
        <v>0</v>
      </c>
      <c r="N72">
        <f>Table2[[#This Row],[Year 1 FPTs]]+Table2[[#This Row],[Year 2 FPTs]]+Table2[[#This Row],[Year 3 FPTs]]</f>
        <v>0</v>
      </c>
      <c r="O72" s="7">
        <f>IFERROR(Table2[[#This Row],[Total FPTs]]/Table2[[#This Row],[Total G]],0)</f>
        <v>0</v>
      </c>
      <c r="P72">
        <v>10</v>
      </c>
      <c r="Q72" s="8">
        <f xml:space="preserve"> IFERROR(SUMIFS('College Data By Year'!J:J,'College Data By Year'!A:A,Table2[[#This Row],[Player Name]])/SUMIFS('College Data By Year'!L:L,'College Data By Year'!A:A,Table2[[#This Row],[Player Name]]),"")</f>
        <v>0.12084063047285463</v>
      </c>
      <c r="R72" s="11">
        <f xml:space="preserve"> IFERROR(SUMIFS('College Data By Year'!D:D,'College Data By Year'!A:A,Table2[[#This Row],[Player Name]])/SUMIFS('College Data By Year'!B:B,'College Data By Year'!A:A,Table2[[#This Row],[Player Name]]),"")</f>
        <v>4.66786355475763E-2</v>
      </c>
      <c r="S72">
        <f>IF(SUMIFS('College Data By Year'!H:H,'College Data By Year'!A:A,Table2[[#This Row],[Player Name]])=0,"",SUMIFS('College Data By Year'!H:H,'College Data By Year'!A:A,Table2[[#This Row],[Player Name]]))</f>
        <v>139.5</v>
      </c>
      <c r="T72" s="7">
        <f>IFERROR(SUMIFS('College Data By Year'!D:D,'College Data By Year'!A:A,Table2[[#This Row],[Player Name]])/SUMIFS('College Data By Year'!E:E,'College Data By Year'!A:A,Table2[[#This Row],[Player Name]]),"")</f>
        <v>2.2608695652173911</v>
      </c>
      <c r="U72" s="7">
        <f>IFERROR(SUMIFS('College Data By Year'!B:B,'College Data By Year'!A:A,Table2[[#This Row],[Player Name]])/SUMIFS('College Data By Year'!I:I,'College Data By Year'!A:A,Table2[[#This Row],[Player Name]]),"")</f>
        <v>2.8935064935064934</v>
      </c>
      <c r="V72">
        <f>IF(SUMIFS('College Data By Year'!F:F,'College Data By Year'!A:A,Table2[[#This Row],[Player Name]])=0,"",SUMIFS('College Data By Year'!F:F,'College Data By Year'!A:A,Table2[[#This Row],[Player Name]]))</f>
        <v>7.7</v>
      </c>
      <c r="W72">
        <f>IF(SUMIFS('College Data By Year'!G:G,'College Data By Year'!A:A,Table2[[#This Row],[Player Name]])=0,"",SUMIFS('College Data By Year'!G:G,'College Data By Year'!A:A,Table2[[#This Row],[Player Name]]))</f>
        <v>7.7</v>
      </c>
      <c r="X7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6.0040026684456307E-2</v>
      </c>
      <c r="Y72">
        <v>4.84</v>
      </c>
      <c r="Z72">
        <v>9.625</v>
      </c>
      <c r="AA72" t="s">
        <v>221</v>
      </c>
      <c r="AB72">
        <v>193</v>
      </c>
      <c r="AC72">
        <v>24.8</v>
      </c>
      <c r="AD72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72">
        <f>ROUND(IF(Table2[[#This Row],[Draft Round]]=1,10,IF(Table2[[#This Row],[Draft Round]]=8,0,10/(20.884*EXP(-0.381*1))*(20.884*EXP(-0.381*Table2[[#This Row],[Draft Round]])))),0)</f>
        <v>0</v>
      </c>
      <c r="AF72">
        <f>ROUND(IF(Table2[[#This Row],[College BF Dominator]]&gt;0.3,10,IF(Table2[[#This Row],[College BF Dominator]]&lt;-0.156,0,10/(20.818*0.3+3.2667)*(20.818*Table2[[#This Row],[College BF Dominator]]+3.2667))),0)</f>
        <v>6</v>
      </c>
      <c r="AG72">
        <f>ROUND(IF(Table2[[#This Row],[College PTDR]]&gt;0.085,10,IF(Table2[[#This Row],[College PTDR]]&lt;0.04,0,10/(105.24*0.085-1.7837)*(105.24*Table2[[#This Row],[College PTDR]]-1.7837))),0)</f>
        <v>4</v>
      </c>
      <c r="AH72">
        <f>ROUND(IF(Table2[[#This Row],[College Passer Rating]]&gt;170,10,IF(Table2[[#This Row],[College Passer Rating]]&lt;112.475,0,10/(0.1495*170-16.815)*(0.1495*Table2[[#This Row],[College Passer Rating]]-16.815))),0)</f>
        <v>5</v>
      </c>
      <c r="AI72">
        <f>ROUND(IF(Table2[[#This Row],[PTD:INT]]&gt;4,10,IF(Table2[[#This Row],[PTD:INT]]&lt;1,0,10/(4.7442*LN(4)+0.4256)*(4.7442*LN(Table2[[#This Row],[PTD:INT]])+0.4256))),0)</f>
        <v>6</v>
      </c>
      <c r="AJ72">
        <f>ROUND(IF(Table2[[#This Row],[Patt:Ratt]]&lt;2.5,10,IF(Table2[[#This Row],[Patt:Ratt]]&gt;15,0,10/(-2.684*LN(2.5)+9.0869)*(-2.684*LN(Table2[[#This Row],[Patt:Ratt]])+9.0869))),0)</f>
        <v>9</v>
      </c>
      <c r="AK72">
        <f>ROUND(IF(Table2[[#This Row],[Y/A]]&gt;9.2,10,IF(Table2[[#This Row],[Y/A]]&lt;6.26,0,10/(2.2619*9.2-14.16)*(2.2619*Table2[[#This Row],[Y/A]]-14.16))),0)</f>
        <v>5</v>
      </c>
      <c r="AL72">
        <f>ROUND(IF(Table2[[#This Row],[AY/A]]&gt;10,10,IF(Table2[[#This Row],[AY/A]]&lt;5.51,0,10/(1.6571*10-9.1312)*(1.6571*Table2[[#This Row],[AY/A]]-9.1312))),0)</f>
        <v>5</v>
      </c>
      <c r="AM72">
        <f>ROUND(IF(Table2[[#This Row],[40 Yd Dash]]&lt;4.75,10,IF(Table2[[#This Row],[40 Yd Dash]]&gt;5.191,0,10/(-66.95*LN(4.75)+110.26)*(-66.95*LN(Table2[[#This Row],[40 Yd Dash]])+110.26))),0)</f>
        <v>8</v>
      </c>
      <c r="AN72">
        <f>ROUND(IF(Table2[[#This Row],[Hand Size]]&gt;10.25,10,IF(Table2[[#This Row],[Hand Size]]&lt;9,0,10/(15.49*LN(10.25)-30.577)*(15.49*LN(Table2[[#This Row],[Hand Size]])-30.577))),0)</f>
        <v>8</v>
      </c>
    </row>
    <row r="73" spans="1:40">
      <c r="A73">
        <v>2017</v>
      </c>
      <c r="B73">
        <v>8</v>
      </c>
      <c r="C73" t="s">
        <v>219</v>
      </c>
      <c r="D73" t="s">
        <v>129</v>
      </c>
      <c r="E73">
        <v>5.0999999999999996</v>
      </c>
      <c r="F73" t="s">
        <v>237</v>
      </c>
      <c r="G73">
        <f>SUMIFS('NFL QB Data By Year'!$Q:$Q,'NFL QB Data By Year'!$D:$D,Table2[[#This Row],[Player Name]],'NFL QB Data By Year'!$B:$B,Table2[[#This Row],[Draft Year]]+G$1)</f>
        <v>0</v>
      </c>
      <c r="H73">
        <f>SUMIFS('NFL QB Data By Year'!$P:$P,'NFL QB Data By Year'!$D:$D,Table2[[#This Row],[Player Name]],'NFL QB Data By Year'!$B:$B,Table2[[#This Row],[Draft Year]]+H$1)</f>
        <v>0</v>
      </c>
      <c r="I73">
        <f>SUMIFS('NFL QB Data By Year'!$Q:$Q,'NFL QB Data By Year'!$D:$D,Table2[[#This Row],[Player Name]],'NFL QB Data By Year'!$B:$B,Table2[[#This Row],[Draft Year]]+I$1)</f>
        <v>0</v>
      </c>
      <c r="J73">
        <f>SUMIFS('NFL QB Data By Year'!$P:$P,'NFL QB Data By Year'!$D:$D,Table2[[#This Row],[Player Name]],'NFL QB Data By Year'!$B:$B,Table2[[#This Row],[Draft Year]]+J$1)</f>
        <v>0</v>
      </c>
      <c r="K73">
        <f>SUMIFS('NFL QB Data By Year'!$Q:$Q,'NFL QB Data By Year'!$D:$D,Table2[[#This Row],[Player Name]],'NFL QB Data By Year'!$B:$B,Table2[[#This Row],[Draft Year]]+K$1)</f>
        <v>0</v>
      </c>
      <c r="L73">
        <f>SUMIFS('NFL QB Data By Year'!$P:$P,'NFL QB Data By Year'!$D:$D,Table2[[#This Row],[Player Name]],'NFL QB Data By Year'!$B:$B,Table2[[#This Row],[Draft Year]]+L$1)</f>
        <v>0</v>
      </c>
      <c r="M73">
        <f>Table2[[#This Row],[Year 1 G]]+Table2[[#This Row],[Year 2 G]]+Table2[[#This Row],[Year 3 G]]</f>
        <v>0</v>
      </c>
      <c r="N73">
        <f>Table2[[#This Row],[Year 1 FPTs]]+Table2[[#This Row],[Year 2 FPTs]]+Table2[[#This Row],[Year 3 FPTs]]</f>
        <v>0</v>
      </c>
      <c r="O73" s="7">
        <f>IFERROR(Table2[[#This Row],[Total FPTs]]/Table2[[#This Row],[Total G]],0)</f>
        <v>0</v>
      </c>
      <c r="P73">
        <v>10</v>
      </c>
      <c r="Q73" s="8">
        <f xml:space="preserve"> IFERROR(SUMIFS('College Data By Year'!J:J,'College Data By Year'!A:A,Table2[[#This Row],[Player Name]])/SUMIFS('College Data By Year'!L:L,'College Data By Year'!A:A,Table2[[#This Row],[Player Name]]),"")</f>
        <v>0.11820600532117066</v>
      </c>
      <c r="R73" s="11">
        <f xml:space="preserve"> IFERROR(SUMIFS('College Data By Year'!D:D,'College Data By Year'!A:A,Table2[[#This Row],[Player Name]])/SUMIFS('College Data By Year'!B:B,'College Data By Year'!A:A,Table2[[#This Row],[Player Name]]),"")</f>
        <v>4.2492917847025496E-2</v>
      </c>
      <c r="S73">
        <f>IF(SUMIFS('College Data By Year'!H:H,'College Data By Year'!A:A,Table2[[#This Row],[Player Name]])=0,"",SUMIFS('College Data By Year'!H:H,'College Data By Year'!A:A,Table2[[#This Row],[Player Name]]))</f>
        <v>129.9</v>
      </c>
      <c r="T73" s="7">
        <f>IFERROR(SUMIFS('College Data By Year'!D:D,'College Data By Year'!A:A,Table2[[#This Row],[Player Name]])/SUMIFS('College Data By Year'!E:E,'College Data By Year'!A:A,Table2[[#This Row],[Player Name]]),"")</f>
        <v>1.7142857142857142</v>
      </c>
      <c r="U73" s="7">
        <f>IFERROR(SUMIFS('College Data By Year'!B:B,'College Data By Year'!A:A,Table2[[#This Row],[Player Name]])/SUMIFS('College Data By Year'!I:I,'College Data By Year'!A:A,Table2[[#This Row],[Player Name]]),"")</f>
        <v>3.6963350785340312</v>
      </c>
      <c r="V73">
        <f>IF(SUMIFS('College Data By Year'!F:F,'College Data By Year'!A:A,Table2[[#This Row],[Player Name]])=0,"",SUMIFS('College Data By Year'!F:F,'College Data By Year'!A:A,Table2[[#This Row],[Player Name]]))</f>
        <v>6.9</v>
      </c>
      <c r="W73">
        <f>IF(SUMIFS('College Data By Year'!G:G,'College Data By Year'!A:A,Table2[[#This Row],[Player Name]])=0,"",SUMIFS('College Data By Year'!G:G,'College Data By Year'!A:A,Table2[[#This Row],[Player Name]]))</f>
        <v>6.6</v>
      </c>
      <c r="X7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4.1248606465997768E-2</v>
      </c>
      <c r="Y73">
        <v>5.08</v>
      </c>
      <c r="Z73">
        <v>10.75</v>
      </c>
      <c r="AA73" t="s">
        <v>229</v>
      </c>
      <c r="AB73">
        <v>232</v>
      </c>
      <c r="AC73">
        <v>29</v>
      </c>
      <c r="AD73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73">
        <f>ROUND(IF(Table2[[#This Row],[Draft Round]]=1,10,IF(Table2[[#This Row],[Draft Round]]=8,0,10/(20.884*EXP(-0.381*1))*(20.884*EXP(-0.381*Table2[[#This Row],[Draft Round]])))),0)</f>
        <v>0</v>
      </c>
      <c r="AF73">
        <f>ROUND(IF(Table2[[#This Row],[College BF Dominator]]&gt;0.3,10,IF(Table2[[#This Row],[College BF Dominator]]&lt;-0.156,0,10/(20.818*0.3+3.2667)*(20.818*Table2[[#This Row],[College BF Dominator]]+3.2667))),0)</f>
        <v>6</v>
      </c>
      <c r="AG73">
        <f>ROUND(IF(Table2[[#This Row],[College PTDR]]&gt;0.085,10,IF(Table2[[#This Row],[College PTDR]]&lt;0.04,0,10/(105.24*0.085-1.7837)*(105.24*Table2[[#This Row],[College PTDR]]-1.7837))),0)</f>
        <v>4</v>
      </c>
      <c r="AH73">
        <f>ROUND(IF(Table2[[#This Row],[College Passer Rating]]&gt;170,10,IF(Table2[[#This Row],[College Passer Rating]]&lt;112.475,0,10/(0.1495*170-16.815)*(0.1495*Table2[[#This Row],[College Passer Rating]]-16.815))),0)</f>
        <v>3</v>
      </c>
      <c r="AI73">
        <f>ROUND(IF(Table2[[#This Row],[PTD:INT]]&gt;4,10,IF(Table2[[#This Row],[PTD:INT]]&lt;1,0,10/(4.7442*LN(4)+0.4256)*(4.7442*LN(Table2[[#This Row],[PTD:INT]])+0.4256))),0)</f>
        <v>4</v>
      </c>
      <c r="AJ73">
        <f>ROUND(IF(Table2[[#This Row],[Patt:Ratt]]&lt;2.5,10,IF(Table2[[#This Row],[Patt:Ratt]]&gt;15,0,10/(-2.684*LN(2.5)+9.0869)*(-2.684*LN(Table2[[#This Row],[Patt:Ratt]])+9.0869))),0)</f>
        <v>8</v>
      </c>
      <c r="AK73">
        <f>ROUND(IF(Table2[[#This Row],[Y/A]]&gt;9.2,10,IF(Table2[[#This Row],[Y/A]]&lt;6.26,0,10/(2.2619*9.2-14.16)*(2.2619*Table2[[#This Row],[Y/A]]-14.16))),0)</f>
        <v>2</v>
      </c>
      <c r="AL73">
        <f>ROUND(IF(Table2[[#This Row],[AY/A]]&gt;10,10,IF(Table2[[#This Row],[AY/A]]&lt;5.51,0,10/(1.6571*10-9.1312)*(1.6571*Table2[[#This Row],[AY/A]]-9.1312))),0)</f>
        <v>2</v>
      </c>
      <c r="AM73">
        <f>ROUND(IF(Table2[[#This Row],[40 Yd Dash]]&lt;4.75,10,IF(Table2[[#This Row],[40 Yd Dash]]&gt;5.191,0,10/(-66.95*LN(4.75)+110.26)*(-66.95*LN(Table2[[#This Row],[40 Yd Dash]])+110.26))),0)</f>
        <v>2</v>
      </c>
      <c r="AN73">
        <f>ROUND(IF(Table2[[#This Row],[Hand Size]]&gt;10.25,10,IF(Table2[[#This Row],[Hand Size]]&lt;9,0,10/(15.49*LN(10.25)-30.577)*(15.49*LN(Table2[[#This Row],[Hand Size]])-30.577))),0)</f>
        <v>10</v>
      </c>
    </row>
    <row r="74" spans="1:40">
      <c r="A74">
        <v>2015</v>
      </c>
      <c r="B74">
        <v>8</v>
      </c>
      <c r="C74" t="s">
        <v>219</v>
      </c>
      <c r="D74" t="s">
        <v>128</v>
      </c>
      <c r="E74">
        <v>5.4</v>
      </c>
      <c r="F74" t="s">
        <v>237</v>
      </c>
      <c r="G74">
        <f>SUMIFS('NFL QB Data By Year'!$Q:$Q,'NFL QB Data By Year'!$D:$D,Table2[[#This Row],[Player Name]],'NFL QB Data By Year'!$B:$B,Table2[[#This Row],[Draft Year]]+G$1)</f>
        <v>0</v>
      </c>
      <c r="H74">
        <f>SUMIFS('NFL QB Data By Year'!$P:$P,'NFL QB Data By Year'!$D:$D,Table2[[#This Row],[Player Name]],'NFL QB Data By Year'!$B:$B,Table2[[#This Row],[Draft Year]]+H$1)</f>
        <v>0</v>
      </c>
      <c r="I74">
        <f>SUMIFS('NFL QB Data By Year'!$Q:$Q,'NFL QB Data By Year'!$D:$D,Table2[[#This Row],[Player Name]],'NFL QB Data By Year'!$B:$B,Table2[[#This Row],[Draft Year]]+I$1)</f>
        <v>0</v>
      </c>
      <c r="J74">
        <f>SUMIFS('NFL QB Data By Year'!$P:$P,'NFL QB Data By Year'!$D:$D,Table2[[#This Row],[Player Name]],'NFL QB Data By Year'!$B:$B,Table2[[#This Row],[Draft Year]]+J$1)</f>
        <v>0</v>
      </c>
      <c r="K74">
        <f>SUMIFS('NFL QB Data By Year'!$Q:$Q,'NFL QB Data By Year'!$D:$D,Table2[[#This Row],[Player Name]],'NFL QB Data By Year'!$B:$B,Table2[[#This Row],[Draft Year]]+K$1)</f>
        <v>0</v>
      </c>
      <c r="L74">
        <f>SUMIFS('NFL QB Data By Year'!$P:$P,'NFL QB Data By Year'!$D:$D,Table2[[#This Row],[Player Name]],'NFL QB Data By Year'!$B:$B,Table2[[#This Row],[Draft Year]]+L$1)</f>
        <v>0</v>
      </c>
      <c r="M74">
        <f>Table2[[#This Row],[Year 1 G]]+Table2[[#This Row],[Year 2 G]]+Table2[[#This Row],[Year 3 G]]</f>
        <v>0</v>
      </c>
      <c r="N74">
        <f>Table2[[#This Row],[Year 1 FPTs]]+Table2[[#This Row],[Year 2 FPTs]]+Table2[[#This Row],[Year 3 FPTs]]</f>
        <v>0</v>
      </c>
      <c r="O74" s="7">
        <f>IFERROR(Table2[[#This Row],[Total FPTs]]/Table2[[#This Row],[Total G]],0)</f>
        <v>0</v>
      </c>
      <c r="P74">
        <v>10</v>
      </c>
      <c r="Q74" s="8">
        <f xml:space="preserve"> IFERROR(SUMIFS('College Data By Year'!J:J,'College Data By Year'!A:A,Table2[[#This Row],[Player Name]])/SUMIFS('College Data By Year'!L:L,'College Data By Year'!A:A,Table2[[#This Row],[Player Name]]),"")</f>
        <v>0.10508340995665309</v>
      </c>
      <c r="R74" s="11">
        <f xml:space="preserve"> IFERROR(SUMIFS('College Data By Year'!D:D,'College Data By Year'!A:A,Table2[[#This Row],[Player Name]])/SUMIFS('College Data By Year'!B:B,'College Data By Year'!A:A,Table2[[#This Row],[Player Name]]),"")</f>
        <v>4.1170097508125676E-2</v>
      </c>
      <c r="S74">
        <f>IF(SUMIFS('College Data By Year'!H:H,'College Data By Year'!A:A,Table2[[#This Row],[Player Name]])=0,"",SUMIFS('College Data By Year'!H:H,'College Data By Year'!A:A,Table2[[#This Row],[Player Name]]))</f>
        <v>119.6</v>
      </c>
      <c r="T74" s="7">
        <f>IFERROR(SUMIFS('College Data By Year'!D:D,'College Data By Year'!A:A,Table2[[#This Row],[Player Name]])/SUMIFS('College Data By Year'!E:E,'College Data By Year'!A:A,Table2[[#This Row],[Player Name]]),"")</f>
        <v>1.5833333333333333</v>
      </c>
      <c r="U74" s="7">
        <f>IFERROR(SUMIFS('College Data By Year'!B:B,'College Data By Year'!A:A,Table2[[#This Row],[Player Name]])/SUMIFS('College Data By Year'!I:I,'College Data By Year'!A:A,Table2[[#This Row],[Player Name]]),"")</f>
        <v>4.0130434782608697</v>
      </c>
      <c r="V74">
        <f>IF(SUMIFS('College Data By Year'!F:F,'College Data By Year'!A:A,Table2[[#This Row],[Player Name]])=0,"",SUMIFS('College Data By Year'!F:F,'College Data By Year'!A:A,Table2[[#This Row],[Player Name]]))</f>
        <v>6.3</v>
      </c>
      <c r="W74">
        <f>IF(SUMIFS('College Data By Year'!G:G,'College Data By Year'!A:A,Table2[[#This Row],[Player Name]])=0,"",SUMIFS('College Data By Year'!G:G,'College Data By Year'!A:A,Table2[[#This Row],[Player Name]]))</f>
        <v>5.9</v>
      </c>
      <c r="X7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2.0815264527320035E-2</v>
      </c>
      <c r="Y74">
        <v>5.03</v>
      </c>
      <c r="Z74">
        <v>9.625</v>
      </c>
      <c r="AA74" t="s">
        <v>238</v>
      </c>
      <c r="AB74">
        <v>231</v>
      </c>
      <c r="AC74">
        <v>31.3</v>
      </c>
      <c r="AD74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74">
        <f>ROUND(IF(Table2[[#This Row],[Draft Round]]=1,10,IF(Table2[[#This Row],[Draft Round]]=8,0,10/(20.884*EXP(-0.381*1))*(20.884*EXP(-0.381*Table2[[#This Row],[Draft Round]])))),0)</f>
        <v>0</v>
      </c>
      <c r="AF74">
        <f>ROUND(IF(Table2[[#This Row],[College BF Dominator]]&gt;0.3,10,IF(Table2[[#This Row],[College BF Dominator]]&lt;-0.156,0,10/(20.818*0.3+3.2667)*(20.818*Table2[[#This Row],[College BF Dominator]]+3.2667))),0)</f>
        <v>6</v>
      </c>
      <c r="AG74">
        <f>ROUND(IF(Table2[[#This Row],[College PTDR]]&gt;0.085,10,IF(Table2[[#This Row],[College PTDR]]&lt;0.04,0,10/(105.24*0.085-1.7837)*(105.24*Table2[[#This Row],[College PTDR]]-1.7837))),0)</f>
        <v>4</v>
      </c>
      <c r="AH74">
        <f>ROUND(IF(Table2[[#This Row],[College Passer Rating]]&gt;170,10,IF(Table2[[#This Row],[College Passer Rating]]&lt;112.475,0,10/(0.1495*170-16.815)*(0.1495*Table2[[#This Row],[College Passer Rating]]-16.815))),0)</f>
        <v>1</v>
      </c>
      <c r="AI74">
        <f>ROUND(IF(Table2[[#This Row],[PTD:INT]]&gt;4,10,IF(Table2[[#This Row],[PTD:INT]]&lt;1,0,10/(4.7442*LN(4)+0.4256)*(4.7442*LN(Table2[[#This Row],[PTD:INT]])+0.4256))),0)</f>
        <v>4</v>
      </c>
      <c r="AJ74">
        <f>ROUND(IF(Table2[[#This Row],[Patt:Ratt]]&lt;2.5,10,IF(Table2[[#This Row],[Patt:Ratt]]&gt;15,0,10/(-2.684*LN(2.5)+9.0869)*(-2.684*LN(Table2[[#This Row],[Patt:Ratt]])+9.0869))),0)</f>
        <v>8</v>
      </c>
      <c r="AK74">
        <f>ROUND(IF(Table2[[#This Row],[Y/A]]&gt;9.2,10,IF(Table2[[#This Row],[Y/A]]&lt;6.26,0,10/(2.2619*9.2-14.16)*(2.2619*Table2[[#This Row],[Y/A]]-14.16))),0)</f>
        <v>0</v>
      </c>
      <c r="AL74">
        <f>ROUND(IF(Table2[[#This Row],[AY/A]]&gt;10,10,IF(Table2[[#This Row],[AY/A]]&lt;5.51,0,10/(1.6571*10-9.1312)*(1.6571*Table2[[#This Row],[AY/A]]-9.1312))),0)</f>
        <v>1</v>
      </c>
      <c r="AM74">
        <f>ROUND(IF(Table2[[#This Row],[40 Yd Dash]]&lt;4.75,10,IF(Table2[[#This Row],[40 Yd Dash]]&gt;5.191,0,10/(-66.95*LN(4.75)+110.26)*(-66.95*LN(Table2[[#This Row],[40 Yd Dash]])+110.26))),0)</f>
        <v>4</v>
      </c>
      <c r="AN74">
        <f>ROUND(IF(Table2[[#This Row],[Hand Size]]&gt;10.25,10,IF(Table2[[#This Row],[Hand Size]]&lt;9,0,10/(15.49*LN(10.25)-30.577)*(15.49*LN(Table2[[#This Row],[Hand Size]])-30.577))),0)</f>
        <v>8</v>
      </c>
    </row>
    <row r="75" spans="1:40">
      <c r="A75">
        <v>2016</v>
      </c>
      <c r="B75">
        <v>8</v>
      </c>
      <c r="C75" t="s">
        <v>219</v>
      </c>
      <c r="D75" t="s">
        <v>112</v>
      </c>
      <c r="E75">
        <v>5.0999999999999996</v>
      </c>
      <c r="F75" t="s">
        <v>237</v>
      </c>
      <c r="G75">
        <f>SUMIFS('NFL QB Data By Year'!$Q:$Q,'NFL QB Data By Year'!$D:$D,Table2[[#This Row],[Player Name]],'NFL QB Data By Year'!$B:$B,Table2[[#This Row],[Draft Year]]+G$1)</f>
        <v>0</v>
      </c>
      <c r="H75">
        <f>SUMIFS('NFL QB Data By Year'!$P:$P,'NFL QB Data By Year'!$D:$D,Table2[[#This Row],[Player Name]],'NFL QB Data By Year'!$B:$B,Table2[[#This Row],[Draft Year]]+H$1)</f>
        <v>0</v>
      </c>
      <c r="I75">
        <f>SUMIFS('NFL QB Data By Year'!$Q:$Q,'NFL QB Data By Year'!$D:$D,Table2[[#This Row],[Player Name]],'NFL QB Data By Year'!$B:$B,Table2[[#This Row],[Draft Year]]+I$1)</f>
        <v>0</v>
      </c>
      <c r="J75">
        <f>SUMIFS('NFL QB Data By Year'!$P:$P,'NFL QB Data By Year'!$D:$D,Table2[[#This Row],[Player Name]],'NFL QB Data By Year'!$B:$B,Table2[[#This Row],[Draft Year]]+J$1)</f>
        <v>0</v>
      </c>
      <c r="K75">
        <f>SUMIFS('NFL QB Data By Year'!$Q:$Q,'NFL QB Data By Year'!$D:$D,Table2[[#This Row],[Player Name]],'NFL QB Data By Year'!$B:$B,Table2[[#This Row],[Draft Year]]+K$1)</f>
        <v>0</v>
      </c>
      <c r="L75">
        <f>SUMIFS('NFL QB Data By Year'!$P:$P,'NFL QB Data By Year'!$D:$D,Table2[[#This Row],[Player Name]],'NFL QB Data By Year'!$B:$B,Table2[[#This Row],[Draft Year]]+L$1)</f>
        <v>0</v>
      </c>
      <c r="M75">
        <f>Table2[[#This Row],[Year 1 G]]+Table2[[#This Row],[Year 2 G]]+Table2[[#This Row],[Year 3 G]]</f>
        <v>0</v>
      </c>
      <c r="N75">
        <f>Table2[[#This Row],[Year 1 FPTs]]+Table2[[#This Row],[Year 2 FPTs]]+Table2[[#This Row],[Year 3 FPTs]]</f>
        <v>0</v>
      </c>
      <c r="O75" s="7">
        <f>IFERROR(Table2[[#This Row],[Total FPTs]]/Table2[[#This Row],[Total G]],0)</f>
        <v>0</v>
      </c>
      <c r="P75">
        <v>10</v>
      </c>
      <c r="Q75" s="8">
        <f xml:space="preserve"> IFERROR(SUMIFS('College Data By Year'!J:J,'College Data By Year'!A:A,Table2[[#This Row],[Player Name]])/SUMIFS('College Data By Year'!L:L,'College Data By Year'!A:A,Table2[[#This Row],[Player Name]]),"")</f>
        <v>8.8259611409673422E-2</v>
      </c>
      <c r="R75" s="11">
        <f xml:space="preserve"> IFERROR(SUMIFS('College Data By Year'!D:D,'College Data By Year'!A:A,Table2[[#This Row],[Player Name]])/SUMIFS('College Data By Year'!B:B,'College Data By Year'!A:A,Table2[[#This Row],[Player Name]]),"")</f>
        <v>4.8216007714561235E-2</v>
      </c>
      <c r="S75">
        <f>IF(SUMIFS('College Data By Year'!H:H,'College Data By Year'!A:A,Table2[[#This Row],[Player Name]])=0,"",SUMIFS('College Data By Year'!H:H,'College Data By Year'!A:A,Table2[[#This Row],[Player Name]]))</f>
        <v>141.77434908389586</v>
      </c>
      <c r="T75" s="7">
        <f>IFERROR(SUMIFS('College Data By Year'!D:D,'College Data By Year'!A:A,Table2[[#This Row],[Player Name]])/SUMIFS('College Data By Year'!E:E,'College Data By Year'!A:A,Table2[[#This Row],[Player Name]]),"")</f>
        <v>2.3809523809523809</v>
      </c>
      <c r="U75" s="7">
        <f>IFERROR(SUMIFS('College Data By Year'!B:B,'College Data By Year'!A:A,Table2[[#This Row],[Player Name]])/SUMIFS('College Data By Year'!I:I,'College Data By Year'!A:A,Table2[[#This Row],[Player Name]]),"")</f>
        <v>5.7932960893854748</v>
      </c>
      <c r="V75">
        <f>IF(SUMIFS('College Data By Year'!F:F,'College Data By Year'!A:A,Table2[[#This Row],[Player Name]])=0,"",SUMIFS('College Data By Year'!F:F,'College Data By Year'!A:A,Table2[[#This Row],[Player Name]]))</f>
        <v>8.0038572806171651</v>
      </c>
      <c r="W75">
        <f>IF(SUMIFS('College Data By Year'!G:G,'College Data By Year'!A:A,Table2[[#This Row],[Player Name]])=0,"",SUMIFS('College Data By Year'!G:G,'College Data By Year'!A:A,Table2[[#This Row],[Player Name]]))</f>
        <v>8.056894889103182</v>
      </c>
      <c r="X7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4.0296052631578948E-2</v>
      </c>
      <c r="Y75">
        <v>4.8</v>
      </c>
      <c r="Z75">
        <v>9.25</v>
      </c>
      <c r="AA75" t="s">
        <v>229</v>
      </c>
      <c r="AB75">
        <v>231</v>
      </c>
      <c r="AC75">
        <v>28.9</v>
      </c>
      <c r="AD75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75">
        <f>ROUND(IF(Table2[[#This Row],[Draft Round]]=1,10,IF(Table2[[#This Row],[Draft Round]]=8,0,10/(20.884*EXP(-0.381*1))*(20.884*EXP(-0.381*Table2[[#This Row],[Draft Round]])))),0)</f>
        <v>0</v>
      </c>
      <c r="AF75">
        <f>ROUND(IF(Table2[[#This Row],[College BF Dominator]]&gt;0.3,10,IF(Table2[[#This Row],[College BF Dominator]]&lt;-0.156,0,10/(20.818*0.3+3.2667)*(20.818*Table2[[#This Row],[College BF Dominator]]+3.2667))),0)</f>
        <v>5</v>
      </c>
      <c r="AG75">
        <f>ROUND(IF(Table2[[#This Row],[College PTDR]]&gt;0.085,10,IF(Table2[[#This Row],[College PTDR]]&lt;0.04,0,10/(105.24*0.085-1.7837)*(105.24*Table2[[#This Row],[College PTDR]]-1.7837))),0)</f>
        <v>5</v>
      </c>
      <c r="AH75">
        <f>ROUND(IF(Table2[[#This Row],[College Passer Rating]]&gt;170,10,IF(Table2[[#This Row],[College Passer Rating]]&lt;112.475,0,10/(0.1495*170-16.815)*(0.1495*Table2[[#This Row],[College Passer Rating]]-16.815))),0)</f>
        <v>5</v>
      </c>
      <c r="AI75">
        <f>ROUND(IF(Table2[[#This Row],[PTD:INT]]&gt;4,10,IF(Table2[[#This Row],[PTD:INT]]&lt;1,0,10/(4.7442*LN(4)+0.4256)*(4.7442*LN(Table2[[#This Row],[PTD:INT]])+0.4256))),0)</f>
        <v>6</v>
      </c>
      <c r="AJ75">
        <f>ROUND(IF(Table2[[#This Row],[Patt:Ratt]]&lt;2.5,10,IF(Table2[[#This Row],[Patt:Ratt]]&gt;15,0,10/(-2.684*LN(2.5)+9.0869)*(-2.684*LN(Table2[[#This Row],[Patt:Ratt]])+9.0869))),0)</f>
        <v>7</v>
      </c>
      <c r="AK75">
        <f>ROUND(IF(Table2[[#This Row],[Y/A]]&gt;9.2,10,IF(Table2[[#This Row],[Y/A]]&lt;6.26,0,10/(2.2619*9.2-14.16)*(2.2619*Table2[[#This Row],[Y/A]]-14.16))),0)</f>
        <v>6</v>
      </c>
      <c r="AL75">
        <f>ROUND(IF(Table2[[#This Row],[AY/A]]&gt;10,10,IF(Table2[[#This Row],[AY/A]]&lt;5.51,0,10/(1.6571*10-9.1312)*(1.6571*Table2[[#This Row],[AY/A]]-9.1312))),0)</f>
        <v>6</v>
      </c>
      <c r="AM75">
        <f>ROUND(IF(Table2[[#This Row],[40 Yd Dash]]&lt;4.75,10,IF(Table2[[#This Row],[40 Yd Dash]]&gt;5.191,0,10/(-66.95*LN(4.75)+110.26)*(-66.95*LN(Table2[[#This Row],[40 Yd Dash]])+110.26))),0)</f>
        <v>9</v>
      </c>
      <c r="AN75">
        <f>ROUND(IF(Table2[[#This Row],[Hand Size]]&gt;10.25,10,IF(Table2[[#This Row],[Hand Size]]&lt;9,0,10/(15.49*LN(10.25)-30.577)*(15.49*LN(Table2[[#This Row],[Hand Size]])-30.577))),0)</f>
        <v>7</v>
      </c>
    </row>
    <row r="76" spans="1:40">
      <c r="A76">
        <v>2015</v>
      </c>
      <c r="B76">
        <v>8</v>
      </c>
      <c r="C76" t="s">
        <v>219</v>
      </c>
      <c r="D76" t="s">
        <v>111</v>
      </c>
      <c r="F76" t="s">
        <v>237</v>
      </c>
      <c r="G76">
        <f>SUMIFS('NFL QB Data By Year'!$Q:$Q,'NFL QB Data By Year'!$D:$D,Table2[[#This Row],[Player Name]],'NFL QB Data By Year'!$B:$B,Table2[[#This Row],[Draft Year]]+G$1)</f>
        <v>0</v>
      </c>
      <c r="H76">
        <f>SUMIFS('NFL QB Data By Year'!$P:$P,'NFL QB Data By Year'!$D:$D,Table2[[#This Row],[Player Name]],'NFL QB Data By Year'!$B:$B,Table2[[#This Row],[Draft Year]]+H$1)</f>
        <v>0</v>
      </c>
      <c r="I76">
        <f>SUMIFS('NFL QB Data By Year'!$Q:$Q,'NFL QB Data By Year'!$D:$D,Table2[[#This Row],[Player Name]],'NFL QB Data By Year'!$B:$B,Table2[[#This Row],[Draft Year]]+I$1)</f>
        <v>0</v>
      </c>
      <c r="J76">
        <f>SUMIFS('NFL QB Data By Year'!$P:$P,'NFL QB Data By Year'!$D:$D,Table2[[#This Row],[Player Name]],'NFL QB Data By Year'!$B:$B,Table2[[#This Row],[Draft Year]]+J$1)</f>
        <v>0</v>
      </c>
      <c r="K76">
        <f>SUMIFS('NFL QB Data By Year'!$Q:$Q,'NFL QB Data By Year'!$D:$D,Table2[[#This Row],[Player Name]],'NFL QB Data By Year'!$B:$B,Table2[[#This Row],[Draft Year]]+K$1)</f>
        <v>0</v>
      </c>
      <c r="L76">
        <f>SUMIFS('NFL QB Data By Year'!$P:$P,'NFL QB Data By Year'!$D:$D,Table2[[#This Row],[Player Name]],'NFL QB Data By Year'!$B:$B,Table2[[#This Row],[Draft Year]]+L$1)</f>
        <v>0</v>
      </c>
      <c r="M76">
        <f>Table2[[#This Row],[Year 1 G]]+Table2[[#This Row],[Year 2 G]]+Table2[[#This Row],[Year 3 G]]</f>
        <v>0</v>
      </c>
      <c r="N76">
        <f>Table2[[#This Row],[Year 1 FPTs]]+Table2[[#This Row],[Year 2 FPTs]]+Table2[[#This Row],[Year 3 FPTs]]</f>
        <v>0</v>
      </c>
      <c r="O76" s="7">
        <f>IFERROR(Table2[[#This Row],[Total FPTs]]/Table2[[#This Row],[Total G]],0)</f>
        <v>0</v>
      </c>
      <c r="P76">
        <v>10</v>
      </c>
      <c r="Q76" s="8">
        <f xml:space="preserve"> IFERROR(SUMIFS('College Data By Year'!J:J,'College Data By Year'!A:A,Table2[[#This Row],[Player Name]])/SUMIFS('College Data By Year'!L:L,'College Data By Year'!A:A,Table2[[#This Row],[Player Name]]),"")</f>
        <v>8.5844057532172599E-2</v>
      </c>
      <c r="R76" s="11">
        <f xml:space="preserve"> IFERROR(SUMIFS('College Data By Year'!D:D,'College Data By Year'!A:A,Table2[[#This Row],[Player Name]])/SUMIFS('College Data By Year'!B:B,'College Data By Year'!A:A,Table2[[#This Row],[Player Name]]),"")</f>
        <v>4.7210300429184553E-2</v>
      </c>
      <c r="S76">
        <f>IF(SUMIFS('College Data By Year'!H:H,'College Data By Year'!A:A,Table2[[#This Row],[Player Name]])=0,"",SUMIFS('College Data By Year'!H:H,'College Data By Year'!A:A,Table2[[#This Row],[Player Name]]))</f>
        <v>130.88454935622318</v>
      </c>
      <c r="T76" s="7">
        <f>IFERROR(SUMIFS('College Data By Year'!D:D,'College Data By Year'!A:A,Table2[[#This Row],[Player Name]])/SUMIFS('College Data By Year'!E:E,'College Data By Year'!A:A,Table2[[#This Row],[Player Name]]),"")</f>
        <v>2</v>
      </c>
      <c r="U76" s="7">
        <f>IFERROR(SUMIFS('College Data By Year'!B:B,'College Data By Year'!A:A,Table2[[#This Row],[Player Name]])/SUMIFS('College Data By Year'!I:I,'College Data By Year'!A:A,Table2[[#This Row],[Player Name]]),"")</f>
        <v>5.2655367231638417</v>
      </c>
      <c r="V76">
        <f>IF(SUMIFS('College Data By Year'!F:F,'College Data By Year'!A:A,Table2[[#This Row],[Player Name]])=0,"",SUMIFS('College Data By Year'!F:F,'College Data By Year'!A:A,Table2[[#This Row],[Player Name]]))</f>
        <v>6.8036480686695278</v>
      </c>
      <c r="W76">
        <f>IF(SUMIFS('College Data By Year'!G:G,'College Data By Year'!A:A,Table2[[#This Row],[Player Name]])=0,"",SUMIFS('College Data By Year'!G:G,'College Data By Year'!A:A,Table2[[#This Row],[Player Name]]))</f>
        <v>6.6856223175965663</v>
      </c>
      <c r="X7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76">
        <v>4.99</v>
      </c>
      <c r="Z76">
        <v>10.5</v>
      </c>
      <c r="AA76" t="s">
        <v>227</v>
      </c>
      <c r="AB76">
        <v>248</v>
      </c>
      <c r="AC76">
        <v>30.2</v>
      </c>
      <c r="AD76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76">
        <f>ROUND(IF(Table2[[#This Row],[Draft Round]]=1,10,IF(Table2[[#This Row],[Draft Round]]=8,0,10/(20.884*EXP(-0.381*1))*(20.884*EXP(-0.381*Table2[[#This Row],[Draft Round]])))),0)</f>
        <v>0</v>
      </c>
      <c r="AF76">
        <f>ROUND(IF(Table2[[#This Row],[College BF Dominator]]&gt;0.3,10,IF(Table2[[#This Row],[College BF Dominator]]&lt;-0.156,0,10/(20.818*0.3+3.2667)*(20.818*Table2[[#This Row],[College BF Dominator]]+3.2667))),0)</f>
        <v>5</v>
      </c>
      <c r="AG76">
        <f>ROUND(IF(Table2[[#This Row],[College PTDR]]&gt;0.085,10,IF(Table2[[#This Row],[College PTDR]]&lt;0.04,0,10/(105.24*0.085-1.7837)*(105.24*Table2[[#This Row],[College PTDR]]-1.7837))),0)</f>
        <v>4</v>
      </c>
      <c r="AH76">
        <f>ROUND(IF(Table2[[#This Row],[College Passer Rating]]&gt;170,10,IF(Table2[[#This Row],[College Passer Rating]]&lt;112.475,0,10/(0.1495*170-16.815)*(0.1495*Table2[[#This Row],[College Passer Rating]]-16.815))),0)</f>
        <v>3</v>
      </c>
      <c r="AI76">
        <f>ROUND(IF(Table2[[#This Row],[PTD:INT]]&gt;4,10,IF(Table2[[#This Row],[PTD:INT]]&lt;1,0,10/(4.7442*LN(4)+0.4256)*(4.7442*LN(Table2[[#This Row],[PTD:INT]])+0.4256))),0)</f>
        <v>5</v>
      </c>
      <c r="AJ76">
        <f>ROUND(IF(Table2[[#This Row],[Patt:Ratt]]&lt;2.5,10,IF(Table2[[#This Row],[Patt:Ratt]]&gt;15,0,10/(-2.684*LN(2.5)+9.0869)*(-2.684*LN(Table2[[#This Row],[Patt:Ratt]])+9.0869))),0)</f>
        <v>7</v>
      </c>
      <c r="AK76">
        <f>ROUND(IF(Table2[[#This Row],[Y/A]]&gt;9.2,10,IF(Table2[[#This Row],[Y/A]]&lt;6.26,0,10/(2.2619*9.2-14.16)*(2.2619*Table2[[#This Row],[Y/A]]-14.16))),0)</f>
        <v>2</v>
      </c>
      <c r="AL76">
        <f>ROUND(IF(Table2[[#This Row],[AY/A]]&gt;10,10,IF(Table2[[#This Row],[AY/A]]&lt;5.51,0,10/(1.6571*10-9.1312)*(1.6571*Table2[[#This Row],[AY/A]]-9.1312))),0)</f>
        <v>3</v>
      </c>
      <c r="AM76">
        <f>ROUND(IF(Table2[[#This Row],[40 Yd Dash]]&lt;4.75,10,IF(Table2[[#This Row],[40 Yd Dash]]&gt;5.191,0,10/(-66.95*LN(4.75)+110.26)*(-66.95*LN(Table2[[#This Row],[40 Yd Dash]])+110.26))),0)</f>
        <v>4</v>
      </c>
      <c r="AN76">
        <f>ROUND(IF(Table2[[#This Row],[Hand Size]]&gt;10.25,10,IF(Table2[[#This Row],[Hand Size]]&lt;9,0,10/(15.49*LN(10.25)-30.577)*(15.49*LN(Table2[[#This Row],[Hand Size]])-30.577))),0)</f>
        <v>10</v>
      </c>
    </row>
    <row r="77" spans="1:40">
      <c r="A77">
        <v>2017</v>
      </c>
      <c r="B77">
        <v>8</v>
      </c>
      <c r="C77" t="s">
        <v>219</v>
      </c>
      <c r="D77" t="s">
        <v>101</v>
      </c>
      <c r="E77">
        <v>5.4</v>
      </c>
      <c r="F77" t="s">
        <v>237</v>
      </c>
      <c r="G77">
        <f>SUMIFS('NFL QB Data By Year'!$Q:$Q,'NFL QB Data By Year'!$D:$D,Table2[[#This Row],[Player Name]],'NFL QB Data By Year'!$B:$B,Table2[[#This Row],[Draft Year]]+G$1)</f>
        <v>0</v>
      </c>
      <c r="H77">
        <f>SUMIFS('NFL QB Data By Year'!$P:$P,'NFL QB Data By Year'!$D:$D,Table2[[#This Row],[Player Name]],'NFL QB Data By Year'!$B:$B,Table2[[#This Row],[Draft Year]]+H$1)</f>
        <v>0</v>
      </c>
      <c r="I77">
        <f>SUMIFS('NFL QB Data By Year'!$Q:$Q,'NFL QB Data By Year'!$D:$D,Table2[[#This Row],[Player Name]],'NFL QB Data By Year'!$B:$B,Table2[[#This Row],[Draft Year]]+I$1)</f>
        <v>0</v>
      </c>
      <c r="J77">
        <f>SUMIFS('NFL QB Data By Year'!$P:$P,'NFL QB Data By Year'!$D:$D,Table2[[#This Row],[Player Name]],'NFL QB Data By Year'!$B:$B,Table2[[#This Row],[Draft Year]]+J$1)</f>
        <v>0</v>
      </c>
      <c r="K77">
        <f>SUMIFS('NFL QB Data By Year'!$Q:$Q,'NFL QB Data By Year'!$D:$D,Table2[[#This Row],[Player Name]],'NFL QB Data By Year'!$B:$B,Table2[[#This Row],[Draft Year]]+K$1)</f>
        <v>0</v>
      </c>
      <c r="L77">
        <f>SUMIFS('NFL QB Data By Year'!$P:$P,'NFL QB Data By Year'!$D:$D,Table2[[#This Row],[Player Name]],'NFL QB Data By Year'!$B:$B,Table2[[#This Row],[Draft Year]]+L$1)</f>
        <v>0</v>
      </c>
      <c r="M77">
        <f>Table2[[#This Row],[Year 1 G]]+Table2[[#This Row],[Year 2 G]]+Table2[[#This Row],[Year 3 G]]</f>
        <v>0</v>
      </c>
      <c r="N77">
        <f>Table2[[#This Row],[Year 1 FPTs]]+Table2[[#This Row],[Year 2 FPTs]]+Table2[[#This Row],[Year 3 FPTs]]</f>
        <v>0</v>
      </c>
      <c r="O77" s="7">
        <f>IFERROR(Table2[[#This Row],[Total FPTs]]/Table2[[#This Row],[Total G]],0)</f>
        <v>0</v>
      </c>
      <c r="P77">
        <v>10</v>
      </c>
      <c r="Q77" s="8">
        <f xml:space="preserve"> IFERROR(SUMIFS('College Data By Year'!J:J,'College Data By Year'!A:A,Table2[[#This Row],[Player Name]])/SUMIFS('College Data By Year'!L:L,'College Data By Year'!A:A,Table2[[#This Row],[Player Name]]),"")</f>
        <v>6.5559902717563706E-2</v>
      </c>
      <c r="R77" s="11">
        <f xml:space="preserve"> IFERROR(SUMIFS('College Data By Year'!D:D,'College Data By Year'!A:A,Table2[[#This Row],[Player Name]])/SUMIFS('College Data By Year'!B:B,'College Data By Year'!A:A,Table2[[#This Row],[Player Name]]),"")</f>
        <v>6.9214131218457098E-2</v>
      </c>
      <c r="S77">
        <f>IF(SUMIFS('College Data By Year'!H:H,'College Data By Year'!A:A,Table2[[#This Row],[Player Name]])=0,"",SUMIFS('College Data By Year'!H:H,'College Data By Year'!A:A,Table2[[#This Row],[Player Name]]))</f>
        <v>157.1</v>
      </c>
      <c r="T77" s="7">
        <f>IFERROR(SUMIFS('College Data By Year'!D:D,'College Data By Year'!A:A,Table2[[#This Row],[Player Name]])/SUMIFS('College Data By Year'!E:E,'College Data By Year'!A:A,Table2[[#This Row],[Player Name]]),"")</f>
        <v>3.096774193548387</v>
      </c>
      <c r="U77" s="7">
        <f>IFERROR(SUMIFS('College Data By Year'!B:B,'College Data By Year'!A:A,Table2[[#This Row],[Player Name]])/SUMIFS('College Data By Year'!I:I,'College Data By Year'!A:A,Table2[[#This Row],[Player Name]]),"")</f>
        <v>5.0072202166064983</v>
      </c>
      <c r="V77">
        <f>IF(SUMIFS('College Data By Year'!F:F,'College Data By Year'!A:A,Table2[[#This Row],[Player Name]])=0,"",SUMIFS('College Data By Year'!F:F,'College Data By Year'!A:A,Table2[[#This Row],[Player Name]]))</f>
        <v>8.6999999999999993</v>
      </c>
      <c r="W77">
        <f>IF(SUMIFS('College Data By Year'!G:G,'College Data By Year'!A:A,Table2[[#This Row],[Player Name]])=0,"",SUMIFS('College Data By Year'!G:G,'College Data By Year'!A:A,Table2[[#This Row],[Player Name]]))</f>
        <v>9.1</v>
      </c>
      <c r="X7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5.1682692307692304E-2</v>
      </c>
      <c r="Y77">
        <v>5.01</v>
      </c>
      <c r="Z77">
        <v>10.75</v>
      </c>
      <c r="AA77" t="s">
        <v>228</v>
      </c>
      <c r="AB77">
        <v>209</v>
      </c>
      <c r="AC77">
        <v>27.6</v>
      </c>
      <c r="AD77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77">
        <f>ROUND(IF(Table2[[#This Row],[Draft Round]]=1,10,IF(Table2[[#This Row],[Draft Round]]=8,0,10/(20.884*EXP(-0.381*1))*(20.884*EXP(-0.381*Table2[[#This Row],[Draft Round]])))),0)</f>
        <v>0</v>
      </c>
      <c r="AF77">
        <f>ROUND(IF(Table2[[#This Row],[College BF Dominator]]&gt;0.3,10,IF(Table2[[#This Row],[College BF Dominator]]&lt;-0.156,0,10/(20.818*0.3+3.2667)*(20.818*Table2[[#This Row],[College BF Dominator]]+3.2667))),0)</f>
        <v>5</v>
      </c>
      <c r="AG77">
        <f>ROUND(IF(Table2[[#This Row],[College PTDR]]&gt;0.085,10,IF(Table2[[#This Row],[College PTDR]]&lt;0.04,0,10/(105.24*0.085-1.7837)*(105.24*Table2[[#This Row],[College PTDR]]-1.7837))),0)</f>
        <v>8</v>
      </c>
      <c r="AH77">
        <f>ROUND(IF(Table2[[#This Row],[College Passer Rating]]&gt;170,10,IF(Table2[[#This Row],[College Passer Rating]]&lt;112.475,0,10/(0.1495*170-16.815)*(0.1495*Table2[[#This Row],[College Passer Rating]]-16.815))),0)</f>
        <v>8</v>
      </c>
      <c r="AI77">
        <f>ROUND(IF(Table2[[#This Row],[PTD:INT]]&gt;4,10,IF(Table2[[#This Row],[PTD:INT]]&lt;1,0,10/(4.7442*LN(4)+0.4256)*(4.7442*LN(Table2[[#This Row],[PTD:INT]])+0.4256))),0)</f>
        <v>8</v>
      </c>
      <c r="AJ77">
        <f>ROUND(IF(Table2[[#This Row],[Patt:Ratt]]&lt;2.5,10,IF(Table2[[#This Row],[Patt:Ratt]]&gt;15,0,10/(-2.684*LN(2.5)+9.0869)*(-2.684*LN(Table2[[#This Row],[Patt:Ratt]])+9.0869))),0)</f>
        <v>7</v>
      </c>
      <c r="AK77">
        <f>ROUND(IF(Table2[[#This Row],[Y/A]]&gt;9.2,10,IF(Table2[[#This Row],[Y/A]]&lt;6.26,0,10/(2.2619*9.2-14.16)*(2.2619*Table2[[#This Row],[Y/A]]-14.16))),0)</f>
        <v>8</v>
      </c>
      <c r="AL77">
        <f>ROUND(IF(Table2[[#This Row],[AY/A]]&gt;10,10,IF(Table2[[#This Row],[AY/A]]&lt;5.51,0,10/(1.6571*10-9.1312)*(1.6571*Table2[[#This Row],[AY/A]]-9.1312))),0)</f>
        <v>8</v>
      </c>
      <c r="AM77">
        <f>ROUND(IF(Table2[[#This Row],[40 Yd Dash]]&lt;4.75,10,IF(Table2[[#This Row],[40 Yd Dash]]&gt;5.191,0,10/(-66.95*LN(4.75)+110.26)*(-66.95*LN(Table2[[#This Row],[40 Yd Dash]])+110.26))),0)</f>
        <v>4</v>
      </c>
      <c r="AN77">
        <f>ROUND(IF(Table2[[#This Row],[Hand Size]]&gt;10.25,10,IF(Table2[[#This Row],[Hand Size]]&lt;9,0,10/(15.49*LN(10.25)-30.577)*(15.49*LN(Table2[[#This Row],[Hand Size]])-30.577))),0)</f>
        <v>10</v>
      </c>
    </row>
    <row r="78" spans="1:40">
      <c r="A78">
        <v>2019</v>
      </c>
      <c r="B78">
        <v>8</v>
      </c>
      <c r="C78" t="s">
        <v>219</v>
      </c>
      <c r="D78" t="s">
        <v>116</v>
      </c>
      <c r="E78">
        <v>5.8</v>
      </c>
      <c r="F78" t="s">
        <v>234</v>
      </c>
      <c r="G78">
        <f>SUMIFS('NFL QB Data By Year'!$Q:$Q,'NFL QB Data By Year'!$D:$D,Table2[[#This Row],[Player Name]],'NFL QB Data By Year'!$B:$B,Table2[[#This Row],[Draft Year]]+G$1)</f>
        <v>0</v>
      </c>
      <c r="H78">
        <f>SUMIFS('NFL QB Data By Year'!$P:$P,'NFL QB Data By Year'!$D:$D,Table2[[#This Row],[Player Name]],'NFL QB Data By Year'!$B:$B,Table2[[#This Row],[Draft Year]]+H$1)</f>
        <v>0</v>
      </c>
      <c r="I78">
        <f>SUMIFS('NFL QB Data By Year'!$Q:$Q,'NFL QB Data By Year'!$D:$D,Table2[[#This Row],[Player Name]],'NFL QB Data By Year'!$B:$B,Table2[[#This Row],[Draft Year]]+I$1)</f>
        <v>0</v>
      </c>
      <c r="J78">
        <f>SUMIFS('NFL QB Data By Year'!$P:$P,'NFL QB Data By Year'!$D:$D,Table2[[#This Row],[Player Name]],'NFL QB Data By Year'!$B:$B,Table2[[#This Row],[Draft Year]]+J$1)</f>
        <v>0</v>
      </c>
      <c r="K78">
        <f>SUMIFS('NFL QB Data By Year'!$Q:$Q,'NFL QB Data By Year'!$D:$D,Table2[[#This Row],[Player Name]],'NFL QB Data By Year'!$B:$B,Table2[[#This Row],[Draft Year]]+K$1)</f>
        <v>0</v>
      </c>
      <c r="L78">
        <f>SUMIFS('NFL QB Data By Year'!$P:$P,'NFL QB Data By Year'!$D:$D,Table2[[#This Row],[Player Name]],'NFL QB Data By Year'!$B:$B,Table2[[#This Row],[Draft Year]]+L$1)</f>
        <v>0</v>
      </c>
      <c r="M78">
        <f>Table2[[#This Row],[Year 1 G]]+Table2[[#This Row],[Year 2 G]]+Table2[[#This Row],[Year 3 G]]</f>
        <v>0</v>
      </c>
      <c r="N78">
        <f>Table2[[#This Row],[Year 1 FPTs]]+Table2[[#This Row],[Year 2 FPTs]]+Table2[[#This Row],[Year 3 FPTs]]</f>
        <v>0</v>
      </c>
      <c r="O78" s="7">
        <f>IFERROR(Table2[[#This Row],[Total FPTs]]/Table2[[#This Row],[Total G]],0)</f>
        <v>0</v>
      </c>
      <c r="P78">
        <v>10</v>
      </c>
      <c r="Q78" s="8">
        <f xml:space="preserve"> IFERROR(SUMIFS('College Data By Year'!J:J,'College Data By Year'!A:A,Table2[[#This Row],[Player Name]])/SUMIFS('College Data By Year'!L:L,'College Data By Year'!A:A,Table2[[#This Row],[Player Name]]),"")</f>
        <v>6.3527758257203096E-2</v>
      </c>
      <c r="R78" s="11">
        <f xml:space="preserve"> IFERROR(SUMIFS('College Data By Year'!D:D,'College Data By Year'!A:A,Table2[[#This Row],[Player Name]])/SUMIFS('College Data By Year'!B:B,'College Data By Year'!A:A,Table2[[#This Row],[Player Name]]),"")</f>
        <v>4.2253521126760563E-2</v>
      </c>
      <c r="S78">
        <f>IF(SUMIFS('College Data By Year'!H:H,'College Data By Year'!A:A,Table2[[#This Row],[Player Name]])=0,"",SUMIFS('College Data By Year'!H:H,'College Data By Year'!A:A,Table2[[#This Row],[Player Name]]))</f>
        <v>126.5</v>
      </c>
      <c r="T78" s="7">
        <f>IFERROR(SUMIFS('College Data By Year'!D:D,'College Data By Year'!A:A,Table2[[#This Row],[Player Name]])/SUMIFS('College Data By Year'!E:E,'College Data By Year'!A:A,Table2[[#This Row],[Player Name]]),"")</f>
        <v>1.6551724137931034</v>
      </c>
      <c r="U78" s="7">
        <f>IFERROR(SUMIFS('College Data By Year'!B:B,'College Data By Year'!A:A,Table2[[#This Row],[Player Name]])/SUMIFS('College Data By Year'!I:I,'College Data By Year'!A:A,Table2[[#This Row],[Player Name]]),"")</f>
        <v>4.8755364806866952</v>
      </c>
      <c r="V78">
        <f>IF(SUMIFS('College Data By Year'!F:F,'College Data By Year'!A:A,Table2[[#This Row],[Player Name]])=0,"",SUMIFS('College Data By Year'!F:F,'College Data By Year'!A:A,Table2[[#This Row],[Player Name]]))</f>
        <v>7.2</v>
      </c>
      <c r="W78">
        <f>IF(SUMIFS('College Data By Year'!G:G,'College Data By Year'!A:A,Table2[[#This Row],[Player Name]])=0,"",SUMIFS('College Data By Year'!G:G,'College Data By Year'!A:A,Table2[[#This Row],[Player Name]]))</f>
        <v>6.8963028169014091</v>
      </c>
      <c r="X7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2.3374726077428781E-2</v>
      </c>
      <c r="Y78">
        <v>5.09</v>
      </c>
      <c r="Z78">
        <v>11.125</v>
      </c>
      <c r="AA78" t="s">
        <v>230</v>
      </c>
      <c r="AB78">
        <v>242</v>
      </c>
      <c r="AC78">
        <v>27.3</v>
      </c>
      <c r="AD78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78">
        <f>ROUND(IF(Table2[[#This Row],[Draft Round]]=1,10,IF(Table2[[#This Row],[Draft Round]]=8,0,10/(20.884*EXP(-0.381*1))*(20.884*EXP(-0.381*Table2[[#This Row],[Draft Round]])))),0)</f>
        <v>0</v>
      </c>
      <c r="AF78">
        <f>ROUND(IF(Table2[[#This Row],[College BF Dominator]]&gt;0.3,10,IF(Table2[[#This Row],[College BF Dominator]]&lt;-0.156,0,10/(20.818*0.3+3.2667)*(20.818*Table2[[#This Row],[College BF Dominator]]+3.2667))),0)</f>
        <v>5</v>
      </c>
      <c r="AG78">
        <f>ROUND(IF(Table2[[#This Row],[College PTDR]]&gt;0.085,10,IF(Table2[[#This Row],[College PTDR]]&lt;0.04,0,10/(105.24*0.085-1.7837)*(105.24*Table2[[#This Row],[College PTDR]]-1.7837))),0)</f>
        <v>4</v>
      </c>
      <c r="AH78">
        <f>ROUND(IF(Table2[[#This Row],[College Passer Rating]]&gt;170,10,IF(Table2[[#This Row],[College Passer Rating]]&lt;112.475,0,10/(0.1495*170-16.815)*(0.1495*Table2[[#This Row],[College Passer Rating]]-16.815))),0)</f>
        <v>2</v>
      </c>
      <c r="AI78">
        <f>ROUND(IF(Table2[[#This Row],[PTD:INT]]&gt;4,10,IF(Table2[[#This Row],[PTD:INT]]&lt;1,0,10/(4.7442*LN(4)+0.4256)*(4.7442*LN(Table2[[#This Row],[PTD:INT]])+0.4256))),0)</f>
        <v>4</v>
      </c>
      <c r="AJ78">
        <f>ROUND(IF(Table2[[#This Row],[Patt:Ratt]]&lt;2.5,10,IF(Table2[[#This Row],[Patt:Ratt]]&gt;15,0,10/(-2.684*LN(2.5)+9.0869)*(-2.684*LN(Table2[[#This Row],[Patt:Ratt]])+9.0869))),0)</f>
        <v>7</v>
      </c>
      <c r="AK78">
        <f>ROUND(IF(Table2[[#This Row],[Y/A]]&gt;9.2,10,IF(Table2[[#This Row],[Y/A]]&lt;6.26,0,10/(2.2619*9.2-14.16)*(2.2619*Table2[[#This Row],[Y/A]]-14.16))),0)</f>
        <v>3</v>
      </c>
      <c r="AL78">
        <f>ROUND(IF(Table2[[#This Row],[AY/A]]&gt;10,10,IF(Table2[[#This Row],[AY/A]]&lt;5.51,0,10/(1.6571*10-9.1312)*(1.6571*Table2[[#This Row],[AY/A]]-9.1312))),0)</f>
        <v>3</v>
      </c>
      <c r="AM78">
        <f>ROUND(IF(Table2[[#This Row],[40 Yd Dash]]&lt;4.75,10,IF(Table2[[#This Row],[40 Yd Dash]]&gt;5.191,0,10/(-66.95*LN(4.75)+110.26)*(-66.95*LN(Table2[[#This Row],[40 Yd Dash]])+110.26))),0)</f>
        <v>2</v>
      </c>
      <c r="AN78">
        <f>ROUND(IF(Table2[[#This Row],[Hand Size]]&gt;10.25,10,IF(Table2[[#This Row],[Hand Size]]&lt;9,0,10/(15.49*LN(10.25)-30.577)*(15.49*LN(Table2[[#This Row],[Hand Size]])-30.577))),0)</f>
        <v>10</v>
      </c>
    </row>
    <row r="79" spans="1:40">
      <c r="A79">
        <v>2015</v>
      </c>
      <c r="B79">
        <v>8</v>
      </c>
      <c r="C79" t="s">
        <v>219</v>
      </c>
      <c r="D79" t="s">
        <v>80</v>
      </c>
      <c r="E79">
        <v>5.6</v>
      </c>
      <c r="F79" t="s">
        <v>236</v>
      </c>
      <c r="G79">
        <f>SUMIFS('NFL QB Data By Year'!$Q:$Q,'NFL QB Data By Year'!$D:$D,Table2[[#This Row],[Player Name]],'NFL QB Data By Year'!$B:$B,Table2[[#This Row],[Draft Year]]+G$1)</f>
        <v>0</v>
      </c>
      <c r="H79">
        <f>SUMIFS('NFL QB Data By Year'!$P:$P,'NFL QB Data By Year'!$D:$D,Table2[[#This Row],[Player Name]],'NFL QB Data By Year'!$B:$B,Table2[[#This Row],[Draft Year]]+H$1)</f>
        <v>0</v>
      </c>
      <c r="I79">
        <f>SUMIFS('NFL QB Data By Year'!$Q:$Q,'NFL QB Data By Year'!$D:$D,Table2[[#This Row],[Player Name]],'NFL QB Data By Year'!$B:$B,Table2[[#This Row],[Draft Year]]+I$1)</f>
        <v>0</v>
      </c>
      <c r="J79">
        <f>SUMIFS('NFL QB Data By Year'!$P:$P,'NFL QB Data By Year'!$D:$D,Table2[[#This Row],[Player Name]],'NFL QB Data By Year'!$B:$B,Table2[[#This Row],[Draft Year]]+J$1)</f>
        <v>0</v>
      </c>
      <c r="K79">
        <f>SUMIFS('NFL QB Data By Year'!$Q:$Q,'NFL QB Data By Year'!$D:$D,Table2[[#This Row],[Player Name]],'NFL QB Data By Year'!$B:$B,Table2[[#This Row],[Draft Year]]+K$1)</f>
        <v>0</v>
      </c>
      <c r="L79">
        <f>SUMIFS('NFL QB Data By Year'!$P:$P,'NFL QB Data By Year'!$D:$D,Table2[[#This Row],[Player Name]],'NFL QB Data By Year'!$B:$B,Table2[[#This Row],[Draft Year]]+L$1)</f>
        <v>0</v>
      </c>
      <c r="M79">
        <f>Table2[[#This Row],[Year 1 G]]+Table2[[#This Row],[Year 2 G]]+Table2[[#This Row],[Year 3 G]]</f>
        <v>0</v>
      </c>
      <c r="N79">
        <f>Table2[[#This Row],[Year 1 FPTs]]+Table2[[#This Row],[Year 2 FPTs]]+Table2[[#This Row],[Year 3 FPTs]]</f>
        <v>0</v>
      </c>
      <c r="O79" s="7">
        <f>IFERROR(Table2[[#This Row],[Total FPTs]]/Table2[[#This Row],[Total G]],0)</f>
        <v>0</v>
      </c>
      <c r="P79">
        <v>10</v>
      </c>
      <c r="Q79" s="8">
        <f xml:space="preserve"> IFERROR(SUMIFS('College Data By Year'!J:J,'College Data By Year'!A:A,Table2[[#This Row],[Player Name]])/SUMIFS('College Data By Year'!L:L,'College Data By Year'!A:A,Table2[[#This Row],[Player Name]]),"")</f>
        <v>6.1171366594360087E-2</v>
      </c>
      <c r="R79" s="11">
        <f xml:space="preserve"> IFERROR(SUMIFS('College Data By Year'!D:D,'College Data By Year'!A:A,Table2[[#This Row],[Player Name]])/SUMIFS('College Data By Year'!B:B,'College Data By Year'!A:A,Table2[[#This Row],[Player Name]]),"")</f>
        <v>6.9767441860465115E-2</v>
      </c>
      <c r="S79">
        <f>IF(SUMIFS('College Data By Year'!H:H,'College Data By Year'!A:A,Table2[[#This Row],[Player Name]])=0,"",SUMIFS('College Data By Year'!H:H,'College Data By Year'!A:A,Table2[[#This Row],[Player Name]]))</f>
        <v>155.19999999999999</v>
      </c>
      <c r="T79" s="7">
        <f>IFERROR(SUMIFS('College Data By Year'!D:D,'College Data By Year'!A:A,Table2[[#This Row],[Player Name]])/SUMIFS('College Data By Year'!E:E,'College Data By Year'!A:A,Table2[[#This Row],[Player Name]]),"")</f>
        <v>3</v>
      </c>
      <c r="U79" s="7">
        <f>IFERROR(SUMIFS('College Data By Year'!B:B,'College Data By Year'!A:A,Table2[[#This Row],[Player Name]])/SUMIFS('College Data By Year'!I:I,'College Data By Year'!A:A,Table2[[#This Row],[Player Name]]),"")</f>
        <v>2.8666666666666667</v>
      </c>
      <c r="V79">
        <f>IF(SUMIFS('College Data By Year'!F:F,'College Data By Year'!A:A,Table2[[#This Row],[Player Name]])=0,"",SUMIFS('College Data By Year'!F:F,'College Data By Year'!A:A,Table2[[#This Row],[Player Name]]))</f>
        <v>8.6999999999999993</v>
      </c>
      <c r="W79">
        <f>IF(SUMIFS('College Data By Year'!G:G,'College Data By Year'!A:A,Table2[[#This Row],[Player Name]])=0,"",SUMIFS('College Data By Year'!G:G,'College Data By Year'!A:A,Table2[[#This Row],[Player Name]]))</f>
        <v>9</v>
      </c>
      <c r="X7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9.3103448275862075E-2</v>
      </c>
      <c r="Y79">
        <v>4.57</v>
      </c>
      <c r="Z79">
        <v>9</v>
      </c>
      <c r="AA79" t="s">
        <v>239</v>
      </c>
      <c r="AB79">
        <v>218</v>
      </c>
      <c r="AC79">
        <v>30.4</v>
      </c>
      <c r="AD79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79">
        <f>ROUND(IF(Table2[[#This Row],[Draft Round]]=1,10,IF(Table2[[#This Row],[Draft Round]]=8,0,10/(20.884*EXP(-0.381*1))*(20.884*EXP(-0.381*Table2[[#This Row],[Draft Round]])))),0)</f>
        <v>0</v>
      </c>
      <c r="AF79">
        <f>ROUND(IF(Table2[[#This Row],[College BF Dominator]]&gt;0.3,10,IF(Table2[[#This Row],[College BF Dominator]]&lt;-0.156,0,10/(20.818*0.3+3.2667)*(20.818*Table2[[#This Row],[College BF Dominator]]+3.2667))),0)</f>
        <v>5</v>
      </c>
      <c r="AG79">
        <f>ROUND(IF(Table2[[#This Row],[College PTDR]]&gt;0.085,10,IF(Table2[[#This Row],[College PTDR]]&lt;0.04,0,10/(105.24*0.085-1.7837)*(105.24*Table2[[#This Row],[College PTDR]]-1.7837))),0)</f>
        <v>8</v>
      </c>
      <c r="AH79">
        <f>ROUND(IF(Table2[[#This Row],[College Passer Rating]]&gt;170,10,IF(Table2[[#This Row],[College Passer Rating]]&lt;112.475,0,10/(0.1495*170-16.815)*(0.1495*Table2[[#This Row],[College Passer Rating]]-16.815))),0)</f>
        <v>7</v>
      </c>
      <c r="AI79">
        <f>ROUND(IF(Table2[[#This Row],[PTD:INT]]&gt;4,10,IF(Table2[[#This Row],[PTD:INT]]&lt;1,0,10/(4.7442*LN(4)+0.4256)*(4.7442*LN(Table2[[#This Row],[PTD:INT]])+0.4256))),0)</f>
        <v>8</v>
      </c>
      <c r="AJ79">
        <f>ROUND(IF(Table2[[#This Row],[Patt:Ratt]]&lt;2.5,10,IF(Table2[[#This Row],[Patt:Ratt]]&gt;15,0,10/(-2.684*LN(2.5)+9.0869)*(-2.684*LN(Table2[[#This Row],[Patt:Ratt]])+9.0869))),0)</f>
        <v>9</v>
      </c>
      <c r="AK79">
        <f>ROUND(IF(Table2[[#This Row],[Y/A]]&gt;9.2,10,IF(Table2[[#This Row],[Y/A]]&lt;6.26,0,10/(2.2619*9.2-14.16)*(2.2619*Table2[[#This Row],[Y/A]]-14.16))),0)</f>
        <v>8</v>
      </c>
      <c r="AL79">
        <f>ROUND(IF(Table2[[#This Row],[AY/A]]&gt;10,10,IF(Table2[[#This Row],[AY/A]]&lt;5.51,0,10/(1.6571*10-9.1312)*(1.6571*Table2[[#This Row],[AY/A]]-9.1312))),0)</f>
        <v>8</v>
      </c>
      <c r="AM79">
        <f>ROUND(IF(Table2[[#This Row],[40 Yd Dash]]&lt;4.75,10,IF(Table2[[#This Row],[40 Yd Dash]]&gt;5.191,0,10/(-66.95*LN(4.75)+110.26)*(-66.95*LN(Table2[[#This Row],[40 Yd Dash]])+110.26))),0)</f>
        <v>10</v>
      </c>
      <c r="AN79">
        <f>ROUND(IF(Table2[[#This Row],[Hand Size]]&gt;10.25,10,IF(Table2[[#This Row],[Hand Size]]&lt;9,0,10/(15.49*LN(10.25)-30.577)*(15.49*LN(Table2[[#This Row],[Hand Size]])-30.577))),0)</f>
        <v>6</v>
      </c>
    </row>
    <row r="80" spans="1:40">
      <c r="A80">
        <v>2015</v>
      </c>
      <c r="B80">
        <v>8</v>
      </c>
      <c r="C80" t="s">
        <v>219</v>
      </c>
      <c r="D80" t="s">
        <v>103</v>
      </c>
      <c r="E80">
        <v>5.6</v>
      </c>
      <c r="F80" t="s">
        <v>236</v>
      </c>
      <c r="G80">
        <f>SUMIFS('NFL QB Data By Year'!$Q:$Q,'NFL QB Data By Year'!$D:$D,Table2[[#This Row],[Player Name]],'NFL QB Data By Year'!$B:$B,Table2[[#This Row],[Draft Year]]+G$1)</f>
        <v>0</v>
      </c>
      <c r="H80">
        <f>SUMIFS('NFL QB Data By Year'!$P:$P,'NFL QB Data By Year'!$D:$D,Table2[[#This Row],[Player Name]],'NFL QB Data By Year'!$B:$B,Table2[[#This Row],[Draft Year]]+H$1)</f>
        <v>0</v>
      </c>
      <c r="I80">
        <f>SUMIFS('NFL QB Data By Year'!$Q:$Q,'NFL QB Data By Year'!$D:$D,Table2[[#This Row],[Player Name]],'NFL QB Data By Year'!$B:$B,Table2[[#This Row],[Draft Year]]+I$1)</f>
        <v>0</v>
      </c>
      <c r="J80">
        <f>SUMIFS('NFL QB Data By Year'!$P:$P,'NFL QB Data By Year'!$D:$D,Table2[[#This Row],[Player Name]],'NFL QB Data By Year'!$B:$B,Table2[[#This Row],[Draft Year]]+J$1)</f>
        <v>0</v>
      </c>
      <c r="K80">
        <f>SUMIFS('NFL QB Data By Year'!$Q:$Q,'NFL QB Data By Year'!$D:$D,Table2[[#This Row],[Player Name]],'NFL QB Data By Year'!$B:$B,Table2[[#This Row],[Draft Year]]+K$1)</f>
        <v>0</v>
      </c>
      <c r="L80">
        <f>SUMIFS('NFL QB Data By Year'!$P:$P,'NFL QB Data By Year'!$D:$D,Table2[[#This Row],[Player Name]],'NFL QB Data By Year'!$B:$B,Table2[[#This Row],[Draft Year]]+L$1)</f>
        <v>0</v>
      </c>
      <c r="M80">
        <f>Table2[[#This Row],[Year 1 G]]+Table2[[#This Row],[Year 2 G]]+Table2[[#This Row],[Year 3 G]]</f>
        <v>0</v>
      </c>
      <c r="N80">
        <f>Table2[[#This Row],[Year 1 FPTs]]+Table2[[#This Row],[Year 2 FPTs]]+Table2[[#This Row],[Year 3 FPTs]]</f>
        <v>0</v>
      </c>
      <c r="O80" s="7">
        <f>IFERROR(Table2[[#This Row],[Total FPTs]]/Table2[[#This Row],[Total G]],0)</f>
        <v>0</v>
      </c>
      <c r="P80">
        <v>10</v>
      </c>
      <c r="Q80" s="8">
        <f xml:space="preserve"> IFERROR(SUMIFS('College Data By Year'!J:J,'College Data By Year'!A:A,Table2[[#This Row],[Player Name]])/SUMIFS('College Data By Year'!L:L,'College Data By Year'!A:A,Table2[[#This Row],[Player Name]]),"")</f>
        <v>4.4581497797356831E-2</v>
      </c>
      <c r="R80" s="11">
        <f xml:space="preserve"> IFERROR(SUMIFS('College Data By Year'!D:D,'College Data By Year'!A:A,Table2[[#This Row],[Player Name]])/SUMIFS('College Data By Year'!B:B,'College Data By Year'!A:A,Table2[[#This Row],[Player Name]]),"")</f>
        <v>5.446485117162761E-2</v>
      </c>
      <c r="S80">
        <f>IF(SUMIFS('College Data By Year'!H:H,'College Data By Year'!A:A,Table2[[#This Row],[Player Name]])=0,"",SUMIFS('College Data By Year'!H:H,'College Data By Year'!A:A,Table2[[#This Row],[Player Name]]))</f>
        <v>144.6</v>
      </c>
      <c r="T80" s="7">
        <f>IFERROR(SUMIFS('College Data By Year'!D:D,'College Data By Year'!A:A,Table2[[#This Row],[Player Name]])/SUMIFS('College Data By Year'!E:E,'College Data By Year'!A:A,Table2[[#This Row],[Player Name]]),"")</f>
        <v>2.8666666666666667</v>
      </c>
      <c r="U80" s="7">
        <f>IFERROR(SUMIFS('College Data By Year'!B:B,'College Data By Year'!A:A,Table2[[#This Row],[Player Name]])/SUMIFS('College Data By Year'!I:I,'College Data By Year'!A:A,Table2[[#This Row],[Player Name]]),"")</f>
        <v>5.8265682656826572</v>
      </c>
      <c r="V80">
        <f>IF(SUMIFS('College Data By Year'!F:F,'College Data By Year'!A:A,Table2[[#This Row],[Player Name]])=0,"",SUMIFS('College Data By Year'!F:F,'College Data By Year'!A:A,Table2[[#This Row],[Player Name]]))</f>
        <v>7.6</v>
      </c>
      <c r="W80">
        <f>IF(SUMIFS('College Data By Year'!G:G,'College Data By Year'!A:A,Table2[[#This Row],[Player Name]])=0,"",SUMIFS('College Data By Year'!G:G,'College Data By Year'!A:A,Table2[[#This Row],[Player Name]]))</f>
        <v>7.8</v>
      </c>
      <c r="X8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4.8648648648648651E-2</v>
      </c>
      <c r="Y80">
        <v>4.9400000000000004</v>
      </c>
      <c r="Z80">
        <v>9.75</v>
      </c>
      <c r="AA80" t="s">
        <v>221</v>
      </c>
      <c r="AB80">
        <v>218</v>
      </c>
      <c r="AC80">
        <v>28</v>
      </c>
      <c r="AD80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80">
        <f>ROUND(IF(Table2[[#This Row],[Draft Round]]=1,10,IF(Table2[[#This Row],[Draft Round]]=8,0,10/(20.884*EXP(-0.381*1))*(20.884*EXP(-0.381*Table2[[#This Row],[Draft Round]])))),0)</f>
        <v>0</v>
      </c>
      <c r="AF80">
        <f>ROUND(IF(Table2[[#This Row],[College BF Dominator]]&gt;0.3,10,IF(Table2[[#This Row],[College BF Dominator]]&lt;-0.156,0,10/(20.818*0.3+3.2667)*(20.818*Table2[[#This Row],[College BF Dominator]]+3.2667))),0)</f>
        <v>4</v>
      </c>
      <c r="AG80">
        <f>ROUND(IF(Table2[[#This Row],[College PTDR]]&gt;0.085,10,IF(Table2[[#This Row],[College PTDR]]&lt;0.04,0,10/(105.24*0.085-1.7837)*(105.24*Table2[[#This Row],[College PTDR]]-1.7837))),0)</f>
        <v>6</v>
      </c>
      <c r="AH80">
        <f>ROUND(IF(Table2[[#This Row],[College Passer Rating]]&gt;170,10,IF(Table2[[#This Row],[College Passer Rating]]&lt;112.475,0,10/(0.1495*170-16.815)*(0.1495*Table2[[#This Row],[College Passer Rating]]-16.815))),0)</f>
        <v>6</v>
      </c>
      <c r="AI80">
        <f>ROUND(IF(Table2[[#This Row],[PTD:INT]]&gt;4,10,IF(Table2[[#This Row],[PTD:INT]]&lt;1,0,10/(4.7442*LN(4)+0.4256)*(4.7442*LN(Table2[[#This Row],[PTD:INT]])+0.4256))),0)</f>
        <v>8</v>
      </c>
      <c r="AJ80">
        <f>ROUND(IF(Table2[[#This Row],[Patt:Ratt]]&lt;2.5,10,IF(Table2[[#This Row],[Patt:Ratt]]&gt;15,0,10/(-2.684*LN(2.5)+9.0869)*(-2.684*LN(Table2[[#This Row],[Patt:Ratt]])+9.0869))),0)</f>
        <v>7</v>
      </c>
      <c r="AK80">
        <f>ROUND(IF(Table2[[#This Row],[Y/A]]&gt;9.2,10,IF(Table2[[#This Row],[Y/A]]&lt;6.26,0,10/(2.2619*9.2-14.16)*(2.2619*Table2[[#This Row],[Y/A]]-14.16))),0)</f>
        <v>5</v>
      </c>
      <c r="AL80">
        <f>ROUND(IF(Table2[[#This Row],[AY/A]]&gt;10,10,IF(Table2[[#This Row],[AY/A]]&lt;5.51,0,10/(1.6571*10-9.1312)*(1.6571*Table2[[#This Row],[AY/A]]-9.1312))),0)</f>
        <v>5</v>
      </c>
      <c r="AM80">
        <f>ROUND(IF(Table2[[#This Row],[40 Yd Dash]]&lt;4.75,10,IF(Table2[[#This Row],[40 Yd Dash]]&gt;5.191,0,10/(-66.95*LN(4.75)+110.26)*(-66.95*LN(Table2[[#This Row],[40 Yd Dash]])+110.26))),0)</f>
        <v>6</v>
      </c>
      <c r="AN80">
        <f>ROUND(IF(Table2[[#This Row],[Hand Size]]&gt;10.25,10,IF(Table2[[#This Row],[Hand Size]]&lt;9,0,10/(15.49*LN(10.25)-30.577)*(15.49*LN(Table2[[#This Row],[Hand Size]])-30.577))),0)</f>
        <v>9</v>
      </c>
    </row>
    <row r="81" spans="1:40">
      <c r="A81">
        <v>2015</v>
      </c>
      <c r="B81">
        <v>8</v>
      </c>
      <c r="C81" t="s">
        <v>219</v>
      </c>
      <c r="D81" t="s">
        <v>89</v>
      </c>
      <c r="F81" t="s">
        <v>237</v>
      </c>
      <c r="G81">
        <f>SUMIFS('NFL QB Data By Year'!$Q:$Q,'NFL QB Data By Year'!$D:$D,Table2[[#This Row],[Player Name]],'NFL QB Data By Year'!$B:$B,Table2[[#This Row],[Draft Year]]+G$1)</f>
        <v>0</v>
      </c>
      <c r="H81">
        <f>SUMIFS('NFL QB Data By Year'!$P:$P,'NFL QB Data By Year'!$D:$D,Table2[[#This Row],[Player Name]],'NFL QB Data By Year'!$B:$B,Table2[[#This Row],[Draft Year]]+H$1)</f>
        <v>0</v>
      </c>
      <c r="I81">
        <f>SUMIFS('NFL QB Data By Year'!$Q:$Q,'NFL QB Data By Year'!$D:$D,Table2[[#This Row],[Player Name]],'NFL QB Data By Year'!$B:$B,Table2[[#This Row],[Draft Year]]+I$1)</f>
        <v>0</v>
      </c>
      <c r="J81">
        <f>SUMIFS('NFL QB Data By Year'!$P:$P,'NFL QB Data By Year'!$D:$D,Table2[[#This Row],[Player Name]],'NFL QB Data By Year'!$B:$B,Table2[[#This Row],[Draft Year]]+J$1)</f>
        <v>0</v>
      </c>
      <c r="K81">
        <f>SUMIFS('NFL QB Data By Year'!$Q:$Q,'NFL QB Data By Year'!$D:$D,Table2[[#This Row],[Player Name]],'NFL QB Data By Year'!$B:$B,Table2[[#This Row],[Draft Year]]+K$1)</f>
        <v>0</v>
      </c>
      <c r="L81">
        <f>SUMIFS('NFL QB Data By Year'!$P:$P,'NFL QB Data By Year'!$D:$D,Table2[[#This Row],[Player Name]],'NFL QB Data By Year'!$B:$B,Table2[[#This Row],[Draft Year]]+L$1)</f>
        <v>0</v>
      </c>
      <c r="M81">
        <f>Table2[[#This Row],[Year 1 G]]+Table2[[#This Row],[Year 2 G]]+Table2[[#This Row],[Year 3 G]]</f>
        <v>0</v>
      </c>
      <c r="N81">
        <f>Table2[[#This Row],[Year 1 FPTs]]+Table2[[#This Row],[Year 2 FPTs]]+Table2[[#This Row],[Year 3 FPTs]]</f>
        <v>0</v>
      </c>
      <c r="O81" s="7">
        <f>IFERROR(Table2[[#This Row],[Total FPTs]]/Table2[[#This Row],[Total G]],0)</f>
        <v>0</v>
      </c>
      <c r="P81">
        <v>10</v>
      </c>
      <c r="Q81" s="8">
        <f xml:space="preserve"> IFERROR(SUMIFS('College Data By Year'!J:J,'College Data By Year'!A:A,Table2[[#This Row],[Player Name]])/SUMIFS('College Data By Year'!L:L,'College Data By Year'!A:A,Table2[[#This Row],[Player Name]]),"")</f>
        <v>4.4044889586098708E-2</v>
      </c>
      <c r="R81" s="11">
        <f xml:space="preserve"> IFERROR(SUMIFS('College Data By Year'!D:D,'College Data By Year'!A:A,Table2[[#This Row],[Player Name]])/SUMIFS('College Data By Year'!B:B,'College Data By Year'!A:A,Table2[[#This Row],[Player Name]]),"")</f>
        <v>0.10843373493975904</v>
      </c>
      <c r="S81">
        <f>IF(SUMIFS('College Data By Year'!H:H,'College Data By Year'!A:A,Table2[[#This Row],[Player Name]])=0,"",SUMIFS('College Data By Year'!H:H,'College Data By Year'!A:A,Table2[[#This Row],[Player Name]]))</f>
        <v>141.5</v>
      </c>
      <c r="T81" s="7">
        <f>IFERROR(SUMIFS('College Data By Year'!D:D,'College Data By Year'!A:A,Table2[[#This Row],[Player Name]])/SUMIFS('College Data By Year'!E:E,'College Data By Year'!A:A,Table2[[#This Row],[Player Name]]),"")</f>
        <v>3</v>
      </c>
      <c r="U81" s="7">
        <f>IFERROR(SUMIFS('College Data By Year'!B:B,'College Data By Year'!A:A,Table2[[#This Row],[Player Name]])/SUMIFS('College Data By Year'!I:I,'College Data By Year'!A:A,Table2[[#This Row],[Player Name]]),"")</f>
        <v>1.3387096774193548</v>
      </c>
      <c r="V81">
        <f>IF(SUMIFS('College Data By Year'!F:F,'College Data By Year'!A:A,Table2[[#This Row],[Player Name]])=0,"",SUMIFS('College Data By Year'!F:F,'College Data By Year'!A:A,Table2[[#This Row],[Player Name]]))</f>
        <v>7</v>
      </c>
      <c r="W81">
        <f>IF(SUMIFS('College Data By Year'!G:G,'College Data By Year'!A:A,Table2[[#This Row],[Player Name]])=0,"",SUMIFS('College Data By Year'!G:G,'College Data By Year'!A:A,Table2[[#This Row],[Player Name]]))</f>
        <v>7.5</v>
      </c>
      <c r="X8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3.4482758620689655E-2</v>
      </c>
      <c r="Y81">
        <v>4.8099999999999996</v>
      </c>
      <c r="Z81">
        <v>9.5</v>
      </c>
      <c r="AA81" t="s">
        <v>221</v>
      </c>
      <c r="AB81">
        <v>211</v>
      </c>
      <c r="AC81">
        <v>27.1</v>
      </c>
      <c r="AD81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81">
        <f>ROUND(IF(Table2[[#This Row],[Draft Round]]=1,10,IF(Table2[[#This Row],[Draft Round]]=8,0,10/(20.884*EXP(-0.381*1))*(20.884*EXP(-0.381*Table2[[#This Row],[Draft Round]])))),0)</f>
        <v>0</v>
      </c>
      <c r="AF81">
        <f>ROUND(IF(Table2[[#This Row],[College BF Dominator]]&gt;0.3,10,IF(Table2[[#This Row],[College BF Dominator]]&lt;-0.156,0,10/(20.818*0.3+3.2667)*(20.818*Table2[[#This Row],[College BF Dominator]]+3.2667))),0)</f>
        <v>4</v>
      </c>
      <c r="AG81">
        <f>ROUND(IF(Table2[[#This Row],[College PTDR]]&gt;0.085,10,IF(Table2[[#This Row],[College PTDR]]&lt;0.04,0,10/(105.24*0.085-1.7837)*(105.24*Table2[[#This Row],[College PTDR]]-1.7837))),0)</f>
        <v>10</v>
      </c>
      <c r="AH81">
        <f>ROUND(IF(Table2[[#This Row],[College Passer Rating]]&gt;170,10,IF(Table2[[#This Row],[College Passer Rating]]&lt;112.475,0,10/(0.1495*170-16.815)*(0.1495*Table2[[#This Row],[College Passer Rating]]-16.815))),0)</f>
        <v>5</v>
      </c>
      <c r="AI81">
        <f>ROUND(IF(Table2[[#This Row],[PTD:INT]]&gt;4,10,IF(Table2[[#This Row],[PTD:INT]]&lt;1,0,10/(4.7442*LN(4)+0.4256)*(4.7442*LN(Table2[[#This Row],[PTD:INT]])+0.4256))),0)</f>
        <v>8</v>
      </c>
      <c r="AJ81">
        <f>ROUND(IF(Table2[[#This Row],[Patt:Ratt]]&lt;2.5,10,IF(Table2[[#This Row],[Patt:Ratt]]&gt;15,0,10/(-2.684*LN(2.5)+9.0869)*(-2.684*LN(Table2[[#This Row],[Patt:Ratt]])+9.0869))),0)</f>
        <v>10</v>
      </c>
      <c r="AK81">
        <f>ROUND(IF(Table2[[#This Row],[Y/A]]&gt;9.2,10,IF(Table2[[#This Row],[Y/A]]&lt;6.26,0,10/(2.2619*9.2-14.16)*(2.2619*Table2[[#This Row],[Y/A]]-14.16))),0)</f>
        <v>3</v>
      </c>
      <c r="AL81">
        <f>ROUND(IF(Table2[[#This Row],[AY/A]]&gt;10,10,IF(Table2[[#This Row],[AY/A]]&lt;5.51,0,10/(1.6571*10-9.1312)*(1.6571*Table2[[#This Row],[AY/A]]-9.1312))),0)</f>
        <v>4</v>
      </c>
      <c r="AM81">
        <f>ROUND(IF(Table2[[#This Row],[40 Yd Dash]]&lt;4.75,10,IF(Table2[[#This Row],[40 Yd Dash]]&gt;5.191,0,10/(-66.95*LN(4.75)+110.26)*(-66.95*LN(Table2[[#This Row],[40 Yd Dash]])+110.26))),0)</f>
        <v>9</v>
      </c>
      <c r="AN81">
        <f>ROUND(IF(Table2[[#This Row],[Hand Size]]&gt;10.25,10,IF(Table2[[#This Row],[Hand Size]]&lt;9,0,10/(15.49*LN(10.25)-30.577)*(15.49*LN(Table2[[#This Row],[Hand Size]])-30.577))),0)</f>
        <v>8</v>
      </c>
    </row>
    <row r="82" spans="1:40">
      <c r="A82">
        <v>2019</v>
      </c>
      <c r="B82">
        <v>8</v>
      </c>
      <c r="C82" t="s">
        <v>219</v>
      </c>
      <c r="D82" t="s">
        <v>88</v>
      </c>
      <c r="E82">
        <v>5.4</v>
      </c>
      <c r="F82" t="s">
        <v>237</v>
      </c>
      <c r="G82">
        <f>SUMIFS('NFL QB Data By Year'!$Q:$Q,'NFL QB Data By Year'!$D:$D,Table2[[#This Row],[Player Name]],'NFL QB Data By Year'!$B:$B,Table2[[#This Row],[Draft Year]]+G$1)</f>
        <v>0</v>
      </c>
      <c r="H82">
        <f>SUMIFS('NFL QB Data By Year'!$P:$P,'NFL QB Data By Year'!$D:$D,Table2[[#This Row],[Player Name]],'NFL QB Data By Year'!$B:$B,Table2[[#This Row],[Draft Year]]+H$1)</f>
        <v>0</v>
      </c>
      <c r="I82">
        <f>SUMIFS('NFL QB Data By Year'!$Q:$Q,'NFL QB Data By Year'!$D:$D,Table2[[#This Row],[Player Name]],'NFL QB Data By Year'!$B:$B,Table2[[#This Row],[Draft Year]]+I$1)</f>
        <v>0</v>
      </c>
      <c r="J82">
        <f>SUMIFS('NFL QB Data By Year'!$P:$P,'NFL QB Data By Year'!$D:$D,Table2[[#This Row],[Player Name]],'NFL QB Data By Year'!$B:$B,Table2[[#This Row],[Draft Year]]+J$1)</f>
        <v>0</v>
      </c>
      <c r="K82">
        <f>SUMIFS('NFL QB Data By Year'!$Q:$Q,'NFL QB Data By Year'!$D:$D,Table2[[#This Row],[Player Name]],'NFL QB Data By Year'!$B:$B,Table2[[#This Row],[Draft Year]]+K$1)</f>
        <v>0</v>
      </c>
      <c r="L82">
        <f>SUMIFS('NFL QB Data By Year'!$P:$P,'NFL QB Data By Year'!$D:$D,Table2[[#This Row],[Player Name]],'NFL QB Data By Year'!$B:$B,Table2[[#This Row],[Draft Year]]+L$1)</f>
        <v>0</v>
      </c>
      <c r="M82">
        <f>Table2[[#This Row],[Year 1 G]]+Table2[[#This Row],[Year 2 G]]+Table2[[#This Row],[Year 3 G]]</f>
        <v>0</v>
      </c>
      <c r="N82">
        <f>Table2[[#This Row],[Year 1 FPTs]]+Table2[[#This Row],[Year 2 FPTs]]+Table2[[#This Row],[Year 3 FPTs]]</f>
        <v>0</v>
      </c>
      <c r="O82" s="7">
        <f>IFERROR(Table2[[#This Row],[Total FPTs]]/Table2[[#This Row],[Total G]],0)</f>
        <v>0</v>
      </c>
      <c r="P82">
        <v>10</v>
      </c>
      <c r="Q82" s="8">
        <f xml:space="preserve"> IFERROR(SUMIFS('College Data By Year'!J:J,'College Data By Year'!A:A,Table2[[#This Row],[Player Name]])/SUMIFS('College Data By Year'!L:L,'College Data By Year'!A:A,Table2[[#This Row],[Player Name]]),"")</f>
        <v>3.5661401776900296E-2</v>
      </c>
      <c r="R82" s="11">
        <f xml:space="preserve"> IFERROR(SUMIFS('College Data By Year'!D:D,'College Data By Year'!A:A,Table2[[#This Row],[Player Name]])/SUMIFS('College Data By Year'!B:B,'College Data By Year'!A:A,Table2[[#This Row],[Player Name]]),"")</f>
        <v>8.3665338645418322E-2</v>
      </c>
      <c r="S82">
        <f>IF(SUMIFS('College Data By Year'!H:H,'College Data By Year'!A:A,Table2[[#This Row],[Player Name]])=0,"",SUMIFS('College Data By Year'!H:H,'College Data By Year'!A:A,Table2[[#This Row],[Player Name]]))</f>
        <v>156.59654714475434</v>
      </c>
      <c r="T82" s="7">
        <f>IFERROR(SUMIFS('College Data By Year'!D:D,'College Data By Year'!A:A,Table2[[#This Row],[Player Name]])/SUMIFS('College Data By Year'!E:E,'College Data By Year'!A:A,Table2[[#This Row],[Player Name]]),"")</f>
        <v>4.8461538461538458</v>
      </c>
      <c r="U82" s="7">
        <f>IFERROR(SUMIFS('College Data By Year'!B:B,'College Data By Year'!A:A,Table2[[#This Row],[Player Name]])/SUMIFS('College Data By Year'!I:I,'College Data By Year'!A:A,Table2[[#This Row],[Player Name]]),"")</f>
        <v>8.5568181818181817</v>
      </c>
      <c r="V82">
        <f>IF(SUMIFS('College Data By Year'!F:F,'College Data By Year'!A:A,Table2[[#This Row],[Player Name]])=0,"",SUMIFS('College Data By Year'!F:F,'College Data By Year'!A:A,Table2[[#This Row],[Player Name]]))</f>
        <v>8.5099601593625493</v>
      </c>
      <c r="W82">
        <f>IF(SUMIFS('College Data By Year'!G:G,'College Data By Year'!A:A,Table2[[#This Row],[Player Name]])=0,"",SUMIFS('College Data By Year'!G:G,'College Data By Year'!A:A,Table2[[#This Row],[Player Name]]))</f>
        <v>9.4063745019920315</v>
      </c>
      <c r="X8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82">
        <v>4.79</v>
      </c>
      <c r="Z82">
        <v>9.25</v>
      </c>
      <c r="AA82" t="s">
        <v>227</v>
      </c>
      <c r="AB82">
        <v>215</v>
      </c>
      <c r="AC82">
        <v>26.2</v>
      </c>
      <c r="AD82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82">
        <f>ROUND(IF(Table2[[#This Row],[Draft Round]]=1,10,IF(Table2[[#This Row],[Draft Round]]=8,0,10/(20.884*EXP(-0.381*1))*(20.884*EXP(-0.381*Table2[[#This Row],[Draft Round]])))),0)</f>
        <v>0</v>
      </c>
      <c r="AF82">
        <f>ROUND(IF(Table2[[#This Row],[College BF Dominator]]&gt;0.3,10,IF(Table2[[#This Row],[College BF Dominator]]&lt;-0.156,0,10/(20.818*0.3+3.2667)*(20.818*Table2[[#This Row],[College BF Dominator]]+3.2667))),0)</f>
        <v>4</v>
      </c>
      <c r="AG82">
        <f>ROUND(IF(Table2[[#This Row],[College PTDR]]&gt;0.085,10,IF(Table2[[#This Row],[College PTDR]]&lt;0.04,0,10/(105.24*0.085-1.7837)*(105.24*Table2[[#This Row],[College PTDR]]-1.7837))),0)</f>
        <v>10</v>
      </c>
      <c r="AH82">
        <f>ROUND(IF(Table2[[#This Row],[College Passer Rating]]&gt;170,10,IF(Table2[[#This Row],[College Passer Rating]]&lt;112.475,0,10/(0.1495*170-16.815)*(0.1495*Table2[[#This Row],[College Passer Rating]]-16.815))),0)</f>
        <v>8</v>
      </c>
      <c r="AI82">
        <f>ROUND(IF(Table2[[#This Row],[PTD:INT]]&gt;4,10,IF(Table2[[#This Row],[PTD:INT]]&lt;1,0,10/(4.7442*LN(4)+0.4256)*(4.7442*LN(Table2[[#This Row],[PTD:INT]])+0.4256))),0)</f>
        <v>10</v>
      </c>
      <c r="AJ82">
        <f>ROUND(IF(Table2[[#This Row],[Patt:Ratt]]&lt;2.5,10,IF(Table2[[#This Row],[Patt:Ratt]]&gt;15,0,10/(-2.684*LN(2.5)+9.0869)*(-2.684*LN(Table2[[#This Row],[Patt:Ratt]])+9.0869))),0)</f>
        <v>5</v>
      </c>
      <c r="AK82">
        <f>ROUND(IF(Table2[[#This Row],[Y/A]]&gt;9.2,10,IF(Table2[[#This Row],[Y/A]]&lt;6.26,0,10/(2.2619*9.2-14.16)*(2.2619*Table2[[#This Row],[Y/A]]-14.16))),0)</f>
        <v>8</v>
      </c>
      <c r="AL82">
        <f>ROUND(IF(Table2[[#This Row],[AY/A]]&gt;10,10,IF(Table2[[#This Row],[AY/A]]&lt;5.51,0,10/(1.6571*10-9.1312)*(1.6571*Table2[[#This Row],[AY/A]]-9.1312))),0)</f>
        <v>9</v>
      </c>
      <c r="AM82">
        <f>ROUND(IF(Table2[[#This Row],[40 Yd Dash]]&lt;4.75,10,IF(Table2[[#This Row],[40 Yd Dash]]&gt;5.191,0,10/(-66.95*LN(4.75)+110.26)*(-66.95*LN(Table2[[#This Row],[40 Yd Dash]])+110.26))),0)</f>
        <v>9</v>
      </c>
      <c r="AN82">
        <f>ROUND(IF(Table2[[#This Row],[Hand Size]]&gt;10.25,10,IF(Table2[[#This Row],[Hand Size]]&lt;9,0,10/(15.49*LN(10.25)-30.577)*(15.49*LN(Table2[[#This Row],[Hand Size]])-30.577))),0)</f>
        <v>7</v>
      </c>
    </row>
    <row r="83" spans="1:40">
      <c r="A83">
        <v>2019</v>
      </c>
      <c r="B83">
        <v>8</v>
      </c>
      <c r="C83" t="s">
        <v>219</v>
      </c>
      <c r="D83" t="s">
        <v>96</v>
      </c>
      <c r="E83">
        <v>5.4</v>
      </c>
      <c r="F83" t="s">
        <v>237</v>
      </c>
      <c r="G83">
        <f>SUMIFS('NFL QB Data By Year'!$Q:$Q,'NFL QB Data By Year'!$D:$D,Table2[[#This Row],[Player Name]],'NFL QB Data By Year'!$B:$B,Table2[[#This Row],[Draft Year]]+G$1)</f>
        <v>0</v>
      </c>
      <c r="H83">
        <f>SUMIFS('NFL QB Data By Year'!$P:$P,'NFL QB Data By Year'!$D:$D,Table2[[#This Row],[Player Name]],'NFL QB Data By Year'!$B:$B,Table2[[#This Row],[Draft Year]]+H$1)</f>
        <v>0</v>
      </c>
      <c r="I83">
        <f>SUMIFS('NFL QB Data By Year'!$Q:$Q,'NFL QB Data By Year'!$D:$D,Table2[[#This Row],[Player Name]],'NFL QB Data By Year'!$B:$B,Table2[[#This Row],[Draft Year]]+I$1)</f>
        <v>0</v>
      </c>
      <c r="J83">
        <f>SUMIFS('NFL QB Data By Year'!$P:$P,'NFL QB Data By Year'!$D:$D,Table2[[#This Row],[Player Name]],'NFL QB Data By Year'!$B:$B,Table2[[#This Row],[Draft Year]]+J$1)</f>
        <v>0</v>
      </c>
      <c r="K83">
        <f>SUMIFS('NFL QB Data By Year'!$Q:$Q,'NFL QB Data By Year'!$D:$D,Table2[[#This Row],[Player Name]],'NFL QB Data By Year'!$B:$B,Table2[[#This Row],[Draft Year]]+K$1)</f>
        <v>0</v>
      </c>
      <c r="L83">
        <f>SUMIFS('NFL QB Data By Year'!$P:$P,'NFL QB Data By Year'!$D:$D,Table2[[#This Row],[Player Name]],'NFL QB Data By Year'!$B:$B,Table2[[#This Row],[Draft Year]]+L$1)</f>
        <v>0</v>
      </c>
      <c r="M83">
        <f>Table2[[#This Row],[Year 1 G]]+Table2[[#This Row],[Year 2 G]]+Table2[[#This Row],[Year 3 G]]</f>
        <v>0</v>
      </c>
      <c r="N83">
        <f>Table2[[#This Row],[Year 1 FPTs]]+Table2[[#This Row],[Year 2 FPTs]]+Table2[[#This Row],[Year 3 FPTs]]</f>
        <v>0</v>
      </c>
      <c r="O83" s="7">
        <f>IFERROR(Table2[[#This Row],[Total FPTs]]/Table2[[#This Row],[Total G]],0)</f>
        <v>0</v>
      </c>
      <c r="P83">
        <v>10</v>
      </c>
      <c r="Q83" s="8">
        <f xml:space="preserve"> IFERROR(SUMIFS('College Data By Year'!J:J,'College Data By Year'!A:A,Table2[[#This Row],[Player Name]])/SUMIFS('College Data By Year'!L:L,'College Data By Year'!A:A,Table2[[#This Row],[Player Name]]),"")</f>
        <v>2.5015378306335861E-2</v>
      </c>
      <c r="R83" s="11">
        <f xml:space="preserve"> IFERROR(SUMIFS('College Data By Year'!D:D,'College Data By Year'!A:A,Table2[[#This Row],[Player Name]])/SUMIFS('College Data By Year'!B:B,'College Data By Year'!A:A,Table2[[#This Row],[Player Name]]),"")</f>
        <v>6.3342318059299185E-2</v>
      </c>
      <c r="S83">
        <f>IF(SUMIFS('College Data By Year'!H:H,'College Data By Year'!A:A,Table2[[#This Row],[Player Name]])=0,"",SUMIFS('College Data By Year'!H:H,'College Data By Year'!A:A,Table2[[#This Row],[Player Name]]))</f>
        <v>150.5</v>
      </c>
      <c r="T83" s="7">
        <f>IFERROR(SUMIFS('College Data By Year'!D:D,'College Data By Year'!A:A,Table2[[#This Row],[Player Name]])/SUMIFS('College Data By Year'!E:E,'College Data By Year'!A:A,Table2[[#This Row],[Player Name]]),"")</f>
        <v>2.7647058823529411</v>
      </c>
      <c r="U83" s="7">
        <f>IFERROR(SUMIFS('College Data By Year'!B:B,'College Data By Year'!A:A,Table2[[#This Row],[Player Name]])/SUMIFS('College Data By Year'!I:I,'College Data By Year'!A:A,Table2[[#This Row],[Player Name]]),"")</f>
        <v>5.4760147601476019</v>
      </c>
      <c r="V83">
        <f>IF(SUMIFS('College Data By Year'!F:F,'College Data By Year'!A:A,Table2[[#This Row],[Player Name]])=0,"",SUMIFS('College Data By Year'!F:F,'College Data By Year'!A:A,Table2[[#This Row],[Player Name]]))</f>
        <v>8.3000000000000007</v>
      </c>
      <c r="W83">
        <f>IF(SUMIFS('College Data By Year'!G:G,'College Data By Year'!A:A,Table2[[#This Row],[Player Name]])=0,"",SUMIFS('College Data By Year'!G:G,'College Data By Year'!A:A,Table2[[#This Row],[Player Name]]))</f>
        <v>8.5</v>
      </c>
      <c r="X8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3.9886039886039889E-3</v>
      </c>
      <c r="Y83">
        <v>4.74</v>
      </c>
      <c r="Z83">
        <v>9</v>
      </c>
      <c r="AA83" t="s">
        <v>221</v>
      </c>
      <c r="AB83">
        <v>211</v>
      </c>
      <c r="AC83">
        <v>27.1</v>
      </c>
      <c r="AD83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83">
        <f>ROUND(IF(Table2[[#This Row],[Draft Round]]=1,10,IF(Table2[[#This Row],[Draft Round]]=8,0,10/(20.884*EXP(-0.381*1))*(20.884*EXP(-0.381*Table2[[#This Row],[Draft Round]])))),0)</f>
        <v>0</v>
      </c>
      <c r="AF83">
        <f>ROUND(IF(Table2[[#This Row],[College BF Dominator]]&gt;0.3,10,IF(Table2[[#This Row],[College BF Dominator]]&lt;-0.156,0,10/(20.818*0.3+3.2667)*(20.818*Table2[[#This Row],[College BF Dominator]]+3.2667))),0)</f>
        <v>4</v>
      </c>
      <c r="AG83">
        <f>ROUND(IF(Table2[[#This Row],[College PTDR]]&gt;0.085,10,IF(Table2[[#This Row],[College PTDR]]&lt;0.04,0,10/(105.24*0.085-1.7837)*(105.24*Table2[[#This Row],[College PTDR]]-1.7837))),0)</f>
        <v>7</v>
      </c>
      <c r="AH83">
        <f>ROUND(IF(Table2[[#This Row],[College Passer Rating]]&gt;170,10,IF(Table2[[#This Row],[College Passer Rating]]&lt;112.475,0,10/(0.1495*170-16.815)*(0.1495*Table2[[#This Row],[College Passer Rating]]-16.815))),0)</f>
        <v>7</v>
      </c>
      <c r="AI83">
        <f>ROUND(IF(Table2[[#This Row],[PTD:INT]]&gt;4,10,IF(Table2[[#This Row],[PTD:INT]]&lt;1,0,10/(4.7442*LN(4)+0.4256)*(4.7442*LN(Table2[[#This Row],[PTD:INT]])+0.4256))),0)</f>
        <v>7</v>
      </c>
      <c r="AJ83">
        <f>ROUND(IF(Table2[[#This Row],[Patt:Ratt]]&lt;2.5,10,IF(Table2[[#This Row],[Patt:Ratt]]&gt;15,0,10/(-2.684*LN(2.5)+9.0869)*(-2.684*LN(Table2[[#This Row],[Patt:Ratt]])+9.0869))),0)</f>
        <v>7</v>
      </c>
      <c r="AK83">
        <f>ROUND(IF(Table2[[#This Row],[Y/A]]&gt;9.2,10,IF(Table2[[#This Row],[Y/A]]&lt;6.26,0,10/(2.2619*9.2-14.16)*(2.2619*Table2[[#This Row],[Y/A]]-14.16))),0)</f>
        <v>7</v>
      </c>
      <c r="AL83">
        <f>ROUND(IF(Table2[[#This Row],[AY/A]]&gt;10,10,IF(Table2[[#This Row],[AY/A]]&lt;5.51,0,10/(1.6571*10-9.1312)*(1.6571*Table2[[#This Row],[AY/A]]-9.1312))),0)</f>
        <v>7</v>
      </c>
      <c r="AM83">
        <f>ROUND(IF(Table2[[#This Row],[40 Yd Dash]]&lt;4.75,10,IF(Table2[[#This Row],[40 Yd Dash]]&gt;5.191,0,10/(-66.95*LN(4.75)+110.26)*(-66.95*LN(Table2[[#This Row],[40 Yd Dash]])+110.26))),0)</f>
        <v>10</v>
      </c>
      <c r="AN83">
        <f>ROUND(IF(Table2[[#This Row],[Hand Size]]&gt;10.25,10,IF(Table2[[#This Row],[Hand Size]]&lt;9,0,10/(15.49*LN(10.25)-30.577)*(15.49*LN(Table2[[#This Row],[Hand Size]])-30.577))),0)</f>
        <v>6</v>
      </c>
    </row>
    <row r="84" spans="1:40">
      <c r="A84">
        <v>2018</v>
      </c>
      <c r="B84">
        <v>8</v>
      </c>
      <c r="C84" t="s">
        <v>219</v>
      </c>
      <c r="D84" t="s">
        <v>119</v>
      </c>
      <c r="E84">
        <v>5.0999999999999996</v>
      </c>
      <c r="F84" t="s">
        <v>237</v>
      </c>
      <c r="G84">
        <f>SUMIFS('NFL QB Data By Year'!$Q:$Q,'NFL QB Data By Year'!$D:$D,Table2[[#This Row],[Player Name]],'NFL QB Data By Year'!$B:$B,Table2[[#This Row],[Draft Year]]+G$1)</f>
        <v>0</v>
      </c>
      <c r="H84">
        <f>SUMIFS('NFL QB Data By Year'!$P:$P,'NFL QB Data By Year'!$D:$D,Table2[[#This Row],[Player Name]],'NFL QB Data By Year'!$B:$B,Table2[[#This Row],[Draft Year]]+H$1)</f>
        <v>0</v>
      </c>
      <c r="I84">
        <f>SUMIFS('NFL QB Data By Year'!$Q:$Q,'NFL QB Data By Year'!$D:$D,Table2[[#This Row],[Player Name]],'NFL QB Data By Year'!$B:$B,Table2[[#This Row],[Draft Year]]+I$1)</f>
        <v>0</v>
      </c>
      <c r="J84">
        <f>SUMIFS('NFL QB Data By Year'!$P:$P,'NFL QB Data By Year'!$D:$D,Table2[[#This Row],[Player Name]],'NFL QB Data By Year'!$B:$B,Table2[[#This Row],[Draft Year]]+J$1)</f>
        <v>0</v>
      </c>
      <c r="K84">
        <f>SUMIFS('NFL QB Data By Year'!$Q:$Q,'NFL QB Data By Year'!$D:$D,Table2[[#This Row],[Player Name]],'NFL QB Data By Year'!$B:$B,Table2[[#This Row],[Draft Year]]+K$1)</f>
        <v>0</v>
      </c>
      <c r="L84">
        <f>SUMIFS('NFL QB Data By Year'!$P:$P,'NFL QB Data By Year'!$D:$D,Table2[[#This Row],[Player Name]],'NFL QB Data By Year'!$B:$B,Table2[[#This Row],[Draft Year]]+L$1)</f>
        <v>0</v>
      </c>
      <c r="M84">
        <f>Table2[[#This Row],[Year 1 G]]+Table2[[#This Row],[Year 2 G]]+Table2[[#This Row],[Year 3 G]]</f>
        <v>0</v>
      </c>
      <c r="N84">
        <f>Table2[[#This Row],[Year 1 FPTs]]+Table2[[#This Row],[Year 2 FPTs]]+Table2[[#This Row],[Year 3 FPTs]]</f>
        <v>0</v>
      </c>
      <c r="O84" s="7">
        <f>IFERROR(Table2[[#This Row],[Total FPTs]]/Table2[[#This Row],[Total G]],0)</f>
        <v>0</v>
      </c>
      <c r="P84">
        <v>10</v>
      </c>
      <c r="Q84" s="8">
        <f xml:space="preserve"> IFERROR(SUMIFS('College Data By Year'!J:J,'College Data By Year'!A:A,Table2[[#This Row],[Player Name]])/SUMIFS('College Data By Year'!L:L,'College Data By Year'!A:A,Table2[[#This Row],[Player Name]]),"")</f>
        <v>1.945216355696705E-2</v>
      </c>
      <c r="R84" s="11">
        <f xml:space="preserve"> IFERROR(SUMIFS('College Data By Year'!D:D,'College Data By Year'!A:A,Table2[[#This Row],[Player Name]])/SUMIFS('College Data By Year'!B:B,'College Data By Year'!A:A,Table2[[#This Row],[Player Name]]),"")</f>
        <v>6.7895247332686717E-2</v>
      </c>
      <c r="S84">
        <f>IF(SUMIFS('College Data By Year'!H:H,'College Data By Year'!A:A,Table2[[#This Row],[Player Name]])=0,"",SUMIFS('College Data By Year'!H:H,'College Data By Year'!A:A,Table2[[#This Row],[Player Name]]))</f>
        <v>148.69999999999999</v>
      </c>
      <c r="T84" s="7">
        <f>IFERROR(SUMIFS('College Data By Year'!D:D,'College Data By Year'!A:A,Table2[[#This Row],[Player Name]])/SUMIFS('College Data By Year'!E:E,'College Data By Year'!A:A,Table2[[#This Row],[Player Name]]),"")</f>
        <v>2.5925925925925926</v>
      </c>
      <c r="U84" s="7">
        <f>IFERROR(SUMIFS('College Data By Year'!B:B,'College Data By Year'!A:A,Table2[[#This Row],[Player Name]])/SUMIFS('College Data By Year'!I:I,'College Data By Year'!A:A,Table2[[#This Row],[Player Name]]),"")</f>
        <v>8.965217391304348</v>
      </c>
      <c r="V84">
        <f>IF(SUMIFS('College Data By Year'!F:F,'College Data By Year'!A:A,Table2[[#This Row],[Player Name]])=0,"",SUMIFS('College Data By Year'!F:F,'College Data By Year'!A:A,Table2[[#This Row],[Player Name]]))</f>
        <v>8.3000000000000007</v>
      </c>
      <c r="W84">
        <f>IF(SUMIFS('College Data By Year'!G:G,'College Data By Year'!A:A,Table2[[#This Row],[Player Name]])=0,"",SUMIFS('College Data By Year'!G:G,'College Data By Year'!A:A,Table2[[#This Row],[Player Name]]))</f>
        <v>8.5</v>
      </c>
      <c r="X8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2.8795811518324606E-2</v>
      </c>
      <c r="Y84">
        <v>5.12</v>
      </c>
      <c r="Z84">
        <v>9.875</v>
      </c>
      <c r="AA84" t="s">
        <v>229</v>
      </c>
      <c r="AB84">
        <v>208</v>
      </c>
      <c r="AC84">
        <v>26</v>
      </c>
      <c r="AD84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84">
        <f>ROUND(IF(Table2[[#This Row],[Draft Round]]=1,10,IF(Table2[[#This Row],[Draft Round]]=8,0,10/(20.884*EXP(-0.381*1))*(20.884*EXP(-0.381*Table2[[#This Row],[Draft Round]])))),0)</f>
        <v>0</v>
      </c>
      <c r="AF84">
        <f>ROUND(IF(Table2[[#This Row],[College BF Dominator]]&gt;0.3,10,IF(Table2[[#This Row],[College BF Dominator]]&lt;-0.156,0,10/(20.818*0.3+3.2667)*(20.818*Table2[[#This Row],[College BF Dominator]]+3.2667))),0)</f>
        <v>4</v>
      </c>
      <c r="AG84">
        <f>ROUND(IF(Table2[[#This Row],[College PTDR]]&gt;0.085,10,IF(Table2[[#This Row],[College PTDR]]&lt;0.04,0,10/(105.24*0.085-1.7837)*(105.24*Table2[[#This Row],[College PTDR]]-1.7837))),0)</f>
        <v>7</v>
      </c>
      <c r="AH84">
        <f>ROUND(IF(Table2[[#This Row],[College Passer Rating]]&gt;170,10,IF(Table2[[#This Row],[College Passer Rating]]&lt;112.475,0,10/(0.1495*170-16.815)*(0.1495*Table2[[#This Row],[College Passer Rating]]-16.815))),0)</f>
        <v>6</v>
      </c>
      <c r="AI84">
        <f>ROUND(IF(Table2[[#This Row],[PTD:INT]]&gt;4,10,IF(Table2[[#This Row],[PTD:INT]]&lt;1,0,10/(4.7442*LN(4)+0.4256)*(4.7442*LN(Table2[[#This Row],[PTD:INT]])+0.4256))),0)</f>
        <v>7</v>
      </c>
      <c r="AJ84">
        <f>ROUND(IF(Table2[[#This Row],[Patt:Ratt]]&lt;2.5,10,IF(Table2[[#This Row],[Patt:Ratt]]&gt;15,0,10/(-2.684*LN(2.5)+9.0869)*(-2.684*LN(Table2[[#This Row],[Patt:Ratt]])+9.0869))),0)</f>
        <v>5</v>
      </c>
      <c r="AK84">
        <f>ROUND(IF(Table2[[#This Row],[Y/A]]&gt;9.2,10,IF(Table2[[#This Row],[Y/A]]&lt;6.26,0,10/(2.2619*9.2-14.16)*(2.2619*Table2[[#This Row],[Y/A]]-14.16))),0)</f>
        <v>7</v>
      </c>
      <c r="AL84">
        <f>ROUND(IF(Table2[[#This Row],[AY/A]]&gt;10,10,IF(Table2[[#This Row],[AY/A]]&lt;5.51,0,10/(1.6571*10-9.1312)*(1.6571*Table2[[#This Row],[AY/A]]-9.1312))),0)</f>
        <v>7</v>
      </c>
      <c r="AM84">
        <f>ROUND(IF(Table2[[#This Row],[40 Yd Dash]]&lt;4.75,10,IF(Table2[[#This Row],[40 Yd Dash]]&gt;5.191,0,10/(-66.95*LN(4.75)+110.26)*(-66.95*LN(Table2[[#This Row],[40 Yd Dash]])+110.26))),0)</f>
        <v>2</v>
      </c>
      <c r="AN84">
        <f>ROUND(IF(Table2[[#This Row],[Hand Size]]&gt;10.25,10,IF(Table2[[#This Row],[Hand Size]]&lt;9,0,10/(15.49*LN(10.25)-30.577)*(15.49*LN(Table2[[#This Row],[Hand Size]])-30.577))),0)</f>
        <v>9</v>
      </c>
    </row>
    <row r="85" spans="1:40">
      <c r="A85">
        <v>2016</v>
      </c>
      <c r="B85">
        <v>8</v>
      </c>
      <c r="C85" t="s">
        <v>219</v>
      </c>
      <c r="D85" t="s">
        <v>98</v>
      </c>
      <c r="E85">
        <v>5.9</v>
      </c>
      <c r="F85" t="s">
        <v>234</v>
      </c>
      <c r="G85">
        <f>SUMIFS('NFL QB Data By Year'!$Q:$Q,'NFL QB Data By Year'!$D:$D,Table2[[#This Row],[Player Name]],'NFL QB Data By Year'!$B:$B,Table2[[#This Row],[Draft Year]]+G$1)</f>
        <v>0</v>
      </c>
      <c r="H85">
        <f>SUMIFS('NFL QB Data By Year'!$P:$P,'NFL QB Data By Year'!$D:$D,Table2[[#This Row],[Player Name]],'NFL QB Data By Year'!$B:$B,Table2[[#This Row],[Draft Year]]+H$1)</f>
        <v>0</v>
      </c>
      <c r="I85">
        <f>SUMIFS('NFL QB Data By Year'!$Q:$Q,'NFL QB Data By Year'!$D:$D,Table2[[#This Row],[Player Name]],'NFL QB Data By Year'!$B:$B,Table2[[#This Row],[Draft Year]]+I$1)</f>
        <v>0</v>
      </c>
      <c r="J85">
        <f>SUMIFS('NFL QB Data By Year'!$P:$P,'NFL QB Data By Year'!$D:$D,Table2[[#This Row],[Player Name]],'NFL QB Data By Year'!$B:$B,Table2[[#This Row],[Draft Year]]+J$1)</f>
        <v>0</v>
      </c>
      <c r="K85">
        <f>SUMIFS('NFL QB Data By Year'!$Q:$Q,'NFL QB Data By Year'!$D:$D,Table2[[#This Row],[Player Name]],'NFL QB Data By Year'!$B:$B,Table2[[#This Row],[Draft Year]]+K$1)</f>
        <v>0</v>
      </c>
      <c r="L85">
        <f>SUMIFS('NFL QB Data By Year'!$P:$P,'NFL QB Data By Year'!$D:$D,Table2[[#This Row],[Player Name]],'NFL QB Data By Year'!$B:$B,Table2[[#This Row],[Draft Year]]+L$1)</f>
        <v>0</v>
      </c>
      <c r="M85">
        <f>Table2[[#This Row],[Year 1 G]]+Table2[[#This Row],[Year 2 G]]+Table2[[#This Row],[Year 3 G]]</f>
        <v>0</v>
      </c>
      <c r="N85">
        <f>Table2[[#This Row],[Year 1 FPTs]]+Table2[[#This Row],[Year 2 FPTs]]+Table2[[#This Row],[Year 3 FPTs]]</f>
        <v>0</v>
      </c>
      <c r="O85" s="7">
        <f>IFERROR(Table2[[#This Row],[Total FPTs]]/Table2[[#This Row],[Total G]],0)</f>
        <v>0</v>
      </c>
      <c r="P85">
        <v>10</v>
      </c>
      <c r="Q85" s="8">
        <f xml:space="preserve"> IFERROR(SUMIFS('College Data By Year'!J:J,'College Data By Year'!A:A,Table2[[#This Row],[Player Name]])/SUMIFS('College Data By Year'!L:L,'College Data By Year'!A:A,Table2[[#This Row],[Player Name]]),"")</f>
        <v>8.2630401101738676E-3</v>
      </c>
      <c r="R85" s="11">
        <f xml:space="preserve"> IFERROR(SUMIFS('College Data By Year'!D:D,'College Data By Year'!A:A,Table2[[#This Row],[Player Name]])/SUMIFS('College Data By Year'!B:B,'College Data By Year'!A:A,Table2[[#This Row],[Player Name]]),"")</f>
        <v>5.2738336713995942E-2</v>
      </c>
      <c r="S85">
        <f>IF(SUMIFS('College Data By Year'!H:H,'College Data By Year'!A:A,Table2[[#This Row],[Player Name]])=0,"",SUMIFS('College Data By Year'!H:H,'College Data By Year'!A:A,Table2[[#This Row],[Player Name]]))</f>
        <v>143.9</v>
      </c>
      <c r="T85" s="7">
        <f>IFERROR(SUMIFS('College Data By Year'!D:D,'College Data By Year'!A:A,Table2[[#This Row],[Player Name]])/SUMIFS('College Data By Year'!E:E,'College Data By Year'!A:A,Table2[[#This Row],[Player Name]]),"")</f>
        <v>2.8888888888888888</v>
      </c>
      <c r="U85" s="7">
        <f>IFERROR(SUMIFS('College Data By Year'!B:B,'College Data By Year'!A:A,Table2[[#This Row],[Player Name]])/SUMIFS('College Data By Year'!I:I,'College Data By Year'!A:A,Table2[[#This Row],[Player Name]]),"")</f>
        <v>5.4175824175824179</v>
      </c>
      <c r="V85">
        <f>IF(SUMIFS('College Data By Year'!F:F,'College Data By Year'!A:A,Table2[[#This Row],[Player Name]])=0,"",SUMIFS('College Data By Year'!F:F,'College Data By Year'!A:A,Table2[[#This Row],[Player Name]]))</f>
        <v>7.7</v>
      </c>
      <c r="W85">
        <f>IF(SUMIFS('College Data By Year'!G:G,'College Data By Year'!A:A,Table2[[#This Row],[Player Name]])=0,"",SUMIFS('College Data By Year'!G:G,'College Data By Year'!A:A,Table2[[#This Row],[Player Name]]))</f>
        <v>8</v>
      </c>
      <c r="X8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5.650684931506849E-2</v>
      </c>
      <c r="Y85">
        <v>5.13</v>
      </c>
      <c r="Z85">
        <v>9.5</v>
      </c>
      <c r="AA85" t="s">
        <v>225</v>
      </c>
      <c r="AB85">
        <v>236</v>
      </c>
      <c r="AC85">
        <v>28</v>
      </c>
      <c r="AD85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85">
        <f>ROUND(IF(Table2[[#This Row],[Draft Round]]=1,10,IF(Table2[[#This Row],[Draft Round]]=8,0,10/(20.884*EXP(-0.381*1))*(20.884*EXP(-0.381*Table2[[#This Row],[Draft Round]])))),0)</f>
        <v>0</v>
      </c>
      <c r="AF85">
        <f>ROUND(IF(Table2[[#This Row],[College BF Dominator]]&gt;0.3,10,IF(Table2[[#This Row],[College BF Dominator]]&lt;-0.156,0,10/(20.818*0.3+3.2667)*(20.818*Table2[[#This Row],[College BF Dominator]]+3.2667))),0)</f>
        <v>4</v>
      </c>
      <c r="AG85">
        <f>ROUND(IF(Table2[[#This Row],[College PTDR]]&gt;0.085,10,IF(Table2[[#This Row],[College PTDR]]&lt;0.04,0,10/(105.24*0.085-1.7837)*(105.24*Table2[[#This Row],[College PTDR]]-1.7837))),0)</f>
        <v>5</v>
      </c>
      <c r="AH85">
        <f>ROUND(IF(Table2[[#This Row],[College Passer Rating]]&gt;170,10,IF(Table2[[#This Row],[College Passer Rating]]&lt;112.475,0,10/(0.1495*170-16.815)*(0.1495*Table2[[#This Row],[College Passer Rating]]-16.815))),0)</f>
        <v>5</v>
      </c>
      <c r="AI85">
        <f>ROUND(IF(Table2[[#This Row],[PTD:INT]]&gt;4,10,IF(Table2[[#This Row],[PTD:INT]]&lt;1,0,10/(4.7442*LN(4)+0.4256)*(4.7442*LN(Table2[[#This Row],[PTD:INT]])+0.4256))),0)</f>
        <v>8</v>
      </c>
      <c r="AJ85">
        <f>ROUND(IF(Table2[[#This Row],[Patt:Ratt]]&lt;2.5,10,IF(Table2[[#This Row],[Patt:Ratt]]&gt;15,0,10/(-2.684*LN(2.5)+9.0869)*(-2.684*LN(Table2[[#This Row],[Patt:Ratt]])+9.0869))),0)</f>
        <v>7</v>
      </c>
      <c r="AK85">
        <f>ROUND(IF(Table2[[#This Row],[Y/A]]&gt;9.2,10,IF(Table2[[#This Row],[Y/A]]&lt;6.26,0,10/(2.2619*9.2-14.16)*(2.2619*Table2[[#This Row],[Y/A]]-14.16))),0)</f>
        <v>5</v>
      </c>
      <c r="AL85">
        <f>ROUND(IF(Table2[[#This Row],[AY/A]]&gt;10,10,IF(Table2[[#This Row],[AY/A]]&lt;5.51,0,10/(1.6571*10-9.1312)*(1.6571*Table2[[#This Row],[AY/A]]-9.1312))),0)</f>
        <v>6</v>
      </c>
      <c r="AM85">
        <f>ROUND(IF(Table2[[#This Row],[40 Yd Dash]]&lt;4.75,10,IF(Table2[[#This Row],[40 Yd Dash]]&gt;5.191,0,10/(-66.95*LN(4.75)+110.26)*(-66.95*LN(Table2[[#This Row],[40 Yd Dash]])+110.26))),0)</f>
        <v>1</v>
      </c>
      <c r="AN85">
        <f>ROUND(IF(Table2[[#This Row],[Hand Size]]&gt;10.25,10,IF(Table2[[#This Row],[Hand Size]]&lt;9,0,10/(15.49*LN(10.25)-30.577)*(15.49*LN(Table2[[#This Row],[Hand Size]])-30.577))),0)</f>
        <v>8</v>
      </c>
    </row>
    <row r="86" spans="1:40">
      <c r="A86">
        <v>2015</v>
      </c>
      <c r="B86">
        <v>8</v>
      </c>
      <c r="C86" t="s">
        <v>219</v>
      </c>
      <c r="D86" t="s">
        <v>100</v>
      </c>
      <c r="E86">
        <v>5.4</v>
      </c>
      <c r="F86" t="s">
        <v>237</v>
      </c>
      <c r="G86">
        <f>SUMIFS('NFL QB Data By Year'!$Q:$Q,'NFL QB Data By Year'!$D:$D,Table2[[#This Row],[Player Name]],'NFL QB Data By Year'!$B:$B,Table2[[#This Row],[Draft Year]]+G$1)</f>
        <v>0</v>
      </c>
      <c r="H86">
        <f>SUMIFS('NFL QB Data By Year'!$P:$P,'NFL QB Data By Year'!$D:$D,Table2[[#This Row],[Player Name]],'NFL QB Data By Year'!$B:$B,Table2[[#This Row],[Draft Year]]+H$1)</f>
        <v>0</v>
      </c>
      <c r="I86">
        <f>SUMIFS('NFL QB Data By Year'!$Q:$Q,'NFL QB Data By Year'!$D:$D,Table2[[#This Row],[Player Name]],'NFL QB Data By Year'!$B:$B,Table2[[#This Row],[Draft Year]]+I$1)</f>
        <v>0</v>
      </c>
      <c r="J86">
        <f>SUMIFS('NFL QB Data By Year'!$P:$P,'NFL QB Data By Year'!$D:$D,Table2[[#This Row],[Player Name]],'NFL QB Data By Year'!$B:$B,Table2[[#This Row],[Draft Year]]+J$1)</f>
        <v>0</v>
      </c>
      <c r="K86">
        <f>SUMIFS('NFL QB Data By Year'!$Q:$Q,'NFL QB Data By Year'!$D:$D,Table2[[#This Row],[Player Name]],'NFL QB Data By Year'!$B:$B,Table2[[#This Row],[Draft Year]]+K$1)</f>
        <v>0</v>
      </c>
      <c r="L86">
        <f>SUMIFS('NFL QB Data By Year'!$P:$P,'NFL QB Data By Year'!$D:$D,Table2[[#This Row],[Player Name]],'NFL QB Data By Year'!$B:$B,Table2[[#This Row],[Draft Year]]+L$1)</f>
        <v>0</v>
      </c>
      <c r="M86">
        <f>Table2[[#This Row],[Year 1 G]]+Table2[[#This Row],[Year 2 G]]+Table2[[#This Row],[Year 3 G]]</f>
        <v>0</v>
      </c>
      <c r="N86">
        <f>Table2[[#This Row],[Year 1 FPTs]]+Table2[[#This Row],[Year 2 FPTs]]+Table2[[#This Row],[Year 3 FPTs]]</f>
        <v>0</v>
      </c>
      <c r="O86" s="7">
        <f>IFERROR(Table2[[#This Row],[Total FPTs]]/Table2[[#This Row],[Total G]],0)</f>
        <v>0</v>
      </c>
      <c r="P86">
        <v>10</v>
      </c>
      <c r="Q86" s="8">
        <f xml:space="preserve"> IFERROR(SUMIFS('College Data By Year'!J:J,'College Data By Year'!A:A,Table2[[#This Row],[Player Name]])/SUMIFS('College Data By Year'!L:L,'College Data By Year'!A:A,Table2[[#This Row],[Player Name]]),"")</f>
        <v>-5.1488003295232208E-4</v>
      </c>
      <c r="R86" s="11">
        <f xml:space="preserve"> IFERROR(SUMIFS('College Data By Year'!D:D,'College Data By Year'!A:A,Table2[[#This Row],[Player Name]])/SUMIFS('College Data By Year'!B:B,'College Data By Year'!A:A,Table2[[#This Row],[Player Name]]),"")</f>
        <v>6.6820276497695855E-2</v>
      </c>
      <c r="S86">
        <f>IF(SUMIFS('College Data By Year'!H:H,'College Data By Year'!A:A,Table2[[#This Row],[Player Name]])=0,"",SUMIFS('College Data By Year'!H:H,'College Data By Year'!A:A,Table2[[#This Row],[Player Name]]))</f>
        <v>151.4</v>
      </c>
      <c r="T86" s="7">
        <f>IFERROR(SUMIFS('College Data By Year'!D:D,'College Data By Year'!A:A,Table2[[#This Row],[Player Name]])/SUMIFS('College Data By Year'!E:E,'College Data By Year'!A:A,Table2[[#This Row],[Player Name]]),"")</f>
        <v>4.1428571428571432</v>
      </c>
      <c r="U86" s="7">
        <f>IFERROR(SUMIFS('College Data By Year'!B:B,'College Data By Year'!A:A,Table2[[#This Row],[Player Name]])/SUMIFS('College Data By Year'!I:I,'College Data By Year'!A:A,Table2[[#This Row],[Player Name]]),"")</f>
        <v>5.9452054794520546</v>
      </c>
      <c r="V86">
        <f>IF(SUMIFS('College Data By Year'!F:F,'College Data By Year'!A:A,Table2[[#This Row],[Player Name]])=0,"",SUMIFS('College Data By Year'!F:F,'College Data By Year'!A:A,Table2[[#This Row],[Player Name]]))</f>
        <v>8</v>
      </c>
      <c r="W86">
        <f>IF(SUMIFS('College Data By Year'!G:G,'College Data By Year'!A:A,Table2[[#This Row],[Player Name]])=0,"",SUMIFS('College Data By Year'!G:G,'College Data By Year'!A:A,Table2[[#This Row],[Player Name]]))</f>
        <v>8.6999999999999993</v>
      </c>
      <c r="X8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5.3254437869822487E-2</v>
      </c>
      <c r="Y86">
        <v>4.79</v>
      </c>
      <c r="Z86">
        <v>9.5</v>
      </c>
      <c r="AA86" t="s">
        <v>240</v>
      </c>
      <c r="AB86">
        <v>207</v>
      </c>
      <c r="AC86">
        <v>26.8</v>
      </c>
      <c r="AD86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86">
        <f>ROUND(IF(Table2[[#This Row],[Draft Round]]=1,10,IF(Table2[[#This Row],[Draft Round]]=8,0,10/(20.884*EXP(-0.381*1))*(20.884*EXP(-0.381*Table2[[#This Row],[Draft Round]])))),0)</f>
        <v>0</v>
      </c>
      <c r="AF86">
        <f>ROUND(IF(Table2[[#This Row],[College BF Dominator]]&gt;0.3,10,IF(Table2[[#This Row],[College BF Dominator]]&lt;-0.156,0,10/(20.818*0.3+3.2667)*(20.818*Table2[[#This Row],[College BF Dominator]]+3.2667))),0)</f>
        <v>3</v>
      </c>
      <c r="AG86">
        <f>ROUND(IF(Table2[[#This Row],[College PTDR]]&gt;0.085,10,IF(Table2[[#This Row],[College PTDR]]&lt;0.04,0,10/(105.24*0.085-1.7837)*(105.24*Table2[[#This Row],[College PTDR]]-1.7837))),0)</f>
        <v>7</v>
      </c>
      <c r="AH86">
        <f>ROUND(IF(Table2[[#This Row],[College Passer Rating]]&gt;170,10,IF(Table2[[#This Row],[College Passer Rating]]&lt;112.475,0,10/(0.1495*170-16.815)*(0.1495*Table2[[#This Row],[College Passer Rating]]-16.815))),0)</f>
        <v>7</v>
      </c>
      <c r="AI86">
        <f>ROUND(IF(Table2[[#This Row],[PTD:INT]]&gt;4,10,IF(Table2[[#This Row],[PTD:INT]]&lt;1,0,10/(4.7442*LN(4)+0.4256)*(4.7442*LN(Table2[[#This Row],[PTD:INT]])+0.4256))),0)</f>
        <v>10</v>
      </c>
      <c r="AJ86">
        <f>ROUND(IF(Table2[[#This Row],[Patt:Ratt]]&lt;2.5,10,IF(Table2[[#This Row],[Patt:Ratt]]&gt;15,0,10/(-2.684*LN(2.5)+9.0869)*(-2.684*LN(Table2[[#This Row],[Patt:Ratt]])+9.0869))),0)</f>
        <v>6</v>
      </c>
      <c r="AK86">
        <f>ROUND(IF(Table2[[#This Row],[Y/A]]&gt;9.2,10,IF(Table2[[#This Row],[Y/A]]&lt;6.26,0,10/(2.2619*9.2-14.16)*(2.2619*Table2[[#This Row],[Y/A]]-14.16))),0)</f>
        <v>6</v>
      </c>
      <c r="AL86">
        <f>ROUND(IF(Table2[[#This Row],[AY/A]]&gt;10,10,IF(Table2[[#This Row],[AY/A]]&lt;5.51,0,10/(1.6571*10-9.1312)*(1.6571*Table2[[#This Row],[AY/A]]-9.1312))),0)</f>
        <v>7</v>
      </c>
      <c r="AM86">
        <f>ROUND(IF(Table2[[#This Row],[40 Yd Dash]]&lt;4.75,10,IF(Table2[[#This Row],[40 Yd Dash]]&gt;5.191,0,10/(-66.95*LN(4.75)+110.26)*(-66.95*LN(Table2[[#This Row],[40 Yd Dash]])+110.26))),0)</f>
        <v>9</v>
      </c>
      <c r="AN86">
        <f>ROUND(IF(Table2[[#This Row],[Hand Size]]&gt;10.25,10,IF(Table2[[#This Row],[Hand Size]]&lt;9,0,10/(15.49*LN(10.25)-30.577)*(15.49*LN(Table2[[#This Row],[Hand Size]])-30.577))),0)</f>
        <v>8</v>
      </c>
    </row>
    <row r="87" spans="1:40">
      <c r="A87">
        <v>2015</v>
      </c>
      <c r="B87">
        <v>8</v>
      </c>
      <c r="C87" t="s">
        <v>219</v>
      </c>
      <c r="D87" t="s">
        <v>114</v>
      </c>
      <c r="E87">
        <v>5.0999999999999996</v>
      </c>
      <c r="F87" t="s">
        <v>237</v>
      </c>
      <c r="G87">
        <f>SUMIFS('NFL QB Data By Year'!$Q:$Q,'NFL QB Data By Year'!$D:$D,Table2[[#This Row],[Player Name]],'NFL QB Data By Year'!$B:$B,Table2[[#This Row],[Draft Year]]+G$1)</f>
        <v>0</v>
      </c>
      <c r="H87">
        <f>SUMIFS('NFL QB Data By Year'!$P:$P,'NFL QB Data By Year'!$D:$D,Table2[[#This Row],[Player Name]],'NFL QB Data By Year'!$B:$B,Table2[[#This Row],[Draft Year]]+H$1)</f>
        <v>0</v>
      </c>
      <c r="I87">
        <f>SUMIFS('NFL QB Data By Year'!$Q:$Q,'NFL QB Data By Year'!$D:$D,Table2[[#This Row],[Player Name]],'NFL QB Data By Year'!$B:$B,Table2[[#This Row],[Draft Year]]+I$1)</f>
        <v>0</v>
      </c>
      <c r="J87">
        <f>SUMIFS('NFL QB Data By Year'!$P:$P,'NFL QB Data By Year'!$D:$D,Table2[[#This Row],[Player Name]],'NFL QB Data By Year'!$B:$B,Table2[[#This Row],[Draft Year]]+J$1)</f>
        <v>0</v>
      </c>
      <c r="K87">
        <f>SUMIFS('NFL QB Data By Year'!$Q:$Q,'NFL QB Data By Year'!$D:$D,Table2[[#This Row],[Player Name]],'NFL QB Data By Year'!$B:$B,Table2[[#This Row],[Draft Year]]+K$1)</f>
        <v>0</v>
      </c>
      <c r="L87">
        <f>SUMIFS('NFL QB Data By Year'!$P:$P,'NFL QB Data By Year'!$D:$D,Table2[[#This Row],[Player Name]],'NFL QB Data By Year'!$B:$B,Table2[[#This Row],[Draft Year]]+L$1)</f>
        <v>0</v>
      </c>
      <c r="M87">
        <f>Table2[[#This Row],[Year 1 G]]+Table2[[#This Row],[Year 2 G]]+Table2[[#This Row],[Year 3 G]]</f>
        <v>0</v>
      </c>
      <c r="N87">
        <f>Table2[[#This Row],[Year 1 FPTs]]+Table2[[#This Row],[Year 2 FPTs]]+Table2[[#This Row],[Year 3 FPTs]]</f>
        <v>0</v>
      </c>
      <c r="O87" s="7">
        <f>IFERROR(Table2[[#This Row],[Total FPTs]]/Table2[[#This Row],[Total G]],0)</f>
        <v>0</v>
      </c>
      <c r="P87">
        <v>10</v>
      </c>
      <c r="Q87" s="8">
        <f xml:space="preserve"> IFERROR(SUMIFS('College Data By Year'!J:J,'College Data By Year'!A:A,Table2[[#This Row],[Player Name]])/SUMIFS('College Data By Year'!L:L,'College Data By Year'!A:A,Table2[[#This Row],[Player Name]]),"")</f>
        <v>-6.6889632107023408E-4</v>
      </c>
      <c r="R87" s="11">
        <f xml:space="preserve"> IFERROR(SUMIFS('College Data By Year'!D:D,'College Data By Year'!A:A,Table2[[#This Row],[Player Name]])/SUMIFS('College Data By Year'!B:B,'College Data By Year'!A:A,Table2[[#This Row],[Player Name]]),"")</f>
        <v>5.9790732436472344E-2</v>
      </c>
      <c r="S87">
        <f>IF(SUMIFS('College Data By Year'!H:H,'College Data By Year'!A:A,Table2[[#This Row],[Player Name]])=0,"",SUMIFS('College Data By Year'!H:H,'College Data By Year'!A:A,Table2[[#This Row],[Player Name]]))</f>
        <v>140.9</v>
      </c>
      <c r="T87" s="7">
        <f>IFERROR(SUMIFS('College Data By Year'!D:D,'College Data By Year'!A:A,Table2[[#This Row],[Player Name]])/SUMIFS('College Data By Year'!E:E,'College Data By Year'!A:A,Table2[[#This Row],[Player Name]]),"")</f>
        <v>2.5</v>
      </c>
      <c r="U87" s="7">
        <f>IFERROR(SUMIFS('College Data By Year'!B:B,'College Data By Year'!A:A,Table2[[#This Row],[Player Name]])/SUMIFS('College Data By Year'!I:I,'College Data By Year'!A:A,Table2[[#This Row],[Player Name]]),"")</f>
        <v>5.4836065573770494</v>
      </c>
      <c r="V87">
        <f>IF(SUMIFS('College Data By Year'!F:F,'College Data By Year'!A:A,Table2[[#This Row],[Player Name]])=0,"",SUMIFS('College Data By Year'!F:F,'College Data By Year'!A:A,Table2[[#This Row],[Player Name]]))</f>
        <v>8.1</v>
      </c>
      <c r="W87">
        <f>IF(SUMIFS('College Data By Year'!G:G,'College Data By Year'!A:A,Table2[[#This Row],[Player Name]])=0,"",SUMIFS('College Data By Year'!G:G,'College Data By Year'!A:A,Table2[[#This Row],[Player Name]]))</f>
        <v>8.1999999999999993</v>
      </c>
      <c r="X8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5.1833122629582805E-2</v>
      </c>
      <c r="Y87">
        <v>4.79</v>
      </c>
      <c r="Z87">
        <v>9.125</v>
      </c>
      <c r="AA87" t="s">
        <v>221</v>
      </c>
      <c r="AB87">
        <v>217</v>
      </c>
      <c r="AC87">
        <v>27.9</v>
      </c>
      <c r="AD87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87">
        <f>ROUND(IF(Table2[[#This Row],[Draft Round]]=1,10,IF(Table2[[#This Row],[Draft Round]]=8,0,10/(20.884*EXP(-0.381*1))*(20.884*EXP(-0.381*Table2[[#This Row],[Draft Round]])))),0)</f>
        <v>0</v>
      </c>
      <c r="AF87">
        <f>ROUND(IF(Table2[[#This Row],[College BF Dominator]]&gt;0.3,10,IF(Table2[[#This Row],[College BF Dominator]]&lt;-0.156,0,10/(20.818*0.3+3.2667)*(20.818*Table2[[#This Row],[College BF Dominator]]+3.2667))),0)</f>
        <v>3</v>
      </c>
      <c r="AG87">
        <f>ROUND(IF(Table2[[#This Row],[College PTDR]]&gt;0.085,10,IF(Table2[[#This Row],[College PTDR]]&lt;0.04,0,10/(105.24*0.085-1.7837)*(105.24*Table2[[#This Row],[College PTDR]]-1.7837))),0)</f>
        <v>6</v>
      </c>
      <c r="AH87">
        <f>ROUND(IF(Table2[[#This Row],[College Passer Rating]]&gt;170,10,IF(Table2[[#This Row],[College Passer Rating]]&lt;112.475,0,10/(0.1495*170-16.815)*(0.1495*Table2[[#This Row],[College Passer Rating]]-16.815))),0)</f>
        <v>5</v>
      </c>
      <c r="AI87">
        <f>ROUND(IF(Table2[[#This Row],[PTD:INT]]&gt;4,10,IF(Table2[[#This Row],[PTD:INT]]&lt;1,0,10/(4.7442*LN(4)+0.4256)*(4.7442*LN(Table2[[#This Row],[PTD:INT]])+0.4256))),0)</f>
        <v>7</v>
      </c>
      <c r="AJ87">
        <f>ROUND(IF(Table2[[#This Row],[Patt:Ratt]]&lt;2.5,10,IF(Table2[[#This Row],[Patt:Ratt]]&gt;15,0,10/(-2.684*LN(2.5)+9.0869)*(-2.684*LN(Table2[[#This Row],[Patt:Ratt]])+9.0869))),0)</f>
        <v>7</v>
      </c>
      <c r="AK87">
        <f>ROUND(IF(Table2[[#This Row],[Y/A]]&gt;9.2,10,IF(Table2[[#This Row],[Y/A]]&lt;6.26,0,10/(2.2619*9.2-14.16)*(2.2619*Table2[[#This Row],[Y/A]]-14.16))),0)</f>
        <v>6</v>
      </c>
      <c r="AL87">
        <f>ROUND(IF(Table2[[#This Row],[AY/A]]&gt;10,10,IF(Table2[[#This Row],[AY/A]]&lt;5.51,0,10/(1.6571*10-9.1312)*(1.6571*Table2[[#This Row],[AY/A]]-9.1312))),0)</f>
        <v>6</v>
      </c>
      <c r="AM87">
        <f>ROUND(IF(Table2[[#This Row],[40 Yd Dash]]&lt;4.75,10,IF(Table2[[#This Row],[40 Yd Dash]]&gt;5.191,0,10/(-66.95*LN(4.75)+110.26)*(-66.95*LN(Table2[[#This Row],[40 Yd Dash]])+110.26))),0)</f>
        <v>9</v>
      </c>
      <c r="AN87">
        <f>ROUND(IF(Table2[[#This Row],[Hand Size]]&gt;10.25,10,IF(Table2[[#This Row],[Hand Size]]&lt;9,0,10/(15.49*LN(10.25)-30.577)*(15.49*LN(Table2[[#This Row],[Hand Size]])-30.577))),0)</f>
        <v>7</v>
      </c>
    </row>
    <row r="88" spans="1:40">
      <c r="A88">
        <v>2018</v>
      </c>
      <c r="B88">
        <v>8</v>
      </c>
      <c r="C88" t="s">
        <v>219</v>
      </c>
      <c r="D88" t="s">
        <v>99</v>
      </c>
      <c r="E88">
        <v>5.4</v>
      </c>
      <c r="F88" t="s">
        <v>237</v>
      </c>
      <c r="G88">
        <f>SUMIFS('NFL QB Data By Year'!$Q:$Q,'NFL QB Data By Year'!$D:$D,Table2[[#This Row],[Player Name]],'NFL QB Data By Year'!$B:$B,Table2[[#This Row],[Draft Year]]+G$1)</f>
        <v>0</v>
      </c>
      <c r="H88">
        <f>SUMIFS('NFL QB Data By Year'!$P:$P,'NFL QB Data By Year'!$D:$D,Table2[[#This Row],[Player Name]],'NFL QB Data By Year'!$B:$B,Table2[[#This Row],[Draft Year]]+H$1)</f>
        <v>0</v>
      </c>
      <c r="I88">
        <f>SUMIFS('NFL QB Data By Year'!$Q:$Q,'NFL QB Data By Year'!$D:$D,Table2[[#This Row],[Player Name]],'NFL QB Data By Year'!$B:$B,Table2[[#This Row],[Draft Year]]+I$1)</f>
        <v>0</v>
      </c>
      <c r="J88">
        <f>SUMIFS('NFL QB Data By Year'!$P:$P,'NFL QB Data By Year'!$D:$D,Table2[[#This Row],[Player Name]],'NFL QB Data By Year'!$B:$B,Table2[[#This Row],[Draft Year]]+J$1)</f>
        <v>0</v>
      </c>
      <c r="K88">
        <f>SUMIFS('NFL QB Data By Year'!$Q:$Q,'NFL QB Data By Year'!$D:$D,Table2[[#This Row],[Player Name]],'NFL QB Data By Year'!$B:$B,Table2[[#This Row],[Draft Year]]+K$1)</f>
        <v>0</v>
      </c>
      <c r="L88">
        <f>SUMIFS('NFL QB Data By Year'!$P:$P,'NFL QB Data By Year'!$D:$D,Table2[[#This Row],[Player Name]],'NFL QB Data By Year'!$B:$B,Table2[[#This Row],[Draft Year]]+L$1)</f>
        <v>0</v>
      </c>
      <c r="M88">
        <f>Table2[[#This Row],[Year 1 G]]+Table2[[#This Row],[Year 2 G]]+Table2[[#This Row],[Year 3 G]]</f>
        <v>0</v>
      </c>
      <c r="N88">
        <f>Table2[[#This Row],[Year 1 FPTs]]+Table2[[#This Row],[Year 2 FPTs]]+Table2[[#This Row],[Year 3 FPTs]]</f>
        <v>0</v>
      </c>
      <c r="O88" s="7">
        <f>IFERROR(Table2[[#This Row],[Total FPTs]]/Table2[[#This Row],[Total G]],0)</f>
        <v>0</v>
      </c>
      <c r="P88">
        <v>10</v>
      </c>
      <c r="Q88" s="8">
        <f xml:space="preserve"> IFERROR(SUMIFS('College Data By Year'!J:J,'College Data By Year'!A:A,Table2[[#This Row],[Player Name]])/SUMIFS('College Data By Year'!L:L,'College Data By Year'!A:A,Table2[[#This Row],[Player Name]]),"")</f>
        <v>-4.6683231684361117E-3</v>
      </c>
      <c r="R88" s="11">
        <f xml:space="preserve"> IFERROR(SUMIFS('College Data By Year'!D:D,'College Data By Year'!A:A,Table2[[#This Row],[Player Name]])/SUMIFS('College Data By Year'!B:B,'College Data By Year'!A:A,Table2[[#This Row],[Player Name]]),"")</f>
        <v>8.7349397590361449E-2</v>
      </c>
      <c r="S88">
        <f>IF(SUMIFS('College Data By Year'!H:H,'College Data By Year'!A:A,Table2[[#This Row],[Player Name]])=0,"",SUMIFS('College Data By Year'!H:H,'College Data By Year'!A:A,Table2[[#This Row],[Player Name]]))</f>
        <v>155.9331325301205</v>
      </c>
      <c r="T88" s="7">
        <f>IFERROR(SUMIFS('College Data By Year'!D:D,'College Data By Year'!A:A,Table2[[#This Row],[Player Name]])/SUMIFS('College Data By Year'!E:E,'College Data By Year'!A:A,Table2[[#This Row],[Player Name]]),"")</f>
        <v>3.7419354838709675</v>
      </c>
      <c r="U88" s="7">
        <f>IFERROR(SUMIFS('College Data By Year'!B:B,'College Data By Year'!A:A,Table2[[#This Row],[Player Name]])/SUMIFS('College Data By Year'!I:I,'College Data By Year'!A:A,Table2[[#This Row],[Player Name]]),"")</f>
        <v>26.03921568627451</v>
      </c>
      <c r="V88">
        <f>IF(SUMIFS('College Data By Year'!F:F,'College Data By Year'!A:A,Table2[[#This Row],[Player Name]])=0,"",SUMIFS('College Data By Year'!F:F,'College Data By Year'!A:A,Table2[[#This Row],[Player Name]]))</f>
        <v>8.6506024096385534</v>
      </c>
      <c r="W88">
        <f>IF(SUMIFS('College Data By Year'!G:G,'College Data By Year'!A:A,Table2[[#This Row],[Player Name]])=0,"",SUMIFS('College Data By Year'!G:G,'College Data By Year'!A:A,Table2[[#This Row],[Player Name]]))</f>
        <v>9.3471385542168655</v>
      </c>
      <c r="X8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4.1334300217548949E-2</v>
      </c>
      <c r="Y88">
        <v>4.87</v>
      </c>
      <c r="Z88">
        <v>9.125</v>
      </c>
      <c r="AA88" t="s">
        <v>221</v>
      </c>
      <c r="AB88">
        <v>225</v>
      </c>
      <c r="AC88">
        <v>28.9</v>
      </c>
      <c r="AD88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88">
        <f>ROUND(IF(Table2[[#This Row],[Draft Round]]=1,10,IF(Table2[[#This Row],[Draft Round]]=8,0,10/(20.884*EXP(-0.381*1))*(20.884*EXP(-0.381*Table2[[#This Row],[Draft Round]])))),0)</f>
        <v>0</v>
      </c>
      <c r="AF88">
        <f>ROUND(IF(Table2[[#This Row],[College BF Dominator]]&gt;0.3,10,IF(Table2[[#This Row],[College BF Dominator]]&lt;-0.156,0,10/(20.818*0.3+3.2667)*(20.818*Table2[[#This Row],[College BF Dominator]]+3.2667))),0)</f>
        <v>3</v>
      </c>
      <c r="AG88">
        <f>ROUND(IF(Table2[[#This Row],[College PTDR]]&gt;0.085,10,IF(Table2[[#This Row],[College PTDR]]&lt;0.04,0,10/(105.24*0.085-1.7837)*(105.24*Table2[[#This Row],[College PTDR]]-1.7837))),0)</f>
        <v>10</v>
      </c>
      <c r="AH88">
        <f>ROUND(IF(Table2[[#This Row],[College Passer Rating]]&gt;170,10,IF(Table2[[#This Row],[College Passer Rating]]&lt;112.475,0,10/(0.1495*170-16.815)*(0.1495*Table2[[#This Row],[College Passer Rating]]-16.815))),0)</f>
        <v>8</v>
      </c>
      <c r="AI88">
        <f>ROUND(IF(Table2[[#This Row],[PTD:INT]]&gt;4,10,IF(Table2[[#This Row],[PTD:INT]]&lt;1,0,10/(4.7442*LN(4)+0.4256)*(4.7442*LN(Table2[[#This Row],[PTD:INT]])+0.4256))),0)</f>
        <v>10</v>
      </c>
      <c r="AJ88">
        <f>ROUND(IF(Table2[[#This Row],[Patt:Ratt]]&lt;2.5,10,IF(Table2[[#This Row],[Patt:Ratt]]&gt;15,0,10/(-2.684*LN(2.5)+9.0869)*(-2.684*LN(Table2[[#This Row],[Patt:Ratt]])+9.0869))),0)</f>
        <v>0</v>
      </c>
      <c r="AK88">
        <f>ROUND(IF(Table2[[#This Row],[Y/A]]&gt;9.2,10,IF(Table2[[#This Row],[Y/A]]&lt;6.26,0,10/(2.2619*9.2-14.16)*(2.2619*Table2[[#This Row],[Y/A]]-14.16))),0)</f>
        <v>8</v>
      </c>
      <c r="AL88">
        <f>ROUND(IF(Table2[[#This Row],[AY/A]]&gt;10,10,IF(Table2[[#This Row],[AY/A]]&lt;5.51,0,10/(1.6571*10-9.1312)*(1.6571*Table2[[#This Row],[AY/A]]-9.1312))),0)</f>
        <v>9</v>
      </c>
      <c r="AM88">
        <f>ROUND(IF(Table2[[#This Row],[40 Yd Dash]]&lt;4.75,10,IF(Table2[[#This Row],[40 Yd Dash]]&gt;5.191,0,10/(-66.95*LN(4.75)+110.26)*(-66.95*LN(Table2[[#This Row],[40 Yd Dash]])+110.26))),0)</f>
        <v>7</v>
      </c>
      <c r="AN88">
        <f>ROUND(IF(Table2[[#This Row],[Hand Size]]&gt;10.25,10,IF(Table2[[#This Row],[Hand Size]]&lt;9,0,10/(15.49*LN(10.25)-30.577)*(15.49*LN(Table2[[#This Row],[Hand Size]])-30.577))),0)</f>
        <v>7</v>
      </c>
    </row>
    <row r="89" spans="1:40">
      <c r="A89">
        <v>2018</v>
      </c>
      <c r="B89">
        <v>8</v>
      </c>
      <c r="C89" t="s">
        <v>219</v>
      </c>
      <c r="D89" t="s">
        <v>93</v>
      </c>
      <c r="E89">
        <v>5.6</v>
      </c>
      <c r="F89" t="s">
        <v>236</v>
      </c>
      <c r="G89">
        <f>SUMIFS('NFL QB Data By Year'!$Q:$Q,'NFL QB Data By Year'!$D:$D,Table2[[#This Row],[Player Name]],'NFL QB Data By Year'!$B:$B,Table2[[#This Row],[Draft Year]]+G$1)</f>
        <v>0</v>
      </c>
      <c r="H89">
        <f>SUMIFS('NFL QB Data By Year'!$P:$P,'NFL QB Data By Year'!$D:$D,Table2[[#This Row],[Player Name]],'NFL QB Data By Year'!$B:$B,Table2[[#This Row],[Draft Year]]+H$1)</f>
        <v>0</v>
      </c>
      <c r="I89">
        <f>SUMIFS('NFL QB Data By Year'!$Q:$Q,'NFL QB Data By Year'!$D:$D,Table2[[#This Row],[Player Name]],'NFL QB Data By Year'!$B:$B,Table2[[#This Row],[Draft Year]]+I$1)</f>
        <v>0</v>
      </c>
      <c r="J89">
        <f>SUMIFS('NFL QB Data By Year'!$P:$P,'NFL QB Data By Year'!$D:$D,Table2[[#This Row],[Player Name]],'NFL QB Data By Year'!$B:$B,Table2[[#This Row],[Draft Year]]+J$1)</f>
        <v>0</v>
      </c>
      <c r="K89">
        <f>SUMIFS('NFL QB Data By Year'!$Q:$Q,'NFL QB Data By Year'!$D:$D,Table2[[#This Row],[Player Name]],'NFL QB Data By Year'!$B:$B,Table2[[#This Row],[Draft Year]]+K$1)</f>
        <v>0</v>
      </c>
      <c r="L89">
        <f>SUMIFS('NFL QB Data By Year'!$P:$P,'NFL QB Data By Year'!$D:$D,Table2[[#This Row],[Player Name]],'NFL QB Data By Year'!$B:$B,Table2[[#This Row],[Draft Year]]+L$1)</f>
        <v>0</v>
      </c>
      <c r="M89">
        <f>Table2[[#This Row],[Year 1 G]]+Table2[[#This Row],[Year 2 G]]+Table2[[#This Row],[Year 3 G]]</f>
        <v>0</v>
      </c>
      <c r="N89">
        <f>Table2[[#This Row],[Year 1 FPTs]]+Table2[[#This Row],[Year 2 FPTs]]+Table2[[#This Row],[Year 3 FPTs]]</f>
        <v>0</v>
      </c>
      <c r="O89" s="7">
        <f>IFERROR(Table2[[#This Row],[Total FPTs]]/Table2[[#This Row],[Total G]],0)</f>
        <v>0</v>
      </c>
      <c r="P89">
        <v>10</v>
      </c>
      <c r="Q89" s="8">
        <f xml:space="preserve"> IFERROR(SUMIFS('College Data By Year'!J:J,'College Data By Year'!A:A,Table2[[#This Row],[Player Name]])/SUMIFS('College Data By Year'!L:L,'College Data By Year'!A:A,Table2[[#This Row],[Player Name]]),"")</f>
        <v>-1.0360457586876754E-2</v>
      </c>
      <c r="R89" s="11">
        <f xml:space="preserve"> IFERROR(SUMIFS('College Data By Year'!D:D,'College Data By Year'!A:A,Table2[[#This Row],[Player Name]])/SUMIFS('College Data By Year'!B:B,'College Data By Year'!A:A,Table2[[#This Row],[Player Name]]),"")</f>
        <v>7.6335877862595422E-2</v>
      </c>
      <c r="S89">
        <f>IF(SUMIFS('College Data By Year'!H:H,'College Data By Year'!A:A,Table2[[#This Row],[Player Name]])=0,"",SUMIFS('College Data By Year'!H:H,'College Data By Year'!A:A,Table2[[#This Row],[Player Name]]))</f>
        <v>157.1</v>
      </c>
      <c r="T89" s="7">
        <f>IFERROR(SUMIFS('College Data By Year'!D:D,'College Data By Year'!A:A,Table2[[#This Row],[Player Name]])/SUMIFS('College Data By Year'!E:E,'College Data By Year'!A:A,Table2[[#This Row],[Player Name]]),"")</f>
        <v>3.6842105263157894</v>
      </c>
      <c r="U89" s="7">
        <f>IFERROR(SUMIFS('College Data By Year'!B:B,'College Data By Year'!A:A,Table2[[#This Row],[Player Name]])/SUMIFS('College Data By Year'!I:I,'College Data By Year'!A:A,Table2[[#This Row],[Player Name]]),"")</f>
        <v>7.3360000000000003</v>
      </c>
      <c r="V89">
        <f>IF(SUMIFS('College Data By Year'!F:F,'College Data By Year'!A:A,Table2[[#This Row],[Player Name]])=0,"",SUMIFS('College Data By Year'!F:F,'College Data By Year'!A:A,Table2[[#This Row],[Player Name]]))</f>
        <v>8.6999999999999993</v>
      </c>
      <c r="W89">
        <f>IF(SUMIFS('College Data By Year'!G:G,'College Data By Year'!A:A,Table2[[#This Row],[Player Name]])=0,"",SUMIFS('College Data By Year'!G:G,'College Data By Year'!A:A,Table2[[#This Row],[Player Name]]))</f>
        <v>9.3000000000000007</v>
      </c>
      <c r="X89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5.1823416506717852E-2</v>
      </c>
      <c r="Y89">
        <v>4.9800000000000004</v>
      </c>
      <c r="Z89">
        <v>9.625</v>
      </c>
      <c r="AA89" t="s">
        <v>229</v>
      </c>
      <c r="AB89">
        <v>212</v>
      </c>
      <c r="AC89">
        <v>26.5</v>
      </c>
      <c r="AD89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89">
        <f>ROUND(IF(Table2[[#This Row],[Draft Round]]=1,10,IF(Table2[[#This Row],[Draft Round]]=8,0,10/(20.884*EXP(-0.381*1))*(20.884*EXP(-0.381*Table2[[#This Row],[Draft Round]])))),0)</f>
        <v>0</v>
      </c>
      <c r="AF89">
        <f>ROUND(IF(Table2[[#This Row],[College BF Dominator]]&gt;0.3,10,IF(Table2[[#This Row],[College BF Dominator]]&lt;-0.156,0,10/(20.818*0.3+3.2667)*(20.818*Table2[[#This Row],[College BF Dominator]]+3.2667))),0)</f>
        <v>3</v>
      </c>
      <c r="AG89">
        <f>ROUND(IF(Table2[[#This Row],[College PTDR]]&gt;0.085,10,IF(Table2[[#This Row],[College PTDR]]&lt;0.04,0,10/(105.24*0.085-1.7837)*(105.24*Table2[[#This Row],[College PTDR]]-1.7837))),0)</f>
        <v>9</v>
      </c>
      <c r="AH89">
        <f>ROUND(IF(Table2[[#This Row],[College Passer Rating]]&gt;170,10,IF(Table2[[#This Row],[College Passer Rating]]&lt;112.475,0,10/(0.1495*170-16.815)*(0.1495*Table2[[#This Row],[College Passer Rating]]-16.815))),0)</f>
        <v>8</v>
      </c>
      <c r="AI89">
        <f>ROUND(IF(Table2[[#This Row],[PTD:INT]]&gt;4,10,IF(Table2[[#This Row],[PTD:INT]]&lt;1,0,10/(4.7442*LN(4)+0.4256)*(4.7442*LN(Table2[[#This Row],[PTD:INT]])+0.4256))),0)</f>
        <v>9</v>
      </c>
      <c r="AJ89">
        <f>ROUND(IF(Table2[[#This Row],[Patt:Ratt]]&lt;2.5,10,IF(Table2[[#This Row],[Patt:Ratt]]&gt;15,0,10/(-2.684*LN(2.5)+9.0869)*(-2.684*LN(Table2[[#This Row],[Patt:Ratt]])+9.0869))),0)</f>
        <v>6</v>
      </c>
      <c r="AK89">
        <f>ROUND(IF(Table2[[#This Row],[Y/A]]&gt;9.2,10,IF(Table2[[#This Row],[Y/A]]&lt;6.26,0,10/(2.2619*9.2-14.16)*(2.2619*Table2[[#This Row],[Y/A]]-14.16))),0)</f>
        <v>8</v>
      </c>
      <c r="AL89">
        <f>ROUND(IF(Table2[[#This Row],[AY/A]]&gt;10,10,IF(Table2[[#This Row],[AY/A]]&lt;5.51,0,10/(1.6571*10-9.1312)*(1.6571*Table2[[#This Row],[AY/A]]-9.1312))),0)</f>
        <v>8</v>
      </c>
      <c r="AM89">
        <f>ROUND(IF(Table2[[#This Row],[40 Yd Dash]]&lt;4.75,10,IF(Table2[[#This Row],[40 Yd Dash]]&gt;5.191,0,10/(-66.95*LN(4.75)+110.26)*(-66.95*LN(Table2[[#This Row],[40 Yd Dash]])+110.26))),0)</f>
        <v>5</v>
      </c>
      <c r="AN89">
        <f>ROUND(IF(Table2[[#This Row],[Hand Size]]&gt;10.25,10,IF(Table2[[#This Row],[Hand Size]]&lt;9,0,10/(15.49*LN(10.25)-30.577)*(15.49*LN(Table2[[#This Row],[Hand Size]])-30.577))),0)</f>
        <v>8</v>
      </c>
    </row>
    <row r="90" spans="1:40">
      <c r="A90">
        <v>2018</v>
      </c>
      <c r="B90">
        <v>8</v>
      </c>
      <c r="C90" t="s">
        <v>219</v>
      </c>
      <c r="D90" t="s">
        <v>121</v>
      </c>
      <c r="E90">
        <v>5.4</v>
      </c>
      <c r="F90" t="s">
        <v>237</v>
      </c>
      <c r="G90">
        <f>SUMIFS('NFL QB Data By Year'!$Q:$Q,'NFL QB Data By Year'!$D:$D,Table2[[#This Row],[Player Name]],'NFL QB Data By Year'!$B:$B,Table2[[#This Row],[Draft Year]]+G$1)</f>
        <v>0</v>
      </c>
      <c r="H90">
        <f>SUMIFS('NFL QB Data By Year'!$P:$P,'NFL QB Data By Year'!$D:$D,Table2[[#This Row],[Player Name]],'NFL QB Data By Year'!$B:$B,Table2[[#This Row],[Draft Year]]+H$1)</f>
        <v>0</v>
      </c>
      <c r="I90">
        <f>SUMIFS('NFL QB Data By Year'!$Q:$Q,'NFL QB Data By Year'!$D:$D,Table2[[#This Row],[Player Name]],'NFL QB Data By Year'!$B:$B,Table2[[#This Row],[Draft Year]]+I$1)</f>
        <v>0</v>
      </c>
      <c r="J90">
        <f>SUMIFS('NFL QB Data By Year'!$P:$P,'NFL QB Data By Year'!$D:$D,Table2[[#This Row],[Player Name]],'NFL QB Data By Year'!$B:$B,Table2[[#This Row],[Draft Year]]+J$1)</f>
        <v>0</v>
      </c>
      <c r="K90">
        <f>SUMIFS('NFL QB Data By Year'!$Q:$Q,'NFL QB Data By Year'!$D:$D,Table2[[#This Row],[Player Name]],'NFL QB Data By Year'!$B:$B,Table2[[#This Row],[Draft Year]]+K$1)</f>
        <v>0</v>
      </c>
      <c r="L90">
        <f>SUMIFS('NFL QB Data By Year'!$P:$P,'NFL QB Data By Year'!$D:$D,Table2[[#This Row],[Player Name]],'NFL QB Data By Year'!$B:$B,Table2[[#This Row],[Draft Year]]+L$1)</f>
        <v>0</v>
      </c>
      <c r="M90">
        <f>Table2[[#This Row],[Year 1 G]]+Table2[[#This Row],[Year 2 G]]+Table2[[#This Row],[Year 3 G]]</f>
        <v>0</v>
      </c>
      <c r="N90">
        <f>Table2[[#This Row],[Year 1 FPTs]]+Table2[[#This Row],[Year 2 FPTs]]+Table2[[#This Row],[Year 3 FPTs]]</f>
        <v>0</v>
      </c>
      <c r="O90" s="7">
        <f>IFERROR(Table2[[#This Row],[Total FPTs]]/Table2[[#This Row],[Total G]],0)</f>
        <v>0</v>
      </c>
      <c r="P90">
        <v>10</v>
      </c>
      <c r="Q90" s="8">
        <f xml:space="preserve"> IFERROR(SUMIFS('College Data By Year'!J:J,'College Data By Year'!A:A,Table2[[#This Row],[Player Name]])/SUMIFS('College Data By Year'!L:L,'College Data By Year'!A:A,Table2[[#This Row],[Player Name]]),"")</f>
        <v>-1.4481850667669738E-2</v>
      </c>
      <c r="R90" s="11">
        <f xml:space="preserve"> IFERROR(SUMIFS('College Data By Year'!D:D,'College Data By Year'!A:A,Table2[[#This Row],[Player Name]])/SUMIFS('College Data By Year'!B:B,'College Data By Year'!A:A,Table2[[#This Row],[Player Name]]),"")</f>
        <v>6.0100166944908183E-2</v>
      </c>
      <c r="S90">
        <f>IF(SUMIFS('College Data By Year'!H:H,'College Data By Year'!A:A,Table2[[#This Row],[Player Name]])=0,"",SUMIFS('College Data By Year'!H:H,'College Data By Year'!A:A,Table2[[#This Row],[Player Name]]))</f>
        <v>133.9</v>
      </c>
      <c r="T90" s="7">
        <f>IFERROR(SUMIFS('College Data By Year'!D:D,'College Data By Year'!A:A,Table2[[#This Row],[Player Name]])/SUMIFS('College Data By Year'!E:E,'College Data By Year'!A:A,Table2[[#This Row],[Player Name]]),"")</f>
        <v>2.3225806451612905</v>
      </c>
      <c r="U90" s="7">
        <f>IFERROR(SUMIFS('College Data By Year'!B:B,'College Data By Year'!A:A,Table2[[#This Row],[Player Name]])/SUMIFS('College Data By Year'!I:I,'College Data By Year'!A:A,Table2[[#This Row],[Player Name]]),"")</f>
        <v>10.239316239316238</v>
      </c>
      <c r="V90">
        <f>IF(SUMIFS('College Data By Year'!F:F,'College Data By Year'!A:A,Table2[[#This Row],[Player Name]])=0,"",SUMIFS('College Data By Year'!F:F,'College Data By Year'!A:A,Table2[[#This Row],[Player Name]]))</f>
        <v>7</v>
      </c>
      <c r="W90">
        <f>IF(SUMIFS('College Data By Year'!G:G,'College Data By Year'!A:A,Table2[[#This Row],[Player Name]])=0,"",SUMIFS('College Data By Year'!G:G,'College Data By Year'!A:A,Table2[[#This Row],[Player Name]]))</f>
        <v>7</v>
      </c>
      <c r="X90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3.8022813688212927E-2</v>
      </c>
      <c r="Y90">
        <v>4.9000000000000004</v>
      </c>
      <c r="Z90">
        <v>9.375</v>
      </c>
      <c r="AA90" t="s">
        <v>225</v>
      </c>
      <c r="AB90">
        <v>230</v>
      </c>
      <c r="AC90">
        <v>27.3</v>
      </c>
      <c r="AD90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0">
        <f>ROUND(IF(Table2[[#This Row],[Draft Round]]=1,10,IF(Table2[[#This Row],[Draft Round]]=8,0,10/(20.884*EXP(-0.381*1))*(20.884*EXP(-0.381*Table2[[#This Row],[Draft Round]])))),0)</f>
        <v>0</v>
      </c>
      <c r="AF90">
        <f>ROUND(IF(Table2[[#This Row],[College BF Dominator]]&gt;0.3,10,IF(Table2[[#This Row],[College BF Dominator]]&lt;-0.156,0,10/(20.818*0.3+3.2667)*(20.818*Table2[[#This Row],[College BF Dominator]]+3.2667))),0)</f>
        <v>3</v>
      </c>
      <c r="AG90">
        <f>ROUND(IF(Table2[[#This Row],[College PTDR]]&gt;0.085,10,IF(Table2[[#This Row],[College PTDR]]&lt;0.04,0,10/(105.24*0.085-1.7837)*(105.24*Table2[[#This Row],[College PTDR]]-1.7837))),0)</f>
        <v>6</v>
      </c>
      <c r="AH90">
        <f>ROUND(IF(Table2[[#This Row],[College Passer Rating]]&gt;170,10,IF(Table2[[#This Row],[College Passer Rating]]&lt;112.475,0,10/(0.1495*170-16.815)*(0.1495*Table2[[#This Row],[College Passer Rating]]-16.815))),0)</f>
        <v>4</v>
      </c>
      <c r="AI90">
        <f>ROUND(IF(Table2[[#This Row],[PTD:INT]]&gt;4,10,IF(Table2[[#This Row],[PTD:INT]]&lt;1,0,10/(4.7442*LN(4)+0.4256)*(4.7442*LN(Table2[[#This Row],[PTD:INT]])+0.4256))),0)</f>
        <v>6</v>
      </c>
      <c r="AJ90">
        <f>ROUND(IF(Table2[[#This Row],[Patt:Ratt]]&lt;2.5,10,IF(Table2[[#This Row],[Patt:Ratt]]&gt;15,0,10/(-2.684*LN(2.5)+9.0869)*(-2.684*LN(Table2[[#This Row],[Patt:Ratt]])+9.0869))),0)</f>
        <v>4</v>
      </c>
      <c r="AK90">
        <f>ROUND(IF(Table2[[#This Row],[Y/A]]&gt;9.2,10,IF(Table2[[#This Row],[Y/A]]&lt;6.26,0,10/(2.2619*9.2-14.16)*(2.2619*Table2[[#This Row],[Y/A]]-14.16))),0)</f>
        <v>3</v>
      </c>
      <c r="AL90">
        <f>ROUND(IF(Table2[[#This Row],[AY/A]]&gt;10,10,IF(Table2[[#This Row],[AY/A]]&lt;5.51,0,10/(1.6571*10-9.1312)*(1.6571*Table2[[#This Row],[AY/A]]-9.1312))),0)</f>
        <v>3</v>
      </c>
      <c r="AM90">
        <f>ROUND(IF(Table2[[#This Row],[40 Yd Dash]]&lt;4.75,10,IF(Table2[[#This Row],[40 Yd Dash]]&gt;5.191,0,10/(-66.95*LN(4.75)+110.26)*(-66.95*LN(Table2[[#This Row],[40 Yd Dash]])+110.26))),0)</f>
        <v>6</v>
      </c>
      <c r="AN90">
        <f>ROUND(IF(Table2[[#This Row],[Hand Size]]&gt;10.25,10,IF(Table2[[#This Row],[Hand Size]]&lt;9,0,10/(15.49*LN(10.25)-30.577)*(15.49*LN(Table2[[#This Row],[Hand Size]])-30.577))),0)</f>
        <v>7</v>
      </c>
    </row>
    <row r="91" spans="1:40">
      <c r="A91">
        <v>2018</v>
      </c>
      <c r="B91">
        <v>8</v>
      </c>
      <c r="C91" t="s">
        <v>219</v>
      </c>
      <c r="D91" t="s">
        <v>108</v>
      </c>
      <c r="E91">
        <v>5.4</v>
      </c>
      <c r="F91" t="s">
        <v>237</v>
      </c>
      <c r="G91">
        <f>SUMIFS('NFL QB Data By Year'!$Q:$Q,'NFL QB Data By Year'!$D:$D,Table2[[#This Row],[Player Name]],'NFL QB Data By Year'!$B:$B,Table2[[#This Row],[Draft Year]]+G$1)</f>
        <v>0</v>
      </c>
      <c r="H91">
        <f>SUMIFS('NFL QB Data By Year'!$P:$P,'NFL QB Data By Year'!$D:$D,Table2[[#This Row],[Player Name]],'NFL QB Data By Year'!$B:$B,Table2[[#This Row],[Draft Year]]+H$1)</f>
        <v>0</v>
      </c>
      <c r="I91">
        <f>SUMIFS('NFL QB Data By Year'!$Q:$Q,'NFL QB Data By Year'!$D:$D,Table2[[#This Row],[Player Name]],'NFL QB Data By Year'!$B:$B,Table2[[#This Row],[Draft Year]]+I$1)</f>
        <v>0</v>
      </c>
      <c r="J91">
        <f>SUMIFS('NFL QB Data By Year'!$P:$P,'NFL QB Data By Year'!$D:$D,Table2[[#This Row],[Player Name]],'NFL QB Data By Year'!$B:$B,Table2[[#This Row],[Draft Year]]+J$1)</f>
        <v>0</v>
      </c>
      <c r="K91">
        <f>SUMIFS('NFL QB Data By Year'!$Q:$Q,'NFL QB Data By Year'!$D:$D,Table2[[#This Row],[Player Name]],'NFL QB Data By Year'!$B:$B,Table2[[#This Row],[Draft Year]]+K$1)</f>
        <v>0</v>
      </c>
      <c r="L91">
        <f>SUMIFS('NFL QB Data By Year'!$P:$P,'NFL QB Data By Year'!$D:$D,Table2[[#This Row],[Player Name]],'NFL QB Data By Year'!$B:$B,Table2[[#This Row],[Draft Year]]+L$1)</f>
        <v>0</v>
      </c>
      <c r="M91">
        <f>Table2[[#This Row],[Year 1 G]]+Table2[[#This Row],[Year 2 G]]+Table2[[#This Row],[Year 3 G]]</f>
        <v>0</v>
      </c>
      <c r="N91">
        <f>Table2[[#This Row],[Year 1 FPTs]]+Table2[[#This Row],[Year 2 FPTs]]+Table2[[#This Row],[Year 3 FPTs]]</f>
        <v>0</v>
      </c>
      <c r="O91" s="7">
        <f>IFERROR(Table2[[#This Row],[Total FPTs]]/Table2[[#This Row],[Total G]],0)</f>
        <v>0</v>
      </c>
      <c r="P91">
        <v>10</v>
      </c>
      <c r="Q91" s="8">
        <f xml:space="preserve"> IFERROR(SUMIFS('College Data By Year'!J:J,'College Data By Year'!A:A,Table2[[#This Row],[Player Name]])/SUMIFS('College Data By Year'!L:L,'College Data By Year'!A:A,Table2[[#This Row],[Player Name]]),"")</f>
        <v>-1.4864440489898462E-2</v>
      </c>
      <c r="R91" s="11">
        <f xml:space="preserve"> IFERROR(SUMIFS('College Data By Year'!D:D,'College Data By Year'!A:A,Table2[[#This Row],[Player Name]])/SUMIFS('College Data By Year'!B:B,'College Data By Year'!A:A,Table2[[#This Row],[Player Name]]),"")</f>
        <v>5.9308072487644151E-2</v>
      </c>
      <c r="S91">
        <f>IF(SUMIFS('College Data By Year'!H:H,'College Data By Year'!A:A,Table2[[#This Row],[Player Name]])=0,"",SUMIFS('College Data By Year'!H:H,'College Data By Year'!A:A,Table2[[#This Row],[Player Name]]))</f>
        <v>141.6</v>
      </c>
      <c r="T91" s="7">
        <f>IFERROR(SUMIFS('College Data By Year'!D:D,'College Data By Year'!A:A,Table2[[#This Row],[Player Name]])/SUMIFS('College Data By Year'!E:E,'College Data By Year'!A:A,Table2[[#This Row],[Player Name]]),"")</f>
        <v>1.7142857142857142</v>
      </c>
      <c r="U91" s="7">
        <f>IFERROR(SUMIFS('College Data By Year'!B:B,'College Data By Year'!A:A,Table2[[#This Row],[Player Name]])/SUMIFS('College Data By Year'!I:I,'College Data By Year'!A:A,Table2[[#This Row],[Player Name]]),"")</f>
        <v>5.568807339449541</v>
      </c>
      <c r="V91">
        <f>IF(SUMIFS('College Data By Year'!F:F,'College Data By Year'!A:A,Table2[[#This Row],[Player Name]])=0,"",SUMIFS('College Data By Year'!F:F,'College Data By Year'!A:A,Table2[[#This Row],[Player Name]]))</f>
        <v>8.3000000000000007</v>
      </c>
      <c r="W91">
        <f>IF(SUMIFS('College Data By Year'!G:G,'College Data By Year'!A:A,Table2[[#This Row],[Player Name]])=0,"",SUMIFS('College Data By Year'!G:G,'College Data By Year'!A:A,Table2[[#This Row],[Player Name]]))</f>
        <v>7.9</v>
      </c>
      <c r="X91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7.6815642458100561E-2</v>
      </c>
      <c r="Y91">
        <v>4.8099999999999996</v>
      </c>
      <c r="Z91">
        <v>9</v>
      </c>
      <c r="AA91" t="s">
        <v>238</v>
      </c>
      <c r="AB91">
        <v>210</v>
      </c>
      <c r="AC91">
        <v>28.5</v>
      </c>
      <c r="AD91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1">
        <f>ROUND(IF(Table2[[#This Row],[Draft Round]]=1,10,IF(Table2[[#This Row],[Draft Round]]=8,0,10/(20.884*EXP(-0.381*1))*(20.884*EXP(-0.381*Table2[[#This Row],[Draft Round]])))),0)</f>
        <v>0</v>
      </c>
      <c r="AF91">
        <f>ROUND(IF(Table2[[#This Row],[College BF Dominator]]&gt;0.3,10,IF(Table2[[#This Row],[College BF Dominator]]&lt;-0.156,0,10/(20.818*0.3+3.2667)*(20.818*Table2[[#This Row],[College BF Dominator]]+3.2667))),0)</f>
        <v>3</v>
      </c>
      <c r="AG91">
        <f>ROUND(IF(Table2[[#This Row],[College PTDR]]&gt;0.085,10,IF(Table2[[#This Row],[College PTDR]]&lt;0.04,0,10/(105.24*0.085-1.7837)*(105.24*Table2[[#This Row],[College PTDR]]-1.7837))),0)</f>
        <v>6</v>
      </c>
      <c r="AH91">
        <f>ROUND(IF(Table2[[#This Row],[College Passer Rating]]&gt;170,10,IF(Table2[[#This Row],[College Passer Rating]]&lt;112.475,0,10/(0.1495*170-16.815)*(0.1495*Table2[[#This Row],[College Passer Rating]]-16.815))),0)</f>
        <v>5</v>
      </c>
      <c r="AI91">
        <f>ROUND(IF(Table2[[#This Row],[PTD:INT]]&gt;4,10,IF(Table2[[#This Row],[PTD:INT]]&lt;1,0,10/(4.7442*LN(4)+0.4256)*(4.7442*LN(Table2[[#This Row],[PTD:INT]])+0.4256))),0)</f>
        <v>4</v>
      </c>
      <c r="AJ91">
        <f>ROUND(IF(Table2[[#This Row],[Patt:Ratt]]&lt;2.5,10,IF(Table2[[#This Row],[Patt:Ratt]]&gt;15,0,10/(-2.684*LN(2.5)+9.0869)*(-2.684*LN(Table2[[#This Row],[Patt:Ratt]])+9.0869))),0)</f>
        <v>7</v>
      </c>
      <c r="AK91">
        <f>ROUND(IF(Table2[[#This Row],[Y/A]]&gt;9.2,10,IF(Table2[[#This Row],[Y/A]]&lt;6.26,0,10/(2.2619*9.2-14.16)*(2.2619*Table2[[#This Row],[Y/A]]-14.16))),0)</f>
        <v>7</v>
      </c>
      <c r="AL91">
        <f>ROUND(IF(Table2[[#This Row],[AY/A]]&gt;10,10,IF(Table2[[#This Row],[AY/A]]&lt;5.51,0,10/(1.6571*10-9.1312)*(1.6571*Table2[[#This Row],[AY/A]]-9.1312))),0)</f>
        <v>5</v>
      </c>
      <c r="AM91">
        <f>ROUND(IF(Table2[[#This Row],[40 Yd Dash]]&lt;4.75,10,IF(Table2[[#This Row],[40 Yd Dash]]&gt;5.191,0,10/(-66.95*LN(4.75)+110.26)*(-66.95*LN(Table2[[#This Row],[40 Yd Dash]])+110.26))),0)</f>
        <v>9</v>
      </c>
      <c r="AN91">
        <f>ROUND(IF(Table2[[#This Row],[Hand Size]]&gt;10.25,10,IF(Table2[[#This Row],[Hand Size]]&lt;9,0,10/(15.49*LN(10.25)-30.577)*(15.49*LN(Table2[[#This Row],[Hand Size]])-30.577))),0)</f>
        <v>6</v>
      </c>
    </row>
    <row r="92" spans="1:40">
      <c r="A92">
        <v>2018</v>
      </c>
      <c r="B92">
        <v>8</v>
      </c>
      <c r="C92" t="s">
        <v>219</v>
      </c>
      <c r="D92" t="s">
        <v>105</v>
      </c>
      <c r="E92">
        <v>5.4</v>
      </c>
      <c r="F92" t="s">
        <v>237</v>
      </c>
      <c r="G92">
        <f>SUMIFS('NFL QB Data By Year'!$Q:$Q,'NFL QB Data By Year'!$D:$D,Table2[[#This Row],[Player Name]],'NFL QB Data By Year'!$B:$B,Table2[[#This Row],[Draft Year]]+G$1)</f>
        <v>0</v>
      </c>
      <c r="H92">
        <f>SUMIFS('NFL QB Data By Year'!$P:$P,'NFL QB Data By Year'!$D:$D,Table2[[#This Row],[Player Name]],'NFL QB Data By Year'!$B:$B,Table2[[#This Row],[Draft Year]]+H$1)</f>
        <v>0</v>
      </c>
      <c r="I92">
        <f>SUMIFS('NFL QB Data By Year'!$Q:$Q,'NFL QB Data By Year'!$D:$D,Table2[[#This Row],[Player Name]],'NFL QB Data By Year'!$B:$B,Table2[[#This Row],[Draft Year]]+I$1)</f>
        <v>0</v>
      </c>
      <c r="J92">
        <f>SUMIFS('NFL QB Data By Year'!$P:$P,'NFL QB Data By Year'!$D:$D,Table2[[#This Row],[Player Name]],'NFL QB Data By Year'!$B:$B,Table2[[#This Row],[Draft Year]]+J$1)</f>
        <v>0</v>
      </c>
      <c r="K92">
        <f>SUMIFS('NFL QB Data By Year'!$Q:$Q,'NFL QB Data By Year'!$D:$D,Table2[[#This Row],[Player Name]],'NFL QB Data By Year'!$B:$B,Table2[[#This Row],[Draft Year]]+K$1)</f>
        <v>0</v>
      </c>
      <c r="L92">
        <f>SUMIFS('NFL QB Data By Year'!$P:$P,'NFL QB Data By Year'!$D:$D,Table2[[#This Row],[Player Name]],'NFL QB Data By Year'!$B:$B,Table2[[#This Row],[Draft Year]]+L$1)</f>
        <v>0</v>
      </c>
      <c r="M92">
        <f>Table2[[#This Row],[Year 1 G]]+Table2[[#This Row],[Year 2 G]]+Table2[[#This Row],[Year 3 G]]</f>
        <v>0</v>
      </c>
      <c r="N92">
        <f>Table2[[#This Row],[Year 1 FPTs]]+Table2[[#This Row],[Year 2 FPTs]]+Table2[[#This Row],[Year 3 FPTs]]</f>
        <v>0</v>
      </c>
      <c r="O92" s="7">
        <f>IFERROR(Table2[[#This Row],[Total FPTs]]/Table2[[#This Row],[Total G]],0)</f>
        <v>0</v>
      </c>
      <c r="P92">
        <v>10</v>
      </c>
      <c r="Q92" s="8">
        <f xml:space="preserve"> IFERROR(SUMIFS('College Data By Year'!J:J,'College Data By Year'!A:A,Table2[[#This Row],[Player Name]])/SUMIFS('College Data By Year'!L:L,'College Data By Year'!A:A,Table2[[#This Row],[Player Name]]),"")</f>
        <v>-1.7439769866954332E-2</v>
      </c>
      <c r="R92" s="11">
        <f xml:space="preserve"> IFERROR(SUMIFS('College Data By Year'!D:D,'College Data By Year'!A:A,Table2[[#This Row],[Player Name]])/SUMIFS('College Data By Year'!B:B,'College Data By Year'!A:A,Table2[[#This Row],[Player Name]]),"")</f>
        <v>7.0524412296564198E-2</v>
      </c>
      <c r="S92">
        <f>IF(SUMIFS('College Data By Year'!H:H,'College Data By Year'!A:A,Table2[[#This Row],[Player Name]])=0,"",SUMIFS('College Data By Year'!H:H,'College Data By Year'!A:A,Table2[[#This Row],[Player Name]]))</f>
        <v>153.19999999999999</v>
      </c>
      <c r="T92" s="7">
        <f>IFERROR(SUMIFS('College Data By Year'!D:D,'College Data By Year'!A:A,Table2[[#This Row],[Player Name]])/SUMIFS('College Data By Year'!E:E,'College Data By Year'!A:A,Table2[[#This Row],[Player Name]]),"")</f>
        <v>3.5454545454545454</v>
      </c>
      <c r="U92" s="7">
        <f>IFERROR(SUMIFS('College Data By Year'!B:B,'College Data By Year'!A:A,Table2[[#This Row],[Player Name]])/SUMIFS('College Data By Year'!I:I,'College Data By Year'!A:A,Table2[[#This Row],[Player Name]]),"")</f>
        <v>8.640625</v>
      </c>
      <c r="V92">
        <f>IF(SUMIFS('College Data By Year'!F:F,'College Data By Year'!A:A,Table2[[#This Row],[Player Name]])=0,"",SUMIFS('College Data By Year'!F:F,'College Data By Year'!A:A,Table2[[#This Row],[Player Name]]))</f>
        <v>8</v>
      </c>
      <c r="W92">
        <f>IF(SUMIFS('College Data By Year'!G:G,'College Data By Year'!A:A,Table2[[#This Row],[Player Name]])=0,"",SUMIFS('College Data By Year'!G:G,'College Data By Year'!A:A,Table2[[#This Row],[Player Name]]))</f>
        <v>8.6</v>
      </c>
      <c r="X92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4.0518638573743923E-2</v>
      </c>
      <c r="Y92">
        <v>4.88</v>
      </c>
      <c r="Z92">
        <v>9.25</v>
      </c>
      <c r="AA92" t="s">
        <v>229</v>
      </c>
      <c r="AB92">
        <v>220</v>
      </c>
      <c r="AC92">
        <v>27.5</v>
      </c>
      <c r="AD92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2">
        <f>ROUND(IF(Table2[[#This Row],[Draft Round]]=1,10,IF(Table2[[#This Row],[Draft Round]]=8,0,10/(20.884*EXP(-0.381*1))*(20.884*EXP(-0.381*Table2[[#This Row],[Draft Round]])))),0)</f>
        <v>0</v>
      </c>
      <c r="AF92">
        <f>ROUND(IF(Table2[[#This Row],[College BF Dominator]]&gt;0.3,10,IF(Table2[[#This Row],[College BF Dominator]]&lt;-0.156,0,10/(20.818*0.3+3.2667)*(20.818*Table2[[#This Row],[College BF Dominator]]+3.2667))),0)</f>
        <v>3</v>
      </c>
      <c r="AG92">
        <f>ROUND(IF(Table2[[#This Row],[College PTDR]]&gt;0.085,10,IF(Table2[[#This Row],[College PTDR]]&lt;0.04,0,10/(105.24*0.085-1.7837)*(105.24*Table2[[#This Row],[College PTDR]]-1.7837))),0)</f>
        <v>8</v>
      </c>
      <c r="AH92">
        <f>ROUND(IF(Table2[[#This Row],[College Passer Rating]]&gt;170,10,IF(Table2[[#This Row],[College Passer Rating]]&lt;112.475,0,10/(0.1495*170-16.815)*(0.1495*Table2[[#This Row],[College Passer Rating]]-16.815))),0)</f>
        <v>7</v>
      </c>
      <c r="AI92">
        <f>ROUND(IF(Table2[[#This Row],[PTD:INT]]&gt;4,10,IF(Table2[[#This Row],[PTD:INT]]&lt;1,0,10/(4.7442*LN(4)+0.4256)*(4.7442*LN(Table2[[#This Row],[PTD:INT]])+0.4256))),0)</f>
        <v>9</v>
      </c>
      <c r="AJ92">
        <f>ROUND(IF(Table2[[#This Row],[Patt:Ratt]]&lt;2.5,10,IF(Table2[[#This Row],[Patt:Ratt]]&gt;15,0,10/(-2.684*LN(2.5)+9.0869)*(-2.684*LN(Table2[[#This Row],[Patt:Ratt]])+9.0869))),0)</f>
        <v>5</v>
      </c>
      <c r="AK92">
        <f>ROUND(IF(Table2[[#This Row],[Y/A]]&gt;9.2,10,IF(Table2[[#This Row],[Y/A]]&lt;6.26,0,10/(2.2619*9.2-14.16)*(2.2619*Table2[[#This Row],[Y/A]]-14.16))),0)</f>
        <v>6</v>
      </c>
      <c r="AL92">
        <f>ROUND(IF(Table2[[#This Row],[AY/A]]&gt;10,10,IF(Table2[[#This Row],[AY/A]]&lt;5.51,0,10/(1.6571*10-9.1312)*(1.6571*Table2[[#This Row],[AY/A]]-9.1312))),0)</f>
        <v>7</v>
      </c>
      <c r="AM92">
        <f>ROUND(IF(Table2[[#This Row],[40 Yd Dash]]&lt;4.75,10,IF(Table2[[#This Row],[40 Yd Dash]]&gt;5.191,0,10/(-66.95*LN(4.75)+110.26)*(-66.95*LN(Table2[[#This Row],[40 Yd Dash]])+110.26))),0)</f>
        <v>7</v>
      </c>
      <c r="AN92">
        <f>ROUND(IF(Table2[[#This Row],[Hand Size]]&gt;10.25,10,IF(Table2[[#This Row],[Hand Size]]&lt;9,0,10/(15.49*LN(10.25)-30.577)*(15.49*LN(Table2[[#This Row],[Hand Size]])-30.577))),0)</f>
        <v>7</v>
      </c>
    </row>
    <row r="93" spans="1:40">
      <c r="A93">
        <v>2016</v>
      </c>
      <c r="B93">
        <v>8</v>
      </c>
      <c r="C93" t="s">
        <v>219</v>
      </c>
      <c r="D93" t="s">
        <v>117</v>
      </c>
      <c r="E93">
        <v>5.5</v>
      </c>
      <c r="F93" t="s">
        <v>232</v>
      </c>
      <c r="G93">
        <f>SUMIFS('NFL QB Data By Year'!$Q:$Q,'NFL QB Data By Year'!$D:$D,Table2[[#This Row],[Player Name]],'NFL QB Data By Year'!$B:$B,Table2[[#This Row],[Draft Year]]+G$1)</f>
        <v>0</v>
      </c>
      <c r="H93">
        <f>SUMIFS('NFL QB Data By Year'!$P:$P,'NFL QB Data By Year'!$D:$D,Table2[[#This Row],[Player Name]],'NFL QB Data By Year'!$B:$B,Table2[[#This Row],[Draft Year]]+H$1)</f>
        <v>0</v>
      </c>
      <c r="I93">
        <f>SUMIFS('NFL QB Data By Year'!$Q:$Q,'NFL QB Data By Year'!$D:$D,Table2[[#This Row],[Player Name]],'NFL QB Data By Year'!$B:$B,Table2[[#This Row],[Draft Year]]+I$1)</f>
        <v>0</v>
      </c>
      <c r="J93">
        <f>SUMIFS('NFL QB Data By Year'!$P:$P,'NFL QB Data By Year'!$D:$D,Table2[[#This Row],[Player Name]],'NFL QB Data By Year'!$B:$B,Table2[[#This Row],[Draft Year]]+J$1)</f>
        <v>0</v>
      </c>
      <c r="K93">
        <f>SUMIFS('NFL QB Data By Year'!$Q:$Q,'NFL QB Data By Year'!$D:$D,Table2[[#This Row],[Player Name]],'NFL QB Data By Year'!$B:$B,Table2[[#This Row],[Draft Year]]+K$1)</f>
        <v>0</v>
      </c>
      <c r="L93">
        <f>SUMIFS('NFL QB Data By Year'!$P:$P,'NFL QB Data By Year'!$D:$D,Table2[[#This Row],[Player Name]],'NFL QB Data By Year'!$B:$B,Table2[[#This Row],[Draft Year]]+L$1)</f>
        <v>0</v>
      </c>
      <c r="M93">
        <f>Table2[[#This Row],[Year 1 G]]+Table2[[#This Row],[Year 2 G]]+Table2[[#This Row],[Year 3 G]]</f>
        <v>0</v>
      </c>
      <c r="N93">
        <f>Table2[[#This Row],[Year 1 FPTs]]+Table2[[#This Row],[Year 2 FPTs]]+Table2[[#This Row],[Year 3 FPTs]]</f>
        <v>0</v>
      </c>
      <c r="O93" s="7">
        <f>IFERROR(Table2[[#This Row],[Total FPTs]]/Table2[[#This Row],[Total G]],0)</f>
        <v>0</v>
      </c>
      <c r="P93">
        <v>10</v>
      </c>
      <c r="Q93" s="8">
        <f xml:space="preserve"> IFERROR(SUMIFS('College Data By Year'!J:J,'College Data By Year'!A:A,Table2[[#This Row],[Player Name]])/SUMIFS('College Data By Year'!L:L,'College Data By Year'!A:A,Table2[[#This Row],[Player Name]]),"")</f>
        <v>-1.9800506178353432E-2</v>
      </c>
      <c r="R93" s="11">
        <f xml:space="preserve"> IFERROR(SUMIFS('College Data By Year'!D:D,'College Data By Year'!A:A,Table2[[#This Row],[Player Name]])/SUMIFS('College Data By Year'!B:B,'College Data By Year'!A:A,Table2[[#This Row],[Player Name]]),"")</f>
        <v>4.6556741028128033E-2</v>
      </c>
      <c r="S93">
        <f>IF(SUMIFS('College Data By Year'!H:H,'College Data By Year'!A:A,Table2[[#This Row],[Player Name]])=0,"",SUMIFS('College Data By Year'!H:H,'College Data By Year'!A:A,Table2[[#This Row],[Player Name]]))</f>
        <v>129.80000000000001</v>
      </c>
      <c r="T93" s="7">
        <f>IFERROR(SUMIFS('College Data By Year'!D:D,'College Data By Year'!A:A,Table2[[#This Row],[Player Name]])/SUMIFS('College Data By Year'!E:E,'College Data By Year'!A:A,Table2[[#This Row],[Player Name]]),"")</f>
        <v>1.2972972972972974</v>
      </c>
      <c r="U93" s="7">
        <f>IFERROR(SUMIFS('College Data By Year'!B:B,'College Data By Year'!A:A,Table2[[#This Row],[Player Name]])/SUMIFS('College Data By Year'!I:I,'College Data By Year'!A:A,Table2[[#This Row],[Player Name]]),"")</f>
        <v>10.107843137254902</v>
      </c>
      <c r="V93">
        <f>IF(SUMIFS('College Data By Year'!F:F,'College Data By Year'!A:A,Table2[[#This Row],[Player Name]])=0,"",SUMIFS('College Data By Year'!F:F,'College Data By Year'!A:A,Table2[[#This Row],[Player Name]]))</f>
        <v>7.4</v>
      </c>
      <c r="W93">
        <f>IF(SUMIFS('College Data By Year'!G:G,'College Data By Year'!A:A,Table2[[#This Row],[Player Name]])=0,"",SUMIFS('College Data By Year'!G:G,'College Data By Year'!A:A,Table2[[#This Row],[Player Name]]))</f>
        <v>6.7</v>
      </c>
      <c r="X93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5.0308914386584289E-2</v>
      </c>
      <c r="Y93">
        <v>4.8</v>
      </c>
      <c r="Z93">
        <v>10.75</v>
      </c>
      <c r="AA93" t="s">
        <v>225</v>
      </c>
      <c r="AB93">
        <v>236</v>
      </c>
      <c r="AC93">
        <v>28</v>
      </c>
      <c r="AD93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3">
        <f>ROUND(IF(Table2[[#This Row],[Draft Round]]=1,10,IF(Table2[[#This Row],[Draft Round]]=8,0,10/(20.884*EXP(-0.381*1))*(20.884*EXP(-0.381*Table2[[#This Row],[Draft Round]])))),0)</f>
        <v>0</v>
      </c>
      <c r="AF93">
        <f>ROUND(IF(Table2[[#This Row],[College BF Dominator]]&gt;0.3,10,IF(Table2[[#This Row],[College BF Dominator]]&lt;-0.156,0,10/(20.818*0.3+3.2667)*(20.818*Table2[[#This Row],[College BF Dominator]]+3.2667))),0)</f>
        <v>3</v>
      </c>
      <c r="AG93">
        <f>ROUND(IF(Table2[[#This Row],[College PTDR]]&gt;0.085,10,IF(Table2[[#This Row],[College PTDR]]&lt;0.04,0,10/(105.24*0.085-1.7837)*(105.24*Table2[[#This Row],[College PTDR]]-1.7837))),0)</f>
        <v>4</v>
      </c>
      <c r="AH93">
        <f>ROUND(IF(Table2[[#This Row],[College Passer Rating]]&gt;170,10,IF(Table2[[#This Row],[College Passer Rating]]&lt;112.475,0,10/(0.1495*170-16.815)*(0.1495*Table2[[#This Row],[College Passer Rating]]-16.815))),0)</f>
        <v>3</v>
      </c>
      <c r="AI93">
        <f>ROUND(IF(Table2[[#This Row],[PTD:INT]]&gt;4,10,IF(Table2[[#This Row],[PTD:INT]]&lt;1,0,10/(4.7442*LN(4)+0.4256)*(4.7442*LN(Table2[[#This Row],[PTD:INT]])+0.4256))),0)</f>
        <v>2</v>
      </c>
      <c r="AJ93">
        <f>ROUND(IF(Table2[[#This Row],[Patt:Ratt]]&lt;2.5,10,IF(Table2[[#This Row],[Patt:Ratt]]&gt;15,0,10/(-2.684*LN(2.5)+9.0869)*(-2.684*LN(Table2[[#This Row],[Patt:Ratt]])+9.0869))),0)</f>
        <v>4</v>
      </c>
      <c r="AK93">
        <f>ROUND(IF(Table2[[#This Row],[Y/A]]&gt;9.2,10,IF(Table2[[#This Row],[Y/A]]&lt;6.26,0,10/(2.2619*9.2-14.16)*(2.2619*Table2[[#This Row],[Y/A]]-14.16))),0)</f>
        <v>4</v>
      </c>
      <c r="AL93">
        <f>ROUND(IF(Table2[[#This Row],[AY/A]]&gt;10,10,IF(Table2[[#This Row],[AY/A]]&lt;5.51,0,10/(1.6571*10-9.1312)*(1.6571*Table2[[#This Row],[AY/A]]-9.1312))),0)</f>
        <v>3</v>
      </c>
      <c r="AM93">
        <f>ROUND(IF(Table2[[#This Row],[40 Yd Dash]]&lt;4.75,10,IF(Table2[[#This Row],[40 Yd Dash]]&gt;5.191,0,10/(-66.95*LN(4.75)+110.26)*(-66.95*LN(Table2[[#This Row],[40 Yd Dash]])+110.26))),0)</f>
        <v>9</v>
      </c>
      <c r="AN93">
        <f>ROUND(IF(Table2[[#This Row],[Hand Size]]&gt;10.25,10,IF(Table2[[#This Row],[Hand Size]]&lt;9,0,10/(15.49*LN(10.25)-30.577)*(15.49*LN(Table2[[#This Row],[Hand Size]])-30.577))),0)</f>
        <v>10</v>
      </c>
    </row>
    <row r="94" spans="1:40">
      <c r="A94">
        <v>2018</v>
      </c>
      <c r="B94">
        <v>8</v>
      </c>
      <c r="C94" t="s">
        <v>219</v>
      </c>
      <c r="D94" t="s">
        <v>106</v>
      </c>
      <c r="E94">
        <v>5.4</v>
      </c>
      <c r="F94" t="s">
        <v>237</v>
      </c>
      <c r="G94">
        <f>SUMIFS('NFL QB Data By Year'!$Q:$Q,'NFL QB Data By Year'!$D:$D,Table2[[#This Row],[Player Name]],'NFL QB Data By Year'!$B:$B,Table2[[#This Row],[Draft Year]]+G$1)</f>
        <v>0</v>
      </c>
      <c r="H94">
        <f>SUMIFS('NFL QB Data By Year'!$P:$P,'NFL QB Data By Year'!$D:$D,Table2[[#This Row],[Player Name]],'NFL QB Data By Year'!$B:$B,Table2[[#This Row],[Draft Year]]+H$1)</f>
        <v>0</v>
      </c>
      <c r="I94">
        <f>SUMIFS('NFL QB Data By Year'!$Q:$Q,'NFL QB Data By Year'!$D:$D,Table2[[#This Row],[Player Name]],'NFL QB Data By Year'!$B:$B,Table2[[#This Row],[Draft Year]]+I$1)</f>
        <v>0</v>
      </c>
      <c r="J94">
        <f>SUMIFS('NFL QB Data By Year'!$P:$P,'NFL QB Data By Year'!$D:$D,Table2[[#This Row],[Player Name]],'NFL QB Data By Year'!$B:$B,Table2[[#This Row],[Draft Year]]+J$1)</f>
        <v>0</v>
      </c>
      <c r="K94">
        <f>SUMIFS('NFL QB Data By Year'!$Q:$Q,'NFL QB Data By Year'!$D:$D,Table2[[#This Row],[Player Name]],'NFL QB Data By Year'!$B:$B,Table2[[#This Row],[Draft Year]]+K$1)</f>
        <v>0</v>
      </c>
      <c r="L94">
        <f>SUMIFS('NFL QB Data By Year'!$P:$P,'NFL QB Data By Year'!$D:$D,Table2[[#This Row],[Player Name]],'NFL QB Data By Year'!$B:$B,Table2[[#This Row],[Draft Year]]+L$1)</f>
        <v>0</v>
      </c>
      <c r="M94">
        <f>Table2[[#This Row],[Year 1 G]]+Table2[[#This Row],[Year 2 G]]+Table2[[#This Row],[Year 3 G]]</f>
        <v>0</v>
      </c>
      <c r="N94">
        <f>Table2[[#This Row],[Year 1 FPTs]]+Table2[[#This Row],[Year 2 FPTs]]+Table2[[#This Row],[Year 3 FPTs]]</f>
        <v>0</v>
      </c>
      <c r="O94" s="7">
        <f>IFERROR(Table2[[#This Row],[Total FPTs]]/Table2[[#This Row],[Total G]],0)</f>
        <v>0</v>
      </c>
      <c r="P94">
        <v>10</v>
      </c>
      <c r="Q94" s="8">
        <f xml:space="preserve"> IFERROR(SUMIFS('College Data By Year'!J:J,'College Data By Year'!A:A,Table2[[#This Row],[Player Name]])/SUMIFS('College Data By Year'!L:L,'College Data By Year'!A:A,Table2[[#This Row],[Player Name]]),"")</f>
        <v>-2.6810477657935285E-2</v>
      </c>
      <c r="R94" s="11">
        <f xml:space="preserve"> IFERROR(SUMIFS('College Data By Year'!D:D,'College Data By Year'!A:A,Table2[[#This Row],[Player Name]])/SUMIFS('College Data By Year'!B:B,'College Data By Year'!A:A,Table2[[#This Row],[Player Name]]),"")</f>
        <v>7.9187817258883242E-2</v>
      </c>
      <c r="S94">
        <f>IF(SUMIFS('College Data By Year'!H:H,'College Data By Year'!A:A,Table2[[#This Row],[Player Name]])=0,"",SUMIFS('College Data By Year'!H:H,'College Data By Year'!A:A,Table2[[#This Row],[Player Name]]))</f>
        <v>161.39086294416245</v>
      </c>
      <c r="T94" s="7">
        <f>IFERROR(SUMIFS('College Data By Year'!D:D,'College Data By Year'!A:A,Table2[[#This Row],[Player Name]])/SUMIFS('College Data By Year'!E:E,'College Data By Year'!A:A,Table2[[#This Row],[Player Name]]),"")</f>
        <v>4.875</v>
      </c>
      <c r="U94" s="7">
        <f>IFERROR(SUMIFS('College Data By Year'!B:B,'College Data By Year'!A:A,Table2[[#This Row],[Player Name]])/SUMIFS('College Data By Year'!I:I,'College Data By Year'!A:A,Table2[[#This Row],[Player Name]]),"")</f>
        <v>17.589285714285715</v>
      </c>
      <c r="V94">
        <f>IF(SUMIFS('College Data By Year'!F:F,'College Data By Year'!A:A,Table2[[#This Row],[Player Name]])=0,"",SUMIFS('College Data By Year'!F:F,'College Data By Year'!A:A,Table2[[#This Row],[Player Name]]))</f>
        <v>8.4517766497461935</v>
      </c>
      <c r="W94">
        <f>IF(SUMIFS('College Data By Year'!G:G,'College Data By Year'!A:A,Table2[[#This Row],[Player Name]])=0,"",SUMIFS('College Data By Year'!G:G,'College Data By Year'!A:A,Table2[[#This Row],[Player Name]]))</f>
        <v>9.3045685279187822</v>
      </c>
      <c r="X94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0</v>
      </c>
      <c r="Y94">
        <v>5.0199999999999996</v>
      </c>
      <c r="Z94">
        <v>9.75</v>
      </c>
      <c r="AA94" t="s">
        <v>221</v>
      </c>
      <c r="AB94">
        <v>215</v>
      </c>
      <c r="AC94">
        <v>27.6</v>
      </c>
      <c r="AD94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4">
        <f>ROUND(IF(Table2[[#This Row],[Draft Round]]=1,10,IF(Table2[[#This Row],[Draft Round]]=8,0,10/(20.884*EXP(-0.381*1))*(20.884*EXP(-0.381*Table2[[#This Row],[Draft Round]])))),0)</f>
        <v>0</v>
      </c>
      <c r="AF94">
        <f>ROUND(IF(Table2[[#This Row],[College BF Dominator]]&gt;0.3,10,IF(Table2[[#This Row],[College BF Dominator]]&lt;-0.156,0,10/(20.818*0.3+3.2667)*(20.818*Table2[[#This Row],[College BF Dominator]]+3.2667))),0)</f>
        <v>3</v>
      </c>
      <c r="AG94">
        <f>ROUND(IF(Table2[[#This Row],[College PTDR]]&gt;0.085,10,IF(Table2[[#This Row],[College PTDR]]&lt;0.04,0,10/(105.24*0.085-1.7837)*(105.24*Table2[[#This Row],[College PTDR]]-1.7837))),0)</f>
        <v>9</v>
      </c>
      <c r="AH94">
        <f>ROUND(IF(Table2[[#This Row],[College Passer Rating]]&gt;170,10,IF(Table2[[#This Row],[College Passer Rating]]&lt;112.475,0,10/(0.1495*170-16.815)*(0.1495*Table2[[#This Row],[College Passer Rating]]-16.815))),0)</f>
        <v>9</v>
      </c>
      <c r="AI94">
        <f>ROUND(IF(Table2[[#This Row],[PTD:INT]]&gt;4,10,IF(Table2[[#This Row],[PTD:INT]]&lt;1,0,10/(4.7442*LN(4)+0.4256)*(4.7442*LN(Table2[[#This Row],[PTD:INT]])+0.4256))),0)</f>
        <v>10</v>
      </c>
      <c r="AJ94">
        <f>ROUND(IF(Table2[[#This Row],[Patt:Ratt]]&lt;2.5,10,IF(Table2[[#This Row],[Patt:Ratt]]&gt;15,0,10/(-2.684*LN(2.5)+9.0869)*(-2.684*LN(Table2[[#This Row],[Patt:Ratt]])+9.0869))),0)</f>
        <v>0</v>
      </c>
      <c r="AK94">
        <f>ROUND(IF(Table2[[#This Row],[Y/A]]&gt;9.2,10,IF(Table2[[#This Row],[Y/A]]&lt;6.26,0,10/(2.2619*9.2-14.16)*(2.2619*Table2[[#This Row],[Y/A]]-14.16))),0)</f>
        <v>7</v>
      </c>
      <c r="AL94">
        <f>ROUND(IF(Table2[[#This Row],[AY/A]]&gt;10,10,IF(Table2[[#This Row],[AY/A]]&lt;5.51,0,10/(1.6571*10-9.1312)*(1.6571*Table2[[#This Row],[AY/A]]-9.1312))),0)</f>
        <v>8</v>
      </c>
      <c r="AM94">
        <f>ROUND(IF(Table2[[#This Row],[40 Yd Dash]]&lt;4.75,10,IF(Table2[[#This Row],[40 Yd Dash]]&gt;5.191,0,10/(-66.95*LN(4.75)+110.26)*(-66.95*LN(Table2[[#This Row],[40 Yd Dash]])+110.26))),0)</f>
        <v>4</v>
      </c>
      <c r="AN94">
        <f>ROUND(IF(Table2[[#This Row],[Hand Size]]&gt;10.25,10,IF(Table2[[#This Row],[Hand Size]]&lt;9,0,10/(15.49*LN(10.25)-30.577)*(15.49*LN(Table2[[#This Row],[Hand Size]])-30.577))),0)</f>
        <v>9</v>
      </c>
    </row>
    <row r="95" spans="1:40">
      <c r="A95">
        <v>2018</v>
      </c>
      <c r="B95">
        <v>8</v>
      </c>
      <c r="C95" t="s">
        <v>219</v>
      </c>
      <c r="D95" t="s">
        <v>127</v>
      </c>
      <c r="E95">
        <v>5.5</v>
      </c>
      <c r="F95" t="s">
        <v>232</v>
      </c>
      <c r="G95">
        <f>SUMIFS('NFL QB Data By Year'!$Q:$Q,'NFL QB Data By Year'!$D:$D,Table2[[#This Row],[Player Name]],'NFL QB Data By Year'!$B:$B,Table2[[#This Row],[Draft Year]]+G$1)</f>
        <v>0</v>
      </c>
      <c r="H95">
        <f>SUMIFS('NFL QB Data By Year'!$P:$P,'NFL QB Data By Year'!$D:$D,Table2[[#This Row],[Player Name]],'NFL QB Data By Year'!$B:$B,Table2[[#This Row],[Draft Year]]+H$1)</f>
        <v>0</v>
      </c>
      <c r="I95">
        <f>SUMIFS('NFL QB Data By Year'!$Q:$Q,'NFL QB Data By Year'!$D:$D,Table2[[#This Row],[Player Name]],'NFL QB Data By Year'!$B:$B,Table2[[#This Row],[Draft Year]]+I$1)</f>
        <v>0</v>
      </c>
      <c r="J95">
        <f>SUMIFS('NFL QB Data By Year'!$P:$P,'NFL QB Data By Year'!$D:$D,Table2[[#This Row],[Player Name]],'NFL QB Data By Year'!$B:$B,Table2[[#This Row],[Draft Year]]+J$1)</f>
        <v>0</v>
      </c>
      <c r="K95">
        <f>SUMIFS('NFL QB Data By Year'!$Q:$Q,'NFL QB Data By Year'!$D:$D,Table2[[#This Row],[Player Name]],'NFL QB Data By Year'!$B:$B,Table2[[#This Row],[Draft Year]]+K$1)</f>
        <v>0</v>
      </c>
      <c r="L95">
        <f>SUMIFS('NFL QB Data By Year'!$P:$P,'NFL QB Data By Year'!$D:$D,Table2[[#This Row],[Player Name]],'NFL QB Data By Year'!$B:$B,Table2[[#This Row],[Draft Year]]+L$1)</f>
        <v>0</v>
      </c>
      <c r="M95">
        <f>Table2[[#This Row],[Year 1 G]]+Table2[[#This Row],[Year 2 G]]+Table2[[#This Row],[Year 3 G]]</f>
        <v>0</v>
      </c>
      <c r="N95">
        <f>Table2[[#This Row],[Year 1 FPTs]]+Table2[[#This Row],[Year 2 FPTs]]+Table2[[#This Row],[Year 3 FPTs]]</f>
        <v>0</v>
      </c>
      <c r="O95" s="7">
        <f>IFERROR(Table2[[#This Row],[Total FPTs]]/Table2[[#This Row],[Total G]],0)</f>
        <v>0</v>
      </c>
      <c r="P95">
        <v>10</v>
      </c>
      <c r="Q95" s="8">
        <f xml:space="preserve"> IFERROR(SUMIFS('College Data By Year'!J:J,'College Data By Year'!A:A,Table2[[#This Row],[Player Name]])/SUMIFS('College Data By Year'!L:L,'College Data By Year'!A:A,Table2[[#This Row],[Player Name]]),"")</f>
        <v>-2.8675369141878879E-2</v>
      </c>
      <c r="R95" s="11">
        <f xml:space="preserve"> IFERROR(SUMIFS('College Data By Year'!D:D,'College Data By Year'!A:A,Table2[[#This Row],[Player Name]])/SUMIFS('College Data By Year'!B:B,'College Data By Year'!A:A,Table2[[#This Row],[Player Name]]),"")</f>
        <v>4.9729729729729728E-2</v>
      </c>
      <c r="S95">
        <f>IF(SUMIFS('College Data By Year'!H:H,'College Data By Year'!A:A,Table2[[#This Row],[Player Name]])=0,"",SUMIFS('College Data By Year'!H:H,'College Data By Year'!A:A,Table2[[#This Row],[Player Name]]))</f>
        <v>122.4</v>
      </c>
      <c r="T95" s="7">
        <f>IFERROR(SUMIFS('College Data By Year'!D:D,'College Data By Year'!A:A,Table2[[#This Row],[Player Name]])/SUMIFS('College Data By Year'!E:E,'College Data By Year'!A:A,Table2[[#This Row],[Player Name]]),"")</f>
        <v>2.1904761904761907</v>
      </c>
      <c r="U95" s="7">
        <f>IFERROR(SUMIFS('College Data By Year'!B:B,'College Data By Year'!A:A,Table2[[#This Row],[Player Name]])/SUMIFS('College Data By Year'!I:I,'College Data By Year'!A:A,Table2[[#This Row],[Player Name]]),"")</f>
        <v>7.115384615384615</v>
      </c>
      <c r="V95">
        <f>IF(SUMIFS('College Data By Year'!F:F,'College Data By Year'!A:A,Table2[[#This Row],[Player Name]])=0,"",SUMIFS('College Data By Year'!F:F,'College Data By Year'!A:A,Table2[[#This Row],[Player Name]]))</f>
        <v>6.3</v>
      </c>
      <c r="W95">
        <f>IF(SUMIFS('College Data By Year'!G:G,'College Data By Year'!A:A,Table2[[#This Row],[Player Name]])=0,"",SUMIFS('College Data By Year'!G:G,'College Data By Year'!A:A,Table2[[#This Row],[Player Name]]))</f>
        <v>6.3</v>
      </c>
      <c r="X95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5.8767772511848344E-2</v>
      </c>
      <c r="Y95">
        <v>4.95</v>
      </c>
      <c r="Z95">
        <v>9.5</v>
      </c>
      <c r="AA95" t="s">
        <v>229</v>
      </c>
      <c r="AB95">
        <v>218</v>
      </c>
      <c r="AC95">
        <v>27.2</v>
      </c>
      <c r="AD95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5">
        <f>ROUND(IF(Table2[[#This Row],[Draft Round]]=1,10,IF(Table2[[#This Row],[Draft Round]]=8,0,10/(20.884*EXP(-0.381*1))*(20.884*EXP(-0.381*Table2[[#This Row],[Draft Round]])))),0)</f>
        <v>0</v>
      </c>
      <c r="AF95">
        <f>ROUND(IF(Table2[[#This Row],[College BF Dominator]]&gt;0.3,10,IF(Table2[[#This Row],[College BF Dominator]]&lt;-0.156,0,10/(20.818*0.3+3.2667)*(20.818*Table2[[#This Row],[College BF Dominator]]+3.2667))),0)</f>
        <v>3</v>
      </c>
      <c r="AG95">
        <f>ROUND(IF(Table2[[#This Row],[College PTDR]]&gt;0.085,10,IF(Table2[[#This Row],[College PTDR]]&lt;0.04,0,10/(105.24*0.085-1.7837)*(105.24*Table2[[#This Row],[College PTDR]]-1.7837))),0)</f>
        <v>5</v>
      </c>
      <c r="AH95">
        <f>ROUND(IF(Table2[[#This Row],[College Passer Rating]]&gt;170,10,IF(Table2[[#This Row],[College Passer Rating]]&lt;112.475,0,10/(0.1495*170-16.815)*(0.1495*Table2[[#This Row],[College Passer Rating]]-16.815))),0)</f>
        <v>2</v>
      </c>
      <c r="AI95">
        <f>ROUND(IF(Table2[[#This Row],[PTD:INT]]&gt;4,10,IF(Table2[[#This Row],[PTD:INT]]&lt;1,0,10/(4.7442*LN(4)+0.4256)*(4.7442*LN(Table2[[#This Row],[PTD:INT]])+0.4256))),0)</f>
        <v>6</v>
      </c>
      <c r="AJ95">
        <f>ROUND(IF(Table2[[#This Row],[Patt:Ratt]]&lt;2.5,10,IF(Table2[[#This Row],[Patt:Ratt]]&gt;15,0,10/(-2.684*LN(2.5)+9.0869)*(-2.684*LN(Table2[[#This Row],[Patt:Ratt]])+9.0869))),0)</f>
        <v>6</v>
      </c>
      <c r="AK95">
        <f>ROUND(IF(Table2[[#This Row],[Y/A]]&gt;9.2,10,IF(Table2[[#This Row],[Y/A]]&lt;6.26,0,10/(2.2619*9.2-14.16)*(2.2619*Table2[[#This Row],[Y/A]]-14.16))),0)</f>
        <v>0</v>
      </c>
      <c r="AL95">
        <f>ROUND(IF(Table2[[#This Row],[AY/A]]&gt;10,10,IF(Table2[[#This Row],[AY/A]]&lt;5.51,0,10/(1.6571*10-9.1312)*(1.6571*Table2[[#This Row],[AY/A]]-9.1312))),0)</f>
        <v>2</v>
      </c>
      <c r="AM95">
        <f>ROUND(IF(Table2[[#This Row],[40 Yd Dash]]&lt;4.75,10,IF(Table2[[#This Row],[40 Yd Dash]]&gt;5.191,0,10/(-66.95*LN(4.75)+110.26)*(-66.95*LN(Table2[[#This Row],[40 Yd Dash]])+110.26))),0)</f>
        <v>5</v>
      </c>
      <c r="AN95">
        <f>ROUND(IF(Table2[[#This Row],[Hand Size]]&gt;10.25,10,IF(Table2[[#This Row],[Hand Size]]&lt;9,0,10/(15.49*LN(10.25)-30.577)*(15.49*LN(Table2[[#This Row],[Hand Size]])-30.577))),0)</f>
        <v>8</v>
      </c>
    </row>
    <row r="96" spans="1:40">
      <c r="A96">
        <v>2017</v>
      </c>
      <c r="B96">
        <v>8</v>
      </c>
      <c r="C96" t="s">
        <v>219</v>
      </c>
      <c r="D96" t="s">
        <v>130</v>
      </c>
      <c r="E96">
        <v>5.0999999999999996</v>
      </c>
      <c r="F96" t="s">
        <v>237</v>
      </c>
      <c r="G96">
        <f>SUMIFS('NFL QB Data By Year'!$Q:$Q,'NFL QB Data By Year'!$D:$D,Table2[[#This Row],[Player Name]],'NFL QB Data By Year'!$B:$B,Table2[[#This Row],[Draft Year]]+G$1)</f>
        <v>0</v>
      </c>
      <c r="H96">
        <f>SUMIFS('NFL QB Data By Year'!$P:$P,'NFL QB Data By Year'!$D:$D,Table2[[#This Row],[Player Name]],'NFL QB Data By Year'!$B:$B,Table2[[#This Row],[Draft Year]]+H$1)</f>
        <v>0</v>
      </c>
      <c r="I96">
        <f>SUMIFS('NFL QB Data By Year'!$Q:$Q,'NFL QB Data By Year'!$D:$D,Table2[[#This Row],[Player Name]],'NFL QB Data By Year'!$B:$B,Table2[[#This Row],[Draft Year]]+I$1)</f>
        <v>0</v>
      </c>
      <c r="J96">
        <f>SUMIFS('NFL QB Data By Year'!$P:$P,'NFL QB Data By Year'!$D:$D,Table2[[#This Row],[Player Name]],'NFL QB Data By Year'!$B:$B,Table2[[#This Row],[Draft Year]]+J$1)</f>
        <v>0</v>
      </c>
      <c r="K96">
        <f>SUMIFS('NFL QB Data By Year'!$Q:$Q,'NFL QB Data By Year'!$D:$D,Table2[[#This Row],[Player Name]],'NFL QB Data By Year'!$B:$B,Table2[[#This Row],[Draft Year]]+K$1)</f>
        <v>0</v>
      </c>
      <c r="L96">
        <f>SUMIFS('NFL QB Data By Year'!$P:$P,'NFL QB Data By Year'!$D:$D,Table2[[#This Row],[Player Name]],'NFL QB Data By Year'!$B:$B,Table2[[#This Row],[Draft Year]]+L$1)</f>
        <v>0</v>
      </c>
      <c r="M96">
        <f>Table2[[#This Row],[Year 1 G]]+Table2[[#This Row],[Year 2 G]]+Table2[[#This Row],[Year 3 G]]</f>
        <v>0</v>
      </c>
      <c r="N96">
        <f>Table2[[#This Row],[Year 1 FPTs]]+Table2[[#This Row],[Year 2 FPTs]]+Table2[[#This Row],[Year 3 FPTs]]</f>
        <v>0</v>
      </c>
      <c r="O96" s="7">
        <f>IFERROR(Table2[[#This Row],[Total FPTs]]/Table2[[#This Row],[Total G]],0)</f>
        <v>0</v>
      </c>
      <c r="P96">
        <v>10</v>
      </c>
      <c r="Q96" s="8">
        <f xml:space="preserve"> IFERROR(SUMIFS('College Data By Year'!J:J,'College Data By Year'!A:A,Table2[[#This Row],[Player Name]])/SUMIFS('College Data By Year'!L:L,'College Data By Year'!A:A,Table2[[#This Row],[Player Name]]),"")</f>
        <v>-4.0195689541187359E-2</v>
      </c>
      <c r="R96" s="11">
        <f xml:space="preserve"> IFERROR(SUMIFS('College Data By Year'!D:D,'College Data By Year'!A:A,Table2[[#This Row],[Player Name]])/SUMIFS('College Data By Year'!B:B,'College Data By Year'!A:A,Table2[[#This Row],[Player Name]]),"")</f>
        <v>3.870967741935484E-2</v>
      </c>
      <c r="S96">
        <f>IF(SUMIFS('College Data By Year'!H:H,'College Data By Year'!A:A,Table2[[#This Row],[Player Name]])=0,"",SUMIFS('College Data By Year'!H:H,'College Data By Year'!A:A,Table2[[#This Row],[Player Name]]))</f>
        <v>121.7</v>
      </c>
      <c r="T96" s="7">
        <f>IFERROR(SUMIFS('College Data By Year'!D:D,'College Data By Year'!A:A,Table2[[#This Row],[Player Name]])/SUMIFS('College Data By Year'!E:E,'College Data By Year'!A:A,Table2[[#This Row],[Player Name]]),"")</f>
        <v>2.2105263157894739</v>
      </c>
      <c r="U96" s="7">
        <f>IFERROR(SUMIFS('College Data By Year'!B:B,'College Data By Year'!A:A,Table2[[#This Row],[Player Name]])/SUMIFS('College Data By Year'!I:I,'College Data By Year'!A:A,Table2[[#This Row],[Player Name]]),"")</f>
        <v>17.78688524590164</v>
      </c>
      <c r="V96">
        <f>IF(SUMIFS('College Data By Year'!F:F,'College Data By Year'!A:A,Table2[[#This Row],[Player Name]])=0,"",SUMIFS('College Data By Year'!F:F,'College Data By Year'!A:A,Table2[[#This Row],[Player Name]]))</f>
        <v>6.5</v>
      </c>
      <c r="W96">
        <f>IF(SUMIFS('College Data By Year'!G:G,'College Data By Year'!A:A,Table2[[#This Row],[Player Name]])=0,"",SUMIFS('College Data By Year'!G:G,'College Data By Year'!A:A,Table2[[#This Row],[Player Name]]))</f>
        <v>6.4</v>
      </c>
      <c r="X96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3.9267015706806283E-2</v>
      </c>
      <c r="Y96">
        <v>4.92</v>
      </c>
      <c r="Z96">
        <v>9.25</v>
      </c>
      <c r="AA96" t="s">
        <v>227</v>
      </c>
      <c r="AB96">
        <v>225</v>
      </c>
      <c r="AC96">
        <v>27.4</v>
      </c>
      <c r="AD96">
        <f>ROUND(IF(Table2[[#This Row],[LZ Grade]]=0,10/(9.297*7-49.141)*(9.297*5.723-49.141),IF(Table2[[#This Row],[LZ Grade]]&lt;5.285,0,IF(Table2[[#This Row],[LZ Grade]]&gt;=7,10,10/(9.297*7-49.141)*(9.297*Table2[[#This Row],[LZ Grade]]-49.141)))),0)</f>
        <v>0</v>
      </c>
      <c r="AE96">
        <f>ROUND(IF(Table2[[#This Row],[Draft Round]]=1,10,IF(Table2[[#This Row],[Draft Round]]=8,0,10/(20.884*EXP(-0.381*1))*(20.884*EXP(-0.381*Table2[[#This Row],[Draft Round]])))),0)</f>
        <v>0</v>
      </c>
      <c r="AF96">
        <f>ROUND(IF(Table2[[#This Row],[College BF Dominator]]&gt;0.3,10,IF(Table2[[#This Row],[College BF Dominator]]&lt;-0.156,0,10/(20.818*0.3+3.2667)*(20.818*Table2[[#This Row],[College BF Dominator]]+3.2667))),0)</f>
        <v>3</v>
      </c>
      <c r="AG96">
        <f>ROUND(IF(Table2[[#This Row],[College PTDR]]&gt;0.085,10,IF(Table2[[#This Row],[College PTDR]]&lt;0.04,0,10/(105.24*0.085-1.7837)*(105.24*Table2[[#This Row],[College PTDR]]-1.7837))),0)</f>
        <v>0</v>
      </c>
      <c r="AH96">
        <f>ROUND(IF(Table2[[#This Row],[College Passer Rating]]&gt;170,10,IF(Table2[[#This Row],[College Passer Rating]]&lt;112.475,0,10/(0.1495*170-16.815)*(0.1495*Table2[[#This Row],[College Passer Rating]]-16.815))),0)</f>
        <v>2</v>
      </c>
      <c r="AI96">
        <f>ROUND(IF(Table2[[#This Row],[PTD:INT]]&gt;4,10,IF(Table2[[#This Row],[PTD:INT]]&lt;1,0,10/(4.7442*LN(4)+0.4256)*(4.7442*LN(Table2[[#This Row],[PTD:INT]])+0.4256))),0)</f>
        <v>6</v>
      </c>
      <c r="AJ96">
        <f>ROUND(IF(Table2[[#This Row],[Patt:Ratt]]&lt;2.5,10,IF(Table2[[#This Row],[Patt:Ratt]]&gt;15,0,10/(-2.684*LN(2.5)+9.0869)*(-2.684*LN(Table2[[#This Row],[Patt:Ratt]])+9.0869))),0)</f>
        <v>0</v>
      </c>
      <c r="AK96">
        <f>ROUND(IF(Table2[[#This Row],[Y/A]]&gt;9.2,10,IF(Table2[[#This Row],[Y/A]]&lt;6.26,0,10/(2.2619*9.2-14.16)*(2.2619*Table2[[#This Row],[Y/A]]-14.16))),0)</f>
        <v>1</v>
      </c>
      <c r="AL96">
        <f>ROUND(IF(Table2[[#This Row],[AY/A]]&gt;10,10,IF(Table2[[#This Row],[AY/A]]&lt;5.51,0,10/(1.6571*10-9.1312)*(1.6571*Table2[[#This Row],[AY/A]]-9.1312))),0)</f>
        <v>2</v>
      </c>
      <c r="AM96">
        <f>ROUND(IF(Table2[[#This Row],[40 Yd Dash]]&lt;4.75,10,IF(Table2[[#This Row],[40 Yd Dash]]&gt;5.191,0,10/(-66.95*LN(4.75)+110.26)*(-66.95*LN(Table2[[#This Row],[40 Yd Dash]])+110.26))),0)</f>
        <v>6</v>
      </c>
      <c r="AN96">
        <f>ROUND(IF(Table2[[#This Row],[Hand Size]]&gt;10.25,10,IF(Table2[[#This Row],[Hand Size]]&lt;9,0,10/(15.49*LN(10.25)-30.577)*(15.49*LN(Table2[[#This Row],[Hand Size]])-30.577))),0)</f>
        <v>7</v>
      </c>
    </row>
    <row r="97" spans="1:40">
      <c r="A97">
        <v>2019</v>
      </c>
      <c r="B97">
        <v>8</v>
      </c>
      <c r="C97" t="s">
        <v>219</v>
      </c>
      <c r="D97" t="s">
        <v>125</v>
      </c>
      <c r="E97">
        <v>5.5</v>
      </c>
      <c r="F97" t="s">
        <v>232</v>
      </c>
      <c r="G97">
        <f>SUMIFS('NFL QB Data By Year'!$Q:$Q,'NFL QB Data By Year'!$D:$D,Table2[[#This Row],[Player Name]],'NFL QB Data By Year'!$B:$B,Table2[[#This Row],[Draft Year]]+G$1)</f>
        <v>0</v>
      </c>
      <c r="H97">
        <f>SUMIFS('NFL QB Data By Year'!$P:$P,'NFL QB Data By Year'!$D:$D,Table2[[#This Row],[Player Name]],'NFL QB Data By Year'!$B:$B,Table2[[#This Row],[Draft Year]]+H$1)</f>
        <v>0</v>
      </c>
      <c r="I97">
        <f>SUMIFS('NFL QB Data By Year'!$Q:$Q,'NFL QB Data By Year'!$D:$D,Table2[[#This Row],[Player Name]],'NFL QB Data By Year'!$B:$B,Table2[[#This Row],[Draft Year]]+I$1)</f>
        <v>0</v>
      </c>
      <c r="J97">
        <f>SUMIFS('NFL QB Data By Year'!$P:$P,'NFL QB Data By Year'!$D:$D,Table2[[#This Row],[Player Name]],'NFL QB Data By Year'!$B:$B,Table2[[#This Row],[Draft Year]]+J$1)</f>
        <v>0</v>
      </c>
      <c r="K97">
        <f>SUMIFS('NFL QB Data By Year'!$Q:$Q,'NFL QB Data By Year'!$D:$D,Table2[[#This Row],[Player Name]],'NFL QB Data By Year'!$B:$B,Table2[[#This Row],[Draft Year]]+K$1)</f>
        <v>0</v>
      </c>
      <c r="L97">
        <f>SUMIFS('NFL QB Data By Year'!$P:$P,'NFL QB Data By Year'!$D:$D,Table2[[#This Row],[Player Name]],'NFL QB Data By Year'!$B:$B,Table2[[#This Row],[Draft Year]]+L$1)</f>
        <v>0</v>
      </c>
      <c r="M97">
        <f>Table2[[#This Row],[Year 1 G]]+Table2[[#This Row],[Year 2 G]]+Table2[[#This Row],[Year 3 G]]</f>
        <v>0</v>
      </c>
      <c r="N97">
        <f>Table2[[#This Row],[Year 1 FPTs]]+Table2[[#This Row],[Year 2 FPTs]]+Table2[[#This Row],[Year 3 FPTs]]</f>
        <v>0</v>
      </c>
      <c r="O97" s="7">
        <f>IFERROR(Table2[[#This Row],[Total FPTs]]/Table2[[#This Row],[Total G]],0)</f>
        <v>0</v>
      </c>
      <c r="P97">
        <v>10</v>
      </c>
      <c r="Q97" s="8">
        <f xml:space="preserve"> IFERROR(SUMIFS('College Data By Year'!J:J,'College Data By Year'!A:A,Table2[[#This Row],[Player Name]])/SUMIFS('College Data By Year'!L:L,'College Data By Year'!A:A,Table2[[#This Row],[Player Name]]),"")</f>
        <v>-4.3711450791096812E-2</v>
      </c>
      <c r="R97" s="11">
        <f xml:space="preserve"> IFERROR(SUMIFS('College Data By Year'!D:D,'College Data By Year'!A:A,Table2[[#This Row],[Player Name]])/SUMIFS('College Data By Year'!B:B,'College Data By Year'!A:A,Table2[[#This Row],[Player Name]]),"")</f>
        <v>5.0632911392405063E-2</v>
      </c>
      <c r="S97">
        <f>IF(SUMIFS('College Data By Year'!H:H,'College Data By Year'!A:A,Table2[[#This Row],[Player Name]])=0,"",SUMIFS('College Data By Year'!H:H,'College Data By Year'!A:A,Table2[[#This Row],[Player Name]]))</f>
        <v>128.19999999999999</v>
      </c>
      <c r="T97" s="7">
        <f>IFERROR(SUMIFS('College Data By Year'!D:D,'College Data By Year'!A:A,Table2[[#This Row],[Player Name]])/SUMIFS('College Data By Year'!E:E,'College Data By Year'!A:A,Table2[[#This Row],[Player Name]]),"")</f>
        <v>2.2068965517241379</v>
      </c>
      <c r="U97" s="7">
        <f>IFERROR(SUMIFS('College Data By Year'!B:B,'College Data By Year'!A:A,Table2[[#This Row],[Player Name]])/SUMIFS('College Data By Year'!I:I,'College Data By Year'!A:A,Table2[[#This Row],[Player Name]]),"")</f>
        <v>9.2262773722627731</v>
      </c>
      <c r="V97">
        <f>IF(SUMIFS('College Data By Year'!F:F,'College Data By Year'!A:A,Table2[[#This Row],[Player Name]])=0,"",SUMIFS('College Data By Year'!F:F,'College Data By Year'!A:A,Table2[[#This Row],[Player Name]]))</f>
        <v>7</v>
      </c>
      <c r="W97">
        <f>IF(SUMIFS('College Data By Year'!G:G,'College Data By Year'!A:A,Table2[[#This Row],[Player Name]])=0,"",SUMIFS('College Data By Year'!G:G,'College Data By Year'!A:A,Table2[[#This Row],[Player Name]]))</f>
        <v>7</v>
      </c>
      <c r="X97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5.7815845824411134E-2</v>
      </c>
      <c r="Y97">
        <v>4.91</v>
      </c>
      <c r="Z97">
        <v>8.875</v>
      </c>
      <c r="AA97" t="s">
        <v>227</v>
      </c>
      <c r="AB97">
        <v>230</v>
      </c>
      <c r="AC97">
        <v>28</v>
      </c>
      <c r="AD97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97">
        <f>ROUND(IF(Table2[[#This Row],[Draft Round]]=1,10,IF(Table2[[#This Row],[Draft Round]]=8,0,10/(20.884*EXP(-0.381*1))*(20.884*EXP(-0.381*Table2[[#This Row],[Draft Round]])))),0)</f>
        <v>0</v>
      </c>
      <c r="AF97">
        <f>ROUND(IF(Table2[[#This Row],[College BF Dominator]]&gt;0.3,10,IF(Table2[[#This Row],[College BF Dominator]]&lt;-0.156,0,10/(20.818*0.3+3.2667)*(20.818*Table2[[#This Row],[College BF Dominator]]+3.2667))),0)</f>
        <v>2</v>
      </c>
      <c r="AG97">
        <f>ROUND(IF(Table2[[#This Row],[College PTDR]]&gt;0.085,10,IF(Table2[[#This Row],[College PTDR]]&lt;0.04,0,10/(105.24*0.085-1.7837)*(105.24*Table2[[#This Row],[College PTDR]]-1.7837))),0)</f>
        <v>5</v>
      </c>
      <c r="AH97">
        <f>ROUND(IF(Table2[[#This Row],[College Passer Rating]]&gt;170,10,IF(Table2[[#This Row],[College Passer Rating]]&lt;112.475,0,10/(0.1495*170-16.815)*(0.1495*Table2[[#This Row],[College Passer Rating]]-16.815))),0)</f>
        <v>3</v>
      </c>
      <c r="AI97">
        <f>ROUND(IF(Table2[[#This Row],[PTD:INT]]&gt;4,10,IF(Table2[[#This Row],[PTD:INT]]&lt;1,0,10/(4.7442*LN(4)+0.4256)*(4.7442*LN(Table2[[#This Row],[PTD:INT]])+0.4256))),0)</f>
        <v>6</v>
      </c>
      <c r="AJ97">
        <f>ROUND(IF(Table2[[#This Row],[Patt:Ratt]]&lt;2.5,10,IF(Table2[[#This Row],[Patt:Ratt]]&gt;15,0,10/(-2.684*LN(2.5)+9.0869)*(-2.684*LN(Table2[[#This Row],[Patt:Ratt]])+9.0869))),0)</f>
        <v>5</v>
      </c>
      <c r="AK97">
        <f>ROUND(IF(Table2[[#This Row],[Y/A]]&gt;9.2,10,IF(Table2[[#This Row],[Y/A]]&lt;6.26,0,10/(2.2619*9.2-14.16)*(2.2619*Table2[[#This Row],[Y/A]]-14.16))),0)</f>
        <v>3</v>
      </c>
      <c r="AL97">
        <f>ROUND(IF(Table2[[#This Row],[AY/A]]&gt;10,10,IF(Table2[[#This Row],[AY/A]]&lt;5.51,0,10/(1.6571*10-9.1312)*(1.6571*Table2[[#This Row],[AY/A]]-9.1312))),0)</f>
        <v>3</v>
      </c>
      <c r="AM97">
        <f>ROUND(IF(Table2[[#This Row],[40 Yd Dash]]&lt;4.75,10,IF(Table2[[#This Row],[40 Yd Dash]]&gt;5.191,0,10/(-66.95*LN(4.75)+110.26)*(-66.95*LN(Table2[[#This Row],[40 Yd Dash]])+110.26))),0)</f>
        <v>6</v>
      </c>
      <c r="AN97">
        <f>ROUND(IF(Table2[[#This Row],[Hand Size]]&gt;10.25,10,IF(Table2[[#This Row],[Hand Size]]&lt;9,0,10/(15.49*LN(10.25)-30.577)*(15.49*LN(Table2[[#This Row],[Hand Size]])-30.577))),0)</f>
        <v>0</v>
      </c>
    </row>
    <row r="98" spans="1:40">
      <c r="A98">
        <v>2015</v>
      </c>
      <c r="B98">
        <v>8</v>
      </c>
      <c r="C98" t="s">
        <v>219</v>
      </c>
      <c r="D98" t="s">
        <v>123</v>
      </c>
      <c r="E98">
        <v>5.6</v>
      </c>
      <c r="F98" t="s">
        <v>236</v>
      </c>
      <c r="G98">
        <f>SUMIFS('NFL QB Data By Year'!$Q:$Q,'NFL QB Data By Year'!$D:$D,Table2[[#This Row],[Player Name]],'NFL QB Data By Year'!$B:$B,Table2[[#This Row],[Draft Year]]+G$1)</f>
        <v>0</v>
      </c>
      <c r="H98">
        <f>SUMIFS('NFL QB Data By Year'!$P:$P,'NFL QB Data By Year'!$D:$D,Table2[[#This Row],[Player Name]],'NFL QB Data By Year'!$B:$B,Table2[[#This Row],[Draft Year]]+H$1)</f>
        <v>0</v>
      </c>
      <c r="I98">
        <f>SUMIFS('NFL QB Data By Year'!$Q:$Q,'NFL QB Data By Year'!$D:$D,Table2[[#This Row],[Player Name]],'NFL QB Data By Year'!$B:$B,Table2[[#This Row],[Draft Year]]+I$1)</f>
        <v>0</v>
      </c>
      <c r="J98">
        <f>SUMIFS('NFL QB Data By Year'!$P:$P,'NFL QB Data By Year'!$D:$D,Table2[[#This Row],[Player Name]],'NFL QB Data By Year'!$B:$B,Table2[[#This Row],[Draft Year]]+J$1)</f>
        <v>0</v>
      </c>
      <c r="K98">
        <f>SUMIFS('NFL QB Data By Year'!$Q:$Q,'NFL QB Data By Year'!$D:$D,Table2[[#This Row],[Player Name]],'NFL QB Data By Year'!$B:$B,Table2[[#This Row],[Draft Year]]+K$1)</f>
        <v>0</v>
      </c>
      <c r="L98">
        <f>SUMIFS('NFL QB Data By Year'!$P:$P,'NFL QB Data By Year'!$D:$D,Table2[[#This Row],[Player Name]],'NFL QB Data By Year'!$B:$B,Table2[[#This Row],[Draft Year]]+L$1)</f>
        <v>0</v>
      </c>
      <c r="M98">
        <f>Table2[[#This Row],[Year 1 G]]+Table2[[#This Row],[Year 2 G]]+Table2[[#This Row],[Year 3 G]]</f>
        <v>0</v>
      </c>
      <c r="N98">
        <f>Table2[[#This Row],[Year 1 FPTs]]+Table2[[#This Row],[Year 2 FPTs]]+Table2[[#This Row],[Year 3 FPTs]]</f>
        <v>0</v>
      </c>
      <c r="O98" s="7">
        <f>IFERROR(Table2[[#This Row],[Total FPTs]]/Table2[[#This Row],[Total G]],0)</f>
        <v>0</v>
      </c>
      <c r="P98">
        <v>10</v>
      </c>
      <c r="Q98" s="8">
        <f xml:space="preserve"> IFERROR(SUMIFS('College Data By Year'!J:J,'College Data By Year'!A:A,Table2[[#This Row],[Player Name]])/SUMIFS('College Data By Year'!L:L,'College Data By Year'!A:A,Table2[[#This Row],[Player Name]]),"")</f>
        <v>-0.1777456647398844</v>
      </c>
      <c r="R98" s="11">
        <f xml:space="preserve"> IFERROR(SUMIFS('College Data By Year'!D:D,'College Data By Year'!A:A,Table2[[#This Row],[Player Name]])/SUMIFS('College Data By Year'!B:B,'College Data By Year'!A:A,Table2[[#This Row],[Player Name]]),"")</f>
        <v>5.5079559363525092E-2</v>
      </c>
      <c r="S98">
        <f>IF(SUMIFS('College Data By Year'!H:H,'College Data By Year'!A:A,Table2[[#This Row],[Player Name]])=0,"",SUMIFS('College Data By Year'!H:H,'College Data By Year'!A:A,Table2[[#This Row],[Player Name]]))</f>
        <v>132.19999999999999</v>
      </c>
      <c r="T98" s="7">
        <f>IFERROR(SUMIFS('College Data By Year'!D:D,'College Data By Year'!A:A,Table2[[#This Row],[Player Name]])/SUMIFS('College Data By Year'!E:E,'College Data By Year'!A:A,Table2[[#This Row],[Player Name]]),"")</f>
        <v>1.8</v>
      </c>
      <c r="U98" s="7">
        <f>IFERROR(SUMIFS('College Data By Year'!B:B,'College Data By Year'!A:A,Table2[[#This Row],[Player Name]])/SUMIFS('College Data By Year'!I:I,'College Data By Year'!A:A,Table2[[#This Row],[Player Name]]),"")</f>
        <v>14.589285714285714</v>
      </c>
      <c r="V98">
        <f>IF(SUMIFS('College Data By Year'!F:F,'College Data By Year'!A:A,Table2[[#This Row],[Player Name]])=0,"",SUMIFS('College Data By Year'!F:F,'College Data By Year'!A:A,Table2[[#This Row],[Player Name]]))</f>
        <v>6.9</v>
      </c>
      <c r="W98">
        <f>IF(SUMIFS('College Data By Year'!G:G,'College Data By Year'!A:A,Table2[[#This Row],[Player Name]])=0,"",SUMIFS('College Data By Year'!G:G,'College Data By Year'!A:A,Table2[[#This Row],[Player Name]]))</f>
        <v>6.6</v>
      </c>
      <c r="X98" s="9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>4.2382588774341354E-2</v>
      </c>
      <c r="Y98">
        <v>4.87</v>
      </c>
      <c r="Z98">
        <v>8.375</v>
      </c>
      <c r="AA98" t="s">
        <v>229</v>
      </c>
      <c r="AB98">
        <v>204</v>
      </c>
      <c r="AC98">
        <v>25.5</v>
      </c>
      <c r="AD98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98">
        <f>ROUND(IF(Table2[[#This Row],[Draft Round]]=1,10,IF(Table2[[#This Row],[Draft Round]]=8,0,10/(20.884*EXP(-0.381*1))*(20.884*EXP(-0.381*Table2[[#This Row],[Draft Round]])))),0)</f>
        <v>0</v>
      </c>
      <c r="AF98">
        <f>ROUND(IF(Table2[[#This Row],[College BF Dominator]]&gt;0.3,10,IF(Table2[[#This Row],[College BF Dominator]]&lt;-0.156,0,10/(20.818*0.3+3.2667)*(20.818*Table2[[#This Row],[College BF Dominator]]+3.2667))),0)</f>
        <v>0</v>
      </c>
      <c r="AG98">
        <f>ROUND(IF(Table2[[#This Row],[College PTDR]]&gt;0.085,10,IF(Table2[[#This Row],[College PTDR]]&lt;0.04,0,10/(105.24*0.085-1.7837)*(105.24*Table2[[#This Row],[College PTDR]]-1.7837))),0)</f>
        <v>6</v>
      </c>
      <c r="AH98">
        <f>ROUND(IF(Table2[[#This Row],[College Passer Rating]]&gt;170,10,IF(Table2[[#This Row],[College Passer Rating]]&lt;112.475,0,10/(0.1495*170-16.815)*(0.1495*Table2[[#This Row],[College Passer Rating]]-16.815))),0)</f>
        <v>3</v>
      </c>
      <c r="AI98">
        <f>ROUND(IF(Table2[[#This Row],[PTD:INT]]&gt;4,10,IF(Table2[[#This Row],[PTD:INT]]&lt;1,0,10/(4.7442*LN(4)+0.4256)*(4.7442*LN(Table2[[#This Row],[PTD:INT]])+0.4256))),0)</f>
        <v>5</v>
      </c>
      <c r="AJ98">
        <f>ROUND(IF(Table2[[#This Row],[Patt:Ratt]]&lt;2.5,10,IF(Table2[[#This Row],[Patt:Ratt]]&gt;15,0,10/(-2.684*LN(2.5)+9.0869)*(-2.684*LN(Table2[[#This Row],[Patt:Ratt]])+9.0869))),0)</f>
        <v>3</v>
      </c>
      <c r="AK98">
        <f>ROUND(IF(Table2[[#This Row],[Y/A]]&gt;9.2,10,IF(Table2[[#This Row],[Y/A]]&lt;6.26,0,10/(2.2619*9.2-14.16)*(2.2619*Table2[[#This Row],[Y/A]]-14.16))),0)</f>
        <v>2</v>
      </c>
      <c r="AL98">
        <f>ROUND(IF(Table2[[#This Row],[AY/A]]&gt;10,10,IF(Table2[[#This Row],[AY/A]]&lt;5.51,0,10/(1.6571*10-9.1312)*(1.6571*Table2[[#This Row],[AY/A]]-9.1312))),0)</f>
        <v>2</v>
      </c>
      <c r="AM98">
        <f>ROUND(IF(Table2[[#This Row],[40 Yd Dash]]&lt;4.75,10,IF(Table2[[#This Row],[40 Yd Dash]]&gt;5.191,0,10/(-66.95*LN(4.75)+110.26)*(-66.95*LN(Table2[[#This Row],[40 Yd Dash]])+110.26))),0)</f>
        <v>7</v>
      </c>
      <c r="AN98">
        <f>ROUND(IF(Table2[[#This Row],[Hand Size]]&gt;10.25,10,IF(Table2[[#This Row],[Hand Size]]&lt;9,0,10/(15.49*LN(10.25)-30.577)*(15.49*LN(Table2[[#This Row],[Hand Size]])-30.577))),0)</f>
        <v>0</v>
      </c>
    </row>
    <row r="99" spans="1:40">
      <c r="A99">
        <v>2022</v>
      </c>
      <c r="B99">
        <v>1</v>
      </c>
      <c r="C99" t="s">
        <v>219</v>
      </c>
      <c r="D99" t="s">
        <v>131</v>
      </c>
      <c r="E99">
        <v>6.4</v>
      </c>
      <c r="G99">
        <f>SUMIFS('NFL QB Data By Year'!$Q:$Q,'NFL QB Data By Year'!$D:$D,Table2[[#This Row],[Player Name]],'NFL QB Data By Year'!$B:$B,Table2[[#This Row],[Draft Year]]+G$1)</f>
        <v>0</v>
      </c>
      <c r="H99">
        <f>SUMIFS('NFL QB Data By Year'!$P:$P,'NFL QB Data By Year'!$D:$D,Table2[[#This Row],[Player Name]],'NFL QB Data By Year'!$B:$B,Table2[[#This Row],[Draft Year]]+H$1)</f>
        <v>0</v>
      </c>
      <c r="I99">
        <f>SUMIFS('NFL QB Data By Year'!$Q:$Q,'NFL QB Data By Year'!$D:$D,Table2[[#This Row],[Player Name]],'NFL QB Data By Year'!$B:$B,Table2[[#This Row],[Draft Year]]+I$1)</f>
        <v>0</v>
      </c>
      <c r="J99">
        <f>SUMIFS('NFL QB Data By Year'!$P:$P,'NFL QB Data By Year'!$D:$D,Table2[[#This Row],[Player Name]],'NFL QB Data By Year'!$B:$B,Table2[[#This Row],[Draft Year]]+J$1)</f>
        <v>0</v>
      </c>
      <c r="K99">
        <f>SUMIFS('NFL QB Data By Year'!$Q:$Q,'NFL QB Data By Year'!$D:$D,Table2[[#This Row],[Player Name]],'NFL QB Data By Year'!$B:$B,Table2[[#This Row],[Draft Year]]+K$1)</f>
        <v>0</v>
      </c>
      <c r="L99">
        <f>SUMIFS('NFL QB Data By Year'!$P:$P,'NFL QB Data By Year'!$D:$D,Table2[[#This Row],[Player Name]],'NFL QB Data By Year'!$B:$B,Table2[[#This Row],[Draft Year]]+L$1)</f>
        <v>0</v>
      </c>
      <c r="M99">
        <f>Table2[[#This Row],[Year 1 G]]+Table2[[#This Row],[Year 2 G]]+Table2[[#This Row],[Year 3 G]]</f>
        <v>0</v>
      </c>
      <c r="N99">
        <f>Table2[[#This Row],[Year 1 FPTs]]+Table2[[#This Row],[Year 2 FPTs]]+Table2[[#This Row],[Year 3 FPTs]]</f>
        <v>0</v>
      </c>
      <c r="O99">
        <f>IFERROR(Table2[[#This Row],[Total FPTs]]/Table2[[#This Row],[Total G]],0)</f>
        <v>0</v>
      </c>
      <c r="Q99" s="8">
        <f>809/(2107+1319+1544+3191+1782)</f>
        <v>8.1363773509001314E-2</v>
      </c>
      <c r="R99" s="11">
        <f>81/1674</f>
        <v>4.8387096774193547E-2</v>
      </c>
      <c r="S99">
        <f>136.3</f>
        <v>136.30000000000001</v>
      </c>
      <c r="T99" s="7">
        <f>81/32</f>
        <v>2.53125</v>
      </c>
      <c r="U99" s="7">
        <f>1674/416</f>
        <v>4.0240384615384617</v>
      </c>
      <c r="V99">
        <v>7.3</v>
      </c>
      <c r="W99">
        <v>7.5</v>
      </c>
      <c r="X99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99">
        <v>4.7300000000000004</v>
      </c>
      <c r="Z99">
        <v>8.5</v>
      </c>
      <c r="AD99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99">
        <f>ROUND(IF(Table2[[#This Row],[Draft Round]]=1,10,IF(Table2[[#This Row],[Draft Round]]=8,0,10/(20.884*EXP(-0.381*1))*(20.884*EXP(-0.381*Table2[[#This Row],[Draft Round]])))),0)</f>
        <v>10</v>
      </c>
      <c r="AF99">
        <f>ROUND(IF(Table2[[#This Row],[College BF Dominator]]&gt;0.3,10,IF(Table2[[#This Row],[College BF Dominator]]&lt;-0.156,0,10/(20.818*0.3+3.2667)*(20.818*Table2[[#This Row],[College BF Dominator]]+3.2667))),0)</f>
        <v>5</v>
      </c>
      <c r="AG99">
        <f>ROUND(IF(Table2[[#This Row],[College PTDR]]&gt;0.085,10,IF(Table2[[#This Row],[College PTDR]]&lt;0.04,0,10/(105.24*0.085-1.7837)*(105.24*Table2[[#This Row],[College PTDR]]-1.7837))),0)</f>
        <v>5</v>
      </c>
      <c r="AH99">
        <f>ROUND(IF(Table2[[#This Row],[College Passer Rating]]&gt;170,10,IF(Table2[[#This Row],[College Passer Rating]]&lt;112.475,0,10/(0.1495*170-16.815)*(0.1495*Table2[[#This Row],[College Passer Rating]]-16.815))),0)</f>
        <v>4</v>
      </c>
      <c r="AI99">
        <f>ROUND(IF(Table2[[#This Row],[PTD:INT]]&gt;4,10,IF(Table2[[#This Row],[PTD:INT]]&lt;1,0,10/(4.7442*LN(4)+0.4256)*(4.7442*LN(Table2[[#This Row],[PTD:INT]])+0.4256))),0)</f>
        <v>7</v>
      </c>
      <c r="AJ99">
        <f>ROUND(IF(Table2[[#This Row],[Patt:Ratt]]&lt;2.5,10,IF(Table2[[#This Row],[Patt:Ratt]]&gt;15,0,10/(-2.684*LN(2.5)+9.0869)*(-2.684*LN(Table2[[#This Row],[Patt:Ratt]])+9.0869))),0)</f>
        <v>8</v>
      </c>
      <c r="AK99">
        <f>ROUND(IF(Table2[[#This Row],[Y/A]]&gt;9.2,10,IF(Table2[[#This Row],[Y/A]]&lt;6.26,0,10/(2.2619*9.2-14.16)*(2.2619*Table2[[#This Row],[Y/A]]-14.16))),0)</f>
        <v>4</v>
      </c>
      <c r="AL99">
        <f>ROUND(IF(Table2[[#This Row],[AY/A]]&gt;10,10,IF(Table2[[#This Row],[AY/A]]&lt;5.51,0,10/(1.6571*10-9.1312)*(1.6571*Table2[[#This Row],[AY/A]]-9.1312))),0)</f>
        <v>4</v>
      </c>
      <c r="AM99">
        <f>ROUND(IF(Table2[[#This Row],[40 Yd Dash]]&lt;4.75,10,IF(Table2[[#This Row],[40 Yd Dash]]&gt;5.191,0,10/(-66.95*LN(4.75)+110.26)*(-66.95*LN(Table2[[#This Row],[40 Yd Dash]])+110.26))),0)</f>
        <v>10</v>
      </c>
      <c r="AN99">
        <f>ROUND(IF(Table2[[#This Row],[Hand Size]]&gt;10.25,10,IF(Table2[[#This Row],[Hand Size]]&lt;9,0,10/(15.49*LN(10.25)-30.577)*(15.49*LN(Table2[[#This Row],[Hand Size]])-30.577))),0)</f>
        <v>0</v>
      </c>
    </row>
    <row r="100" spans="1:40">
      <c r="A100">
        <v>2022</v>
      </c>
      <c r="B100">
        <v>3</v>
      </c>
      <c r="C100" t="s">
        <v>219</v>
      </c>
      <c r="D100" t="s">
        <v>134</v>
      </c>
      <c r="E100">
        <v>6.36</v>
      </c>
      <c r="G100">
        <f>SUMIFS('NFL QB Data By Year'!$Q:$Q,'NFL QB Data By Year'!$D:$D,Table2[[#This Row],[Player Name]],'NFL QB Data By Year'!$B:$B,Table2[[#This Row],[Draft Year]]+G$1)</f>
        <v>0</v>
      </c>
      <c r="H100">
        <f>SUMIFS('NFL QB Data By Year'!$P:$P,'NFL QB Data By Year'!$D:$D,Table2[[#This Row],[Player Name]],'NFL QB Data By Year'!$B:$B,Table2[[#This Row],[Draft Year]]+H$1)</f>
        <v>0</v>
      </c>
      <c r="I100">
        <f>SUMIFS('NFL QB Data By Year'!$Q:$Q,'NFL QB Data By Year'!$D:$D,Table2[[#This Row],[Player Name]],'NFL QB Data By Year'!$B:$B,Table2[[#This Row],[Draft Year]]+I$1)</f>
        <v>0</v>
      </c>
      <c r="J100">
        <f>SUMIFS('NFL QB Data By Year'!$P:$P,'NFL QB Data By Year'!$D:$D,Table2[[#This Row],[Player Name]],'NFL QB Data By Year'!$B:$B,Table2[[#This Row],[Draft Year]]+J$1)</f>
        <v>0</v>
      </c>
      <c r="K100">
        <f>SUMIFS('NFL QB Data By Year'!$Q:$Q,'NFL QB Data By Year'!$D:$D,Table2[[#This Row],[Player Name]],'NFL QB Data By Year'!$B:$B,Table2[[#This Row],[Draft Year]]+K$1)</f>
        <v>0</v>
      </c>
      <c r="L100">
        <f>SUMIFS('NFL QB Data By Year'!$P:$P,'NFL QB Data By Year'!$D:$D,Table2[[#This Row],[Player Name]],'NFL QB Data By Year'!$B:$B,Table2[[#This Row],[Draft Year]]+L$1)</f>
        <v>0</v>
      </c>
      <c r="M100">
        <f>Table2[[#This Row],[Year 1 G]]+Table2[[#This Row],[Year 2 G]]+Table2[[#This Row],[Year 3 G]]</f>
        <v>0</v>
      </c>
      <c r="N100">
        <f>Table2[[#This Row],[Year 1 FPTs]]+Table2[[#This Row],[Year 2 FPTs]]+Table2[[#This Row],[Year 3 FPTs]]</f>
        <v>0</v>
      </c>
      <c r="O100">
        <f>IFERROR(Table2[[#This Row],[Total FPTs]]/Table2[[#This Row],[Total G]],0)</f>
        <v>0</v>
      </c>
      <c r="Q100" s="8">
        <f>2180/(2406+2124+2912+3113)</f>
        <v>0.20653718616769304</v>
      </c>
      <c r="R100" s="11">
        <f>87/1304</f>
        <v>6.6717791411042948E-2</v>
      </c>
      <c r="S100">
        <v>145.80000000000001</v>
      </c>
      <c r="T100" s="7">
        <f>87/28</f>
        <v>3.1071428571428572</v>
      </c>
      <c r="U100" s="7">
        <f>1304/501</f>
        <v>2.6027944111776447</v>
      </c>
      <c r="V100">
        <v>7.9</v>
      </c>
      <c r="W100">
        <v>8.1999999999999993</v>
      </c>
      <c r="X100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0">
        <v>4.5199999999999996</v>
      </c>
      <c r="Z100">
        <v>10</v>
      </c>
      <c r="AD100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100">
        <f>ROUND(IF(Table2[[#This Row],[Draft Round]]=1,10,IF(Table2[[#This Row],[Draft Round]]=8,0,10/(20.884*EXP(-0.381*1))*(20.884*EXP(-0.381*Table2[[#This Row],[Draft Round]])))),0)</f>
        <v>5</v>
      </c>
      <c r="AF100">
        <f>ROUND(IF(Table2[[#This Row],[College BF Dominator]]&gt;0.3,10,IF(Table2[[#This Row],[College BF Dominator]]&lt;-0.156,0,10/(20.818*0.3+3.2667)*(20.818*Table2[[#This Row],[College BF Dominator]]+3.2667))),0)</f>
        <v>8</v>
      </c>
      <c r="AG100">
        <f>ROUND(IF(Table2[[#This Row],[College PTDR]]&gt;0.085,10,IF(Table2[[#This Row],[College PTDR]]&lt;0.04,0,10/(105.24*0.085-1.7837)*(105.24*Table2[[#This Row],[College PTDR]]-1.7837))),0)</f>
        <v>7</v>
      </c>
      <c r="AH100">
        <f>ROUND(IF(Table2[[#This Row],[College Passer Rating]]&gt;170,10,IF(Table2[[#This Row],[College Passer Rating]]&lt;112.475,0,10/(0.1495*170-16.815)*(0.1495*Table2[[#This Row],[College Passer Rating]]-16.815))),0)</f>
        <v>6</v>
      </c>
      <c r="AI100">
        <f>ROUND(IF(Table2[[#This Row],[PTD:INT]]&gt;4,10,IF(Table2[[#This Row],[PTD:INT]]&lt;1,0,10/(4.7442*LN(4)+0.4256)*(4.7442*LN(Table2[[#This Row],[PTD:INT]])+0.4256))),0)</f>
        <v>8</v>
      </c>
      <c r="AJ100">
        <f>ROUND(IF(Table2[[#This Row],[Patt:Ratt]]&lt;2.5,10,IF(Table2[[#This Row],[Patt:Ratt]]&gt;15,0,10/(-2.684*LN(2.5)+9.0869)*(-2.684*LN(Table2[[#This Row],[Patt:Ratt]])+9.0869))),0)</f>
        <v>10</v>
      </c>
      <c r="AK100">
        <f>ROUND(IF(Table2[[#This Row],[Y/A]]&gt;9.2,10,IF(Table2[[#This Row],[Y/A]]&lt;6.26,0,10/(2.2619*9.2-14.16)*(2.2619*Table2[[#This Row],[Y/A]]-14.16))),0)</f>
        <v>6</v>
      </c>
      <c r="AL100">
        <f>ROUND(IF(Table2[[#This Row],[AY/A]]&gt;10,10,IF(Table2[[#This Row],[AY/A]]&lt;5.51,0,10/(1.6571*10-9.1312)*(1.6571*Table2[[#This Row],[AY/A]]-9.1312))),0)</f>
        <v>6</v>
      </c>
      <c r="AM100">
        <f>ROUND(IF(Table2[[#This Row],[40 Yd Dash]]&lt;4.75,10,IF(Table2[[#This Row],[40 Yd Dash]]&gt;5.191,0,10/(-66.95*LN(4.75)+110.26)*(-66.95*LN(Table2[[#This Row],[40 Yd Dash]])+110.26))),0)</f>
        <v>10</v>
      </c>
      <c r="AN100">
        <f>ROUND(IF(Table2[[#This Row],[Hand Size]]&gt;10.25,10,IF(Table2[[#This Row],[Hand Size]]&lt;9,0,10/(15.49*LN(10.25)-30.577)*(15.49*LN(Table2[[#This Row],[Hand Size]])-30.577))),0)</f>
        <v>9</v>
      </c>
    </row>
    <row r="101" spans="1:40">
      <c r="A101">
        <v>2022</v>
      </c>
      <c r="B101">
        <v>3</v>
      </c>
      <c r="C101" t="s">
        <v>219</v>
      </c>
      <c r="D101" t="s">
        <v>133</v>
      </c>
      <c r="E101">
        <v>6.41</v>
      </c>
      <c r="G101">
        <f>SUMIFS('NFL QB Data By Year'!$Q:$Q,'NFL QB Data By Year'!$D:$D,Table2[[#This Row],[Player Name]],'NFL QB Data By Year'!$B:$B,Table2[[#This Row],[Draft Year]]+G$1)</f>
        <v>0</v>
      </c>
      <c r="H101">
        <f>SUMIFS('NFL QB Data By Year'!$P:$P,'NFL QB Data By Year'!$D:$D,Table2[[#This Row],[Player Name]],'NFL QB Data By Year'!$B:$B,Table2[[#This Row],[Draft Year]]+H$1)</f>
        <v>0</v>
      </c>
      <c r="I101">
        <f>SUMIFS('NFL QB Data By Year'!$Q:$Q,'NFL QB Data By Year'!$D:$D,Table2[[#This Row],[Player Name]],'NFL QB Data By Year'!$B:$B,Table2[[#This Row],[Draft Year]]+I$1)</f>
        <v>0</v>
      </c>
      <c r="J101">
        <f>SUMIFS('NFL QB Data By Year'!$P:$P,'NFL QB Data By Year'!$D:$D,Table2[[#This Row],[Player Name]],'NFL QB Data By Year'!$B:$B,Table2[[#This Row],[Draft Year]]+J$1)</f>
        <v>0</v>
      </c>
      <c r="K101">
        <f>SUMIFS('NFL QB Data By Year'!$Q:$Q,'NFL QB Data By Year'!$D:$D,Table2[[#This Row],[Player Name]],'NFL QB Data By Year'!$B:$B,Table2[[#This Row],[Draft Year]]+K$1)</f>
        <v>0</v>
      </c>
      <c r="L101">
        <f>SUMIFS('NFL QB Data By Year'!$P:$P,'NFL QB Data By Year'!$D:$D,Table2[[#This Row],[Player Name]],'NFL QB Data By Year'!$B:$B,Table2[[#This Row],[Draft Year]]+L$1)</f>
        <v>0</v>
      </c>
      <c r="M101">
        <f>Table2[[#This Row],[Year 1 G]]+Table2[[#This Row],[Year 2 G]]+Table2[[#This Row],[Year 3 G]]</f>
        <v>0</v>
      </c>
      <c r="N101">
        <f>Table2[[#This Row],[Year 1 FPTs]]+Table2[[#This Row],[Year 2 FPTs]]+Table2[[#This Row],[Year 3 FPTs]]</f>
        <v>0</v>
      </c>
      <c r="O101">
        <f>IFERROR(Table2[[#This Row],[Total FPTs]]/Table2[[#This Row],[Total G]],0)</f>
        <v>0</v>
      </c>
      <c r="Q101" s="8">
        <f>2131/(3056+2177+2776+2350)</f>
        <v>0.20571483733951154</v>
      </c>
      <c r="R101" s="11">
        <f>48/618</f>
        <v>7.7669902912621352E-2</v>
      </c>
      <c r="S101">
        <v>152.9</v>
      </c>
      <c r="T101" s="7">
        <f>48/18</f>
        <v>2.6666666666666665</v>
      </c>
      <c r="U101" s="7">
        <f>618/366</f>
        <v>1.6885245901639345</v>
      </c>
      <c r="V101">
        <v>8.4</v>
      </c>
      <c r="W101">
        <v>8.6</v>
      </c>
      <c r="X101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1">
        <v>4.5199999999999996</v>
      </c>
      <c r="Z101">
        <v>9.5</v>
      </c>
      <c r="AD101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01">
        <f>ROUND(IF(Table2[[#This Row],[Draft Round]]=1,10,IF(Table2[[#This Row],[Draft Round]]=8,0,10/(20.884*EXP(-0.381*1))*(20.884*EXP(-0.381*Table2[[#This Row],[Draft Round]])))),0)</f>
        <v>5</v>
      </c>
      <c r="AF101">
        <f>ROUND(IF(Table2[[#This Row],[College BF Dominator]]&gt;0.3,10,IF(Table2[[#This Row],[College BF Dominator]]&lt;-0.156,0,10/(20.818*0.3+3.2667)*(20.818*Table2[[#This Row],[College BF Dominator]]+3.2667))),0)</f>
        <v>8</v>
      </c>
      <c r="AG101">
        <f>ROUND(IF(Table2[[#This Row],[College PTDR]]&gt;0.085,10,IF(Table2[[#This Row],[College PTDR]]&lt;0.04,0,10/(105.24*0.085-1.7837)*(105.24*Table2[[#This Row],[College PTDR]]-1.7837))),0)</f>
        <v>9</v>
      </c>
      <c r="AH101">
        <f>ROUND(IF(Table2[[#This Row],[College Passer Rating]]&gt;170,10,IF(Table2[[#This Row],[College Passer Rating]]&lt;112.475,0,10/(0.1495*170-16.815)*(0.1495*Table2[[#This Row],[College Passer Rating]]-16.815))),0)</f>
        <v>7</v>
      </c>
      <c r="AI101">
        <f>ROUND(IF(Table2[[#This Row],[PTD:INT]]&gt;4,10,IF(Table2[[#This Row],[PTD:INT]]&lt;1,0,10/(4.7442*LN(4)+0.4256)*(4.7442*LN(Table2[[#This Row],[PTD:INT]])+0.4256))),0)</f>
        <v>7</v>
      </c>
      <c r="AJ101">
        <f>ROUND(IF(Table2[[#This Row],[Patt:Ratt]]&lt;2.5,10,IF(Table2[[#This Row],[Patt:Ratt]]&gt;15,0,10/(-2.684*LN(2.5)+9.0869)*(-2.684*LN(Table2[[#This Row],[Patt:Ratt]])+9.0869))),0)</f>
        <v>10</v>
      </c>
      <c r="AK101">
        <f>ROUND(IF(Table2[[#This Row],[Y/A]]&gt;9.2,10,IF(Table2[[#This Row],[Y/A]]&lt;6.26,0,10/(2.2619*9.2-14.16)*(2.2619*Table2[[#This Row],[Y/A]]-14.16))),0)</f>
        <v>7</v>
      </c>
      <c r="AL101">
        <f>ROUND(IF(Table2[[#This Row],[AY/A]]&gt;10,10,IF(Table2[[#This Row],[AY/A]]&lt;5.51,0,10/(1.6571*10-9.1312)*(1.6571*Table2[[#This Row],[AY/A]]-9.1312))),0)</f>
        <v>7</v>
      </c>
      <c r="AM101">
        <f>ROUND(IF(Table2[[#This Row],[40 Yd Dash]]&lt;4.75,10,IF(Table2[[#This Row],[40 Yd Dash]]&gt;5.191,0,10/(-66.95*LN(4.75)+110.26)*(-66.95*LN(Table2[[#This Row],[40 Yd Dash]])+110.26))),0)</f>
        <v>10</v>
      </c>
      <c r="AN101">
        <f>ROUND(IF(Table2[[#This Row],[Hand Size]]&gt;10.25,10,IF(Table2[[#This Row],[Hand Size]]&lt;9,0,10/(15.49*LN(10.25)-30.577)*(15.49*LN(Table2[[#This Row],[Hand Size]])-30.577))),0)</f>
        <v>8</v>
      </c>
    </row>
    <row r="102" spans="1:40">
      <c r="A102">
        <v>2022</v>
      </c>
      <c r="B102">
        <v>3</v>
      </c>
      <c r="C102" t="s">
        <v>219</v>
      </c>
      <c r="D102" t="s">
        <v>132</v>
      </c>
      <c r="E102">
        <v>6.4</v>
      </c>
      <c r="G102">
        <f>SUMIFS('NFL QB Data By Year'!$Q:$Q,'NFL QB Data By Year'!$D:$D,Table2[[#This Row],[Player Name]],'NFL QB Data By Year'!$B:$B,Table2[[#This Row],[Draft Year]]+G$1)</f>
        <v>0</v>
      </c>
      <c r="H102">
        <f>SUMIFS('NFL QB Data By Year'!$P:$P,'NFL QB Data By Year'!$D:$D,Table2[[#This Row],[Player Name]],'NFL QB Data By Year'!$B:$B,Table2[[#This Row],[Draft Year]]+H$1)</f>
        <v>0</v>
      </c>
      <c r="I102">
        <f>SUMIFS('NFL QB Data By Year'!$Q:$Q,'NFL QB Data By Year'!$D:$D,Table2[[#This Row],[Player Name]],'NFL QB Data By Year'!$B:$B,Table2[[#This Row],[Draft Year]]+I$1)</f>
        <v>0</v>
      </c>
      <c r="J102">
        <f>SUMIFS('NFL QB Data By Year'!$P:$P,'NFL QB Data By Year'!$D:$D,Table2[[#This Row],[Player Name]],'NFL QB Data By Year'!$B:$B,Table2[[#This Row],[Draft Year]]+J$1)</f>
        <v>0</v>
      </c>
      <c r="K102">
        <f>SUMIFS('NFL QB Data By Year'!$Q:$Q,'NFL QB Data By Year'!$D:$D,Table2[[#This Row],[Player Name]],'NFL QB Data By Year'!$B:$B,Table2[[#This Row],[Draft Year]]+K$1)</f>
        <v>0</v>
      </c>
      <c r="L102">
        <f>SUMIFS('NFL QB Data By Year'!$P:$P,'NFL QB Data By Year'!$D:$D,Table2[[#This Row],[Player Name]],'NFL QB Data By Year'!$B:$B,Table2[[#This Row],[Draft Year]]+L$1)</f>
        <v>0</v>
      </c>
      <c r="M102">
        <f>Table2[[#This Row],[Year 1 G]]+Table2[[#This Row],[Year 2 G]]+Table2[[#This Row],[Year 3 G]]</f>
        <v>0</v>
      </c>
      <c r="N102">
        <f>Table2[[#This Row],[Year 1 FPTs]]+Table2[[#This Row],[Year 2 FPTs]]+Table2[[#This Row],[Year 3 FPTs]]</f>
        <v>0</v>
      </c>
      <c r="O102">
        <f>IFERROR(Table2[[#This Row],[Total FPTs]]/Table2[[#This Row],[Total G]],0)</f>
        <v>0</v>
      </c>
      <c r="Q102" s="8">
        <f>1338/(2829+2106+3015+1969)</f>
        <v>0.13489263030547435</v>
      </c>
      <c r="R102" s="11">
        <f>57/912</f>
        <v>6.25E-2</v>
      </c>
      <c r="S102">
        <v>159.19999999999999</v>
      </c>
      <c r="T102" s="7">
        <f>57/23</f>
        <v>2.4782608695652173</v>
      </c>
      <c r="U102" s="7">
        <f>912/334</f>
        <v>2.7305389221556888</v>
      </c>
      <c r="V102">
        <f>9.1</f>
        <v>9.1</v>
      </c>
      <c r="W102">
        <v>9.1999999999999993</v>
      </c>
      <c r="X102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2">
        <v>4.6399999999999997</v>
      </c>
      <c r="Z102">
        <v>9.625</v>
      </c>
      <c r="AD102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02">
        <f>ROUND(IF(Table2[[#This Row],[Draft Round]]=1,10,IF(Table2[[#This Row],[Draft Round]]=8,0,10/(20.884*EXP(-0.381*1))*(20.884*EXP(-0.381*Table2[[#This Row],[Draft Round]])))),0)</f>
        <v>5</v>
      </c>
      <c r="AF102">
        <f>ROUND(IF(Table2[[#This Row],[College BF Dominator]]&gt;0.3,10,IF(Table2[[#This Row],[College BF Dominator]]&lt;-0.156,0,10/(20.818*0.3+3.2667)*(20.818*Table2[[#This Row],[College BF Dominator]]+3.2667))),0)</f>
        <v>6</v>
      </c>
      <c r="AG102">
        <f>ROUND(IF(Table2[[#This Row],[College PTDR]]&gt;0.085,10,IF(Table2[[#This Row],[College PTDR]]&lt;0.04,0,10/(105.24*0.085-1.7837)*(105.24*Table2[[#This Row],[College PTDR]]-1.7837))),0)</f>
        <v>7</v>
      </c>
      <c r="AH102">
        <f>ROUND(IF(Table2[[#This Row],[College Passer Rating]]&gt;170,10,IF(Table2[[#This Row],[College Passer Rating]]&lt;112.475,0,10/(0.1495*170-16.815)*(0.1495*Table2[[#This Row],[College Passer Rating]]-16.815))),0)</f>
        <v>8</v>
      </c>
      <c r="AI102">
        <f>ROUND(IF(Table2[[#This Row],[PTD:INT]]&gt;4,10,IF(Table2[[#This Row],[PTD:INT]]&lt;1,0,10/(4.7442*LN(4)+0.4256)*(4.7442*LN(Table2[[#This Row],[PTD:INT]])+0.4256))),0)</f>
        <v>7</v>
      </c>
      <c r="AJ102">
        <f>ROUND(IF(Table2[[#This Row],[Patt:Ratt]]&lt;2.5,10,IF(Table2[[#This Row],[Patt:Ratt]]&gt;15,0,10/(-2.684*LN(2.5)+9.0869)*(-2.684*LN(Table2[[#This Row],[Patt:Ratt]])+9.0869))),0)</f>
        <v>10</v>
      </c>
      <c r="AK102">
        <f>ROUND(IF(Table2[[#This Row],[Y/A]]&gt;9.2,10,IF(Table2[[#This Row],[Y/A]]&lt;6.26,0,10/(2.2619*9.2-14.16)*(2.2619*Table2[[#This Row],[Y/A]]-14.16))),0)</f>
        <v>10</v>
      </c>
      <c r="AL102">
        <f>ROUND(IF(Table2[[#This Row],[AY/A]]&gt;10,10,IF(Table2[[#This Row],[AY/A]]&lt;5.51,0,10/(1.6571*10-9.1312)*(1.6571*Table2[[#This Row],[AY/A]]-9.1312))),0)</f>
        <v>8</v>
      </c>
      <c r="AM102">
        <f>ROUND(IF(Table2[[#This Row],[40 Yd Dash]]&lt;4.75,10,IF(Table2[[#This Row],[40 Yd Dash]]&gt;5.191,0,10/(-66.95*LN(4.75)+110.26)*(-66.95*LN(Table2[[#This Row],[40 Yd Dash]])+110.26))),0)</f>
        <v>10</v>
      </c>
      <c r="AN102">
        <f>ROUND(IF(Table2[[#This Row],[Hand Size]]&gt;10.25,10,IF(Table2[[#This Row],[Hand Size]]&lt;9,0,10/(15.49*LN(10.25)-30.577)*(15.49*LN(Table2[[#This Row],[Hand Size]])-30.577))),0)</f>
        <v>8</v>
      </c>
    </row>
    <row r="103" spans="1:40">
      <c r="A103">
        <v>2022</v>
      </c>
      <c r="B103">
        <v>4</v>
      </c>
      <c r="C103" t="s">
        <v>219</v>
      </c>
      <c r="D103" t="s">
        <v>136</v>
      </c>
      <c r="E103">
        <v>5.67</v>
      </c>
      <c r="G103">
        <f>SUMIFS('NFL QB Data By Year'!$Q:$Q,'NFL QB Data By Year'!$D:$D,Table2[[#This Row],[Player Name]],'NFL QB Data By Year'!$B:$B,Table2[[#This Row],[Draft Year]]+G$1)</f>
        <v>0</v>
      </c>
      <c r="H103">
        <f>SUMIFS('NFL QB Data By Year'!$P:$P,'NFL QB Data By Year'!$D:$D,Table2[[#This Row],[Player Name]],'NFL QB Data By Year'!$B:$B,Table2[[#This Row],[Draft Year]]+H$1)</f>
        <v>0</v>
      </c>
      <c r="I103">
        <f>SUMIFS('NFL QB Data By Year'!$Q:$Q,'NFL QB Data By Year'!$D:$D,Table2[[#This Row],[Player Name]],'NFL QB Data By Year'!$B:$B,Table2[[#This Row],[Draft Year]]+I$1)</f>
        <v>0</v>
      </c>
      <c r="J103">
        <f>SUMIFS('NFL QB Data By Year'!$P:$P,'NFL QB Data By Year'!$D:$D,Table2[[#This Row],[Player Name]],'NFL QB Data By Year'!$B:$B,Table2[[#This Row],[Draft Year]]+J$1)</f>
        <v>0</v>
      </c>
      <c r="K103">
        <f>SUMIFS('NFL QB Data By Year'!$Q:$Q,'NFL QB Data By Year'!$D:$D,Table2[[#This Row],[Player Name]],'NFL QB Data By Year'!$B:$B,Table2[[#This Row],[Draft Year]]+K$1)</f>
        <v>0</v>
      </c>
      <c r="L103">
        <f>SUMIFS('NFL QB Data By Year'!$P:$P,'NFL QB Data By Year'!$D:$D,Table2[[#This Row],[Player Name]],'NFL QB Data By Year'!$B:$B,Table2[[#This Row],[Draft Year]]+L$1)</f>
        <v>0</v>
      </c>
      <c r="M103">
        <f>Table2[[#This Row],[Year 1 G]]+Table2[[#This Row],[Year 2 G]]+Table2[[#This Row],[Year 3 G]]</f>
        <v>0</v>
      </c>
      <c r="N103">
        <f>Table2[[#This Row],[Year 1 FPTs]]+Table2[[#This Row],[Year 2 FPTs]]+Table2[[#This Row],[Year 3 FPTs]]</f>
        <v>0</v>
      </c>
      <c r="O103">
        <f>IFERROR(Table2[[#This Row],[Total FPTs]]/Table2[[#This Row],[Total G]],0)</f>
        <v>0</v>
      </c>
      <c r="Q103" s="8">
        <f>17/1435</f>
        <v>1.1846689895470384E-2</v>
      </c>
      <c r="R103" s="11">
        <f>62/686</f>
        <v>9.0379008746355682E-2</v>
      </c>
      <c r="S103">
        <f>168.9</f>
        <v>168.9</v>
      </c>
      <c r="T103" s="7">
        <f>62/11</f>
        <v>5.6363636363636367</v>
      </c>
      <c r="U103" s="7">
        <f>686/51</f>
        <v>13.450980392156863</v>
      </c>
      <c r="V103">
        <f>8.7</f>
        <v>8.6999999999999993</v>
      </c>
      <c r="W103">
        <v>9.8000000000000007</v>
      </c>
      <c r="X103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3">
        <v>4.88</v>
      </c>
      <c r="Z103">
        <v>9.75</v>
      </c>
      <c r="AD103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03">
        <f>ROUND(IF(Table2[[#This Row],[Draft Round]]=1,10,IF(Table2[[#This Row],[Draft Round]]=8,0,10/(20.884*EXP(-0.381*1))*(20.884*EXP(-0.381*Table2[[#This Row],[Draft Round]])))),0)</f>
        <v>3</v>
      </c>
      <c r="AF103">
        <f>ROUND(IF(Table2[[#This Row],[College BF Dominator]]&gt;0.3,10,IF(Table2[[#This Row],[College BF Dominator]]&lt;-0.156,0,10/(20.818*0.3+3.2667)*(20.818*Table2[[#This Row],[College BF Dominator]]+3.2667))),0)</f>
        <v>4</v>
      </c>
      <c r="AG103">
        <f>ROUND(IF(Table2[[#This Row],[College PTDR]]&gt;0.085,10,IF(Table2[[#This Row],[College PTDR]]&lt;0.04,0,10/(105.24*0.085-1.7837)*(105.24*Table2[[#This Row],[College PTDR]]-1.7837))),0)</f>
        <v>10</v>
      </c>
      <c r="AH103">
        <f>ROUND(IF(Table2[[#This Row],[College Passer Rating]]&gt;170,10,IF(Table2[[#This Row],[College Passer Rating]]&lt;112.475,0,10/(0.1495*170-16.815)*(0.1495*Table2[[#This Row],[College Passer Rating]]-16.815))),0)</f>
        <v>10</v>
      </c>
      <c r="AI103">
        <f>ROUND(IF(Table2[[#This Row],[PTD:INT]]&gt;4,10,IF(Table2[[#This Row],[PTD:INT]]&lt;1,0,10/(4.7442*LN(4)+0.4256)*(4.7442*LN(Table2[[#This Row],[PTD:INT]])+0.4256))),0)</f>
        <v>10</v>
      </c>
      <c r="AJ103">
        <f>ROUND(IF(Table2[[#This Row],[Patt:Ratt]]&lt;2.5,10,IF(Table2[[#This Row],[Patt:Ratt]]&gt;15,0,10/(-2.684*LN(2.5)+9.0869)*(-2.684*LN(Table2[[#This Row],[Patt:Ratt]])+9.0869))),0)</f>
        <v>3</v>
      </c>
      <c r="AK103">
        <f>ROUND(IF(Table2[[#This Row],[Y/A]]&gt;9.2,10,IF(Table2[[#This Row],[Y/A]]&lt;6.26,0,10/(2.2619*9.2-14.16)*(2.2619*Table2[[#This Row],[Y/A]]-14.16))),0)</f>
        <v>8</v>
      </c>
      <c r="AL103">
        <f>ROUND(IF(Table2[[#This Row],[AY/A]]&gt;10,10,IF(Table2[[#This Row],[AY/A]]&lt;5.51,0,10/(1.6571*10-9.1312)*(1.6571*Table2[[#This Row],[AY/A]]-9.1312))),0)</f>
        <v>10</v>
      </c>
      <c r="AM103">
        <f>ROUND(IF(Table2[[#This Row],[40 Yd Dash]]&lt;4.75,10,IF(Table2[[#This Row],[40 Yd Dash]]&gt;5.191,0,10/(-66.95*LN(4.75)+110.26)*(-66.95*LN(Table2[[#This Row],[40 Yd Dash]])+110.26))),0)</f>
        <v>7</v>
      </c>
      <c r="AN103">
        <f>ROUND(IF(Table2[[#This Row],[Hand Size]]&gt;10.25,10,IF(Table2[[#This Row],[Hand Size]]&lt;9,0,10/(15.49*LN(10.25)-30.577)*(15.49*LN(Table2[[#This Row],[Hand Size]])-30.577))),0)</f>
        <v>9</v>
      </c>
    </row>
    <row r="104" spans="1:40">
      <c r="A104">
        <v>2022</v>
      </c>
      <c r="B104">
        <v>5</v>
      </c>
      <c r="C104" t="s">
        <v>219</v>
      </c>
      <c r="D104" t="s">
        <v>135</v>
      </c>
      <c r="E104">
        <v>6.22</v>
      </c>
      <c r="G104">
        <f>SUMIFS('NFL QB Data By Year'!$Q:$Q,'NFL QB Data By Year'!$D:$D,Table2[[#This Row],[Player Name]],'NFL QB Data By Year'!$B:$B,Table2[[#This Row],[Draft Year]]+G$1)</f>
        <v>0</v>
      </c>
      <c r="H104">
        <f>SUMIFS('NFL QB Data By Year'!$P:$P,'NFL QB Data By Year'!$D:$D,Table2[[#This Row],[Player Name]],'NFL QB Data By Year'!$B:$B,Table2[[#This Row],[Draft Year]]+H$1)</f>
        <v>0</v>
      </c>
      <c r="I104">
        <f>SUMIFS('NFL QB Data By Year'!$Q:$Q,'NFL QB Data By Year'!$D:$D,Table2[[#This Row],[Player Name]],'NFL QB Data By Year'!$B:$B,Table2[[#This Row],[Draft Year]]+I$1)</f>
        <v>0</v>
      </c>
      <c r="J104">
        <f>SUMIFS('NFL QB Data By Year'!$P:$P,'NFL QB Data By Year'!$D:$D,Table2[[#This Row],[Player Name]],'NFL QB Data By Year'!$B:$B,Table2[[#This Row],[Draft Year]]+J$1)</f>
        <v>0</v>
      </c>
      <c r="K104">
        <f>SUMIFS('NFL QB Data By Year'!$Q:$Q,'NFL QB Data By Year'!$D:$D,Table2[[#This Row],[Player Name]],'NFL QB Data By Year'!$B:$B,Table2[[#This Row],[Draft Year]]+K$1)</f>
        <v>0</v>
      </c>
      <c r="L104">
        <f>SUMIFS('NFL QB Data By Year'!$P:$P,'NFL QB Data By Year'!$D:$D,Table2[[#This Row],[Player Name]],'NFL QB Data By Year'!$B:$B,Table2[[#This Row],[Draft Year]]+L$1)</f>
        <v>0</v>
      </c>
      <c r="M104">
        <f>Table2[[#This Row],[Year 1 G]]+Table2[[#This Row],[Year 2 G]]+Table2[[#This Row],[Year 3 G]]</f>
        <v>0</v>
      </c>
      <c r="N104">
        <f>Table2[[#This Row],[Year 1 FPTs]]+Table2[[#This Row],[Year 2 FPTs]]+Table2[[#This Row],[Year 3 FPTs]]</f>
        <v>0</v>
      </c>
      <c r="O104">
        <f>IFERROR(Table2[[#This Row],[Total FPTs]]/Table2[[#This Row],[Total G]],0)</f>
        <v>0</v>
      </c>
      <c r="Q104" s="8">
        <f>1009/(2765+2830+2446)</f>
        <v>0.12548190523566721</v>
      </c>
      <c r="R104" s="11">
        <f>92/1117</f>
        <v>8.2363473589973146E-2</v>
      </c>
      <c r="S104">
        <f>164.2</f>
        <v>164.2</v>
      </c>
      <c r="T104" s="7">
        <f>92/23</f>
        <v>4</v>
      </c>
      <c r="U104" s="7">
        <f>1117/369</f>
        <v>3.02710027100271</v>
      </c>
      <c r="V104">
        <v>9.1999999999999993</v>
      </c>
      <c r="W104">
        <v>9.9</v>
      </c>
      <c r="X104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4">
        <v>4.68</v>
      </c>
      <c r="Z104">
        <v>9.125</v>
      </c>
      <c r="AD104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04">
        <f>ROUND(IF(Table2[[#This Row],[Draft Round]]=1,10,IF(Table2[[#This Row],[Draft Round]]=8,0,10/(20.884*EXP(-0.381*1))*(20.884*EXP(-0.381*Table2[[#This Row],[Draft Round]])))),0)</f>
        <v>2</v>
      </c>
      <c r="AF104">
        <f>ROUND(IF(Table2[[#This Row],[College BF Dominator]]&gt;0.3,10,IF(Table2[[#This Row],[College BF Dominator]]&lt;-0.156,0,10/(20.818*0.3+3.2667)*(20.818*Table2[[#This Row],[College BF Dominator]]+3.2667))),0)</f>
        <v>6</v>
      </c>
      <c r="AG104">
        <f>ROUND(IF(Table2[[#This Row],[College PTDR]]&gt;0.085,10,IF(Table2[[#This Row],[College PTDR]]&lt;0.04,0,10/(105.24*0.085-1.7837)*(105.24*Table2[[#This Row],[College PTDR]]-1.7837))),0)</f>
        <v>10</v>
      </c>
      <c r="AH104">
        <f>ROUND(IF(Table2[[#This Row],[College Passer Rating]]&gt;170,10,IF(Table2[[#This Row],[College Passer Rating]]&lt;112.475,0,10/(0.1495*170-16.815)*(0.1495*Table2[[#This Row],[College Passer Rating]]-16.815))),0)</f>
        <v>9</v>
      </c>
      <c r="AI104">
        <f>ROUND(IF(Table2[[#This Row],[PTD:INT]]&gt;4,10,IF(Table2[[#This Row],[PTD:INT]]&lt;1,0,10/(4.7442*LN(4)+0.4256)*(4.7442*LN(Table2[[#This Row],[PTD:INT]])+0.4256))),0)</f>
        <v>10</v>
      </c>
      <c r="AJ104">
        <f>ROUND(IF(Table2[[#This Row],[Patt:Ratt]]&lt;2.5,10,IF(Table2[[#This Row],[Patt:Ratt]]&gt;15,0,10/(-2.684*LN(2.5)+9.0869)*(-2.684*LN(Table2[[#This Row],[Patt:Ratt]])+9.0869))),0)</f>
        <v>9</v>
      </c>
      <c r="AK104">
        <f>ROUND(IF(Table2[[#This Row],[Y/A]]&gt;9.2,10,IF(Table2[[#This Row],[Y/A]]&lt;6.26,0,10/(2.2619*9.2-14.16)*(2.2619*Table2[[#This Row],[Y/A]]-14.16))),0)</f>
        <v>10</v>
      </c>
      <c r="AL104">
        <f>ROUND(IF(Table2[[#This Row],[AY/A]]&gt;10,10,IF(Table2[[#This Row],[AY/A]]&lt;5.51,0,10/(1.6571*10-9.1312)*(1.6571*Table2[[#This Row],[AY/A]]-9.1312))),0)</f>
        <v>10</v>
      </c>
      <c r="AM104">
        <f>ROUND(IF(Table2[[#This Row],[40 Yd Dash]]&lt;4.75,10,IF(Table2[[#This Row],[40 Yd Dash]]&gt;5.191,0,10/(-66.95*LN(4.75)+110.26)*(-66.95*LN(Table2[[#This Row],[40 Yd Dash]])+110.26))),0)</f>
        <v>10</v>
      </c>
      <c r="AN104">
        <f>ROUND(IF(Table2[[#This Row],[Hand Size]]&gt;10.25,10,IF(Table2[[#This Row],[Hand Size]]&lt;9,0,10/(15.49*LN(10.25)-30.577)*(15.49*LN(Table2[[#This Row],[Hand Size]])-30.577))),0)</f>
        <v>7</v>
      </c>
    </row>
    <row r="105" spans="1:40">
      <c r="A105">
        <v>2022</v>
      </c>
      <c r="B105">
        <v>7</v>
      </c>
      <c r="C105" t="s">
        <v>219</v>
      </c>
      <c r="D105" t="s">
        <v>139</v>
      </c>
      <c r="E105">
        <v>5.57</v>
      </c>
      <c r="G105">
        <f>SUMIFS('NFL QB Data By Year'!$Q:$Q,'NFL QB Data By Year'!$D:$D,Table2[[#This Row],[Player Name]],'NFL QB Data By Year'!$B:$B,Table2[[#This Row],[Draft Year]]+G$1)</f>
        <v>0</v>
      </c>
      <c r="H105">
        <f>SUMIFS('NFL QB Data By Year'!$P:$P,'NFL QB Data By Year'!$D:$D,Table2[[#This Row],[Player Name]],'NFL QB Data By Year'!$B:$B,Table2[[#This Row],[Draft Year]]+H$1)</f>
        <v>0</v>
      </c>
      <c r="I105">
        <f>SUMIFS('NFL QB Data By Year'!$Q:$Q,'NFL QB Data By Year'!$D:$D,Table2[[#This Row],[Player Name]],'NFL QB Data By Year'!$B:$B,Table2[[#This Row],[Draft Year]]+I$1)</f>
        <v>0</v>
      </c>
      <c r="J105">
        <f>SUMIFS('NFL QB Data By Year'!$P:$P,'NFL QB Data By Year'!$D:$D,Table2[[#This Row],[Player Name]],'NFL QB Data By Year'!$B:$B,Table2[[#This Row],[Draft Year]]+J$1)</f>
        <v>0</v>
      </c>
      <c r="K105">
        <f>SUMIFS('NFL QB Data By Year'!$Q:$Q,'NFL QB Data By Year'!$D:$D,Table2[[#This Row],[Player Name]],'NFL QB Data By Year'!$B:$B,Table2[[#This Row],[Draft Year]]+K$1)</f>
        <v>0</v>
      </c>
      <c r="L105">
        <f>SUMIFS('NFL QB Data By Year'!$P:$P,'NFL QB Data By Year'!$D:$D,Table2[[#This Row],[Player Name]],'NFL QB Data By Year'!$B:$B,Table2[[#This Row],[Draft Year]]+L$1)</f>
        <v>0</v>
      </c>
      <c r="M105">
        <f>Table2[[#This Row],[Year 1 G]]+Table2[[#This Row],[Year 2 G]]+Table2[[#This Row],[Year 3 G]]</f>
        <v>0</v>
      </c>
      <c r="N105">
        <f>Table2[[#This Row],[Year 1 FPTs]]+Table2[[#This Row],[Year 2 FPTs]]+Table2[[#This Row],[Year 3 FPTs]]</f>
        <v>0</v>
      </c>
      <c r="O105">
        <f>IFERROR(Table2[[#This Row],[Total FPTs]]/Table2[[#This Row],[Total G]],0)</f>
        <v>0</v>
      </c>
      <c r="Q105" s="8">
        <f>1177/(2089+2340+1729+1691)</f>
        <v>0.14995540833227164</v>
      </c>
      <c r="R105" s="11">
        <f>81/1467</f>
        <v>5.5214723926380369E-2</v>
      </c>
      <c r="S105">
        <v>151.1</v>
      </c>
      <c r="T105" s="7">
        <f>81/33</f>
        <v>2.4545454545454546</v>
      </c>
      <c r="U105" s="7">
        <f>1467/365</f>
        <v>4.0191780821917806</v>
      </c>
      <c r="V105">
        <v>8.3000000000000007</v>
      </c>
      <c r="W105">
        <v>8.4</v>
      </c>
      <c r="X105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5">
        <v>4.84</v>
      </c>
      <c r="Z105">
        <v>9.25</v>
      </c>
      <c r="AD105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05">
        <f>ROUND(IF(Table2[[#This Row],[Draft Round]]=1,10,IF(Table2[[#This Row],[Draft Round]]=8,0,10/(20.884*EXP(-0.381*1))*(20.884*EXP(-0.381*Table2[[#This Row],[Draft Round]])))),0)</f>
        <v>1</v>
      </c>
      <c r="AF105">
        <f>ROUND(IF(Table2[[#This Row],[College BF Dominator]]&gt;0.3,10,IF(Table2[[#This Row],[College BF Dominator]]&lt;-0.156,0,10/(20.818*0.3+3.2667)*(20.818*Table2[[#This Row],[College BF Dominator]]+3.2667))),0)</f>
        <v>7</v>
      </c>
      <c r="AG105">
        <f>ROUND(IF(Table2[[#This Row],[College PTDR]]&gt;0.085,10,IF(Table2[[#This Row],[College PTDR]]&lt;0.04,0,10/(105.24*0.085-1.7837)*(105.24*Table2[[#This Row],[College PTDR]]-1.7837))),0)</f>
        <v>6</v>
      </c>
      <c r="AH105">
        <f>ROUND(IF(Table2[[#This Row],[College Passer Rating]]&gt;170,10,IF(Table2[[#This Row],[College Passer Rating]]&lt;112.475,0,10/(0.1495*170-16.815)*(0.1495*Table2[[#This Row],[College Passer Rating]]-16.815))),0)</f>
        <v>7</v>
      </c>
      <c r="AI105">
        <f>ROUND(IF(Table2[[#This Row],[PTD:INT]]&gt;4,10,IF(Table2[[#This Row],[PTD:INT]]&lt;1,0,10/(4.7442*LN(4)+0.4256)*(4.7442*LN(Table2[[#This Row],[PTD:INT]])+0.4256))),0)</f>
        <v>7</v>
      </c>
      <c r="AJ105">
        <f>ROUND(IF(Table2[[#This Row],[Patt:Ratt]]&lt;2.5,10,IF(Table2[[#This Row],[Patt:Ratt]]&gt;15,0,10/(-2.684*LN(2.5)+9.0869)*(-2.684*LN(Table2[[#This Row],[Patt:Ratt]])+9.0869))),0)</f>
        <v>8</v>
      </c>
      <c r="AK105">
        <f>ROUND(IF(Table2[[#This Row],[Y/A]]&gt;9.2,10,IF(Table2[[#This Row],[Y/A]]&lt;6.26,0,10/(2.2619*9.2-14.16)*(2.2619*Table2[[#This Row],[Y/A]]-14.16))),0)</f>
        <v>7</v>
      </c>
      <c r="AL105">
        <f>ROUND(IF(Table2[[#This Row],[AY/A]]&gt;10,10,IF(Table2[[#This Row],[AY/A]]&lt;5.51,0,10/(1.6571*10-9.1312)*(1.6571*Table2[[#This Row],[AY/A]]-9.1312))),0)</f>
        <v>6</v>
      </c>
      <c r="AM105">
        <f>ROUND(IF(Table2[[#This Row],[40 Yd Dash]]&lt;4.75,10,IF(Table2[[#This Row],[40 Yd Dash]]&gt;5.191,0,10/(-66.95*LN(4.75)+110.26)*(-66.95*LN(Table2[[#This Row],[40 Yd Dash]])+110.26))),0)</f>
        <v>8</v>
      </c>
      <c r="AN105">
        <f>ROUND(IF(Table2[[#This Row],[Hand Size]]&gt;10.25,10,IF(Table2[[#This Row],[Hand Size]]&lt;9,0,10/(15.49*LN(10.25)-30.577)*(15.49*LN(Table2[[#This Row],[Hand Size]])-30.577))),0)</f>
        <v>7</v>
      </c>
    </row>
    <row r="106" spans="1:40" ht="15">
      <c r="A106">
        <v>2022</v>
      </c>
      <c r="B106">
        <v>7</v>
      </c>
      <c r="C106" t="s">
        <v>219</v>
      </c>
      <c r="D106" t="s">
        <v>145</v>
      </c>
      <c r="E106">
        <v>5.54</v>
      </c>
      <c r="G106">
        <f>SUMIFS('NFL QB Data By Year'!$Q:$Q,'NFL QB Data By Year'!$D:$D,Table2[[#This Row],[Player Name]],'NFL QB Data By Year'!$B:$B,Table2[[#This Row],[Draft Year]]+G$1)</f>
        <v>0</v>
      </c>
      <c r="H106">
        <f>SUMIFS('NFL QB Data By Year'!$P:$P,'NFL QB Data By Year'!$D:$D,Table2[[#This Row],[Player Name]],'NFL QB Data By Year'!$B:$B,Table2[[#This Row],[Draft Year]]+H$1)</f>
        <v>0</v>
      </c>
      <c r="I106">
        <f>SUMIFS('NFL QB Data By Year'!$Q:$Q,'NFL QB Data By Year'!$D:$D,Table2[[#This Row],[Player Name]],'NFL QB Data By Year'!$B:$B,Table2[[#This Row],[Draft Year]]+I$1)</f>
        <v>0</v>
      </c>
      <c r="J106">
        <f>SUMIFS('NFL QB Data By Year'!$P:$P,'NFL QB Data By Year'!$D:$D,Table2[[#This Row],[Player Name]],'NFL QB Data By Year'!$B:$B,Table2[[#This Row],[Draft Year]]+J$1)</f>
        <v>0</v>
      </c>
      <c r="K106">
        <f>SUMIFS('NFL QB Data By Year'!$Q:$Q,'NFL QB Data By Year'!$D:$D,Table2[[#This Row],[Player Name]],'NFL QB Data By Year'!$B:$B,Table2[[#This Row],[Draft Year]]+K$1)</f>
        <v>0</v>
      </c>
      <c r="L106">
        <f>SUMIFS('NFL QB Data By Year'!$P:$P,'NFL QB Data By Year'!$D:$D,Table2[[#This Row],[Player Name]],'NFL QB Data By Year'!$B:$B,Table2[[#This Row],[Draft Year]]+L$1)</f>
        <v>0</v>
      </c>
      <c r="M106">
        <f>Table2[[#This Row],[Year 1 G]]+Table2[[#This Row],[Year 2 G]]+Table2[[#This Row],[Year 3 G]]</f>
        <v>0</v>
      </c>
      <c r="N106">
        <f>Table2[[#This Row],[Year 1 FPTs]]+Table2[[#This Row],[Year 2 FPTs]]+Table2[[#This Row],[Year 3 FPTs]]</f>
        <v>0</v>
      </c>
      <c r="O106">
        <f>IFERROR(Table2[[#This Row],[Total FPTs]]/Table2[[#This Row],[Total G]],0)</f>
        <v>0</v>
      </c>
      <c r="Q106" s="8">
        <v>0.1038</v>
      </c>
      <c r="R106" s="11">
        <f>42/885</f>
        <v>4.7457627118644069E-2</v>
      </c>
      <c r="S106">
        <v>142</v>
      </c>
      <c r="T106" s="7">
        <v>2.63</v>
      </c>
      <c r="U106" s="7">
        <v>2.4900000000000002</v>
      </c>
      <c r="V106">
        <v>8</v>
      </c>
      <c r="W106">
        <v>8.1999999999999993</v>
      </c>
      <c r="X106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6">
        <v>4.91</v>
      </c>
      <c r="Z106">
        <v>8.625</v>
      </c>
      <c r="AD106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06">
        <f>ROUND(IF(Table2[[#This Row],[Draft Round]]=1,10,IF(Table2[[#This Row],[Draft Round]]=8,0,10/(20.884*EXP(-0.381*1))*(20.884*EXP(-0.381*Table2[[#This Row],[Draft Round]])))),0)</f>
        <v>1</v>
      </c>
      <c r="AF106">
        <f>ROUND(IF(Table2[[#This Row],[College BF Dominator]]&gt;0.3,10,IF(Table2[[#This Row],[College BF Dominator]]&lt;-0.156,0,10/(20.818*0.3+3.2667)*(20.818*Table2[[#This Row],[College BF Dominator]]+3.2667))),0)</f>
        <v>6</v>
      </c>
      <c r="AG106">
        <f>ROUND(IF(Table2[[#This Row],[College PTDR]]&gt;0.085,10,IF(Table2[[#This Row],[College PTDR]]&lt;0.04,0,10/(105.24*0.085-1.7837)*(105.24*Table2[[#This Row],[College PTDR]]-1.7837))),0)</f>
        <v>4</v>
      </c>
      <c r="AH106">
        <f>ROUND(IF(Table2[[#This Row],[College Passer Rating]]&gt;170,10,IF(Table2[[#This Row],[College Passer Rating]]&lt;112.475,0,10/(0.1495*170-16.815)*(0.1495*Table2[[#This Row],[College Passer Rating]]-16.815))),0)</f>
        <v>5</v>
      </c>
      <c r="AI106">
        <f>ROUND(IF(Table2[[#This Row],[PTD:INT]]&gt;4,10,IF(Table2[[#This Row],[PTD:INT]]&lt;1,0,10/(4.7442*LN(4)+0.4256)*(4.7442*LN(Table2[[#This Row],[PTD:INT]])+0.4256))),0)</f>
        <v>7</v>
      </c>
      <c r="AJ106">
        <f>ROUND(IF(Table2[[#This Row],[Patt:Ratt]]&lt;2.5,10,IF(Table2[[#This Row],[Patt:Ratt]]&gt;15,0,10/(-2.684*LN(2.5)+9.0869)*(-2.684*LN(Table2[[#This Row],[Patt:Ratt]])+9.0869))),0)</f>
        <v>10</v>
      </c>
      <c r="AK106">
        <f>ROUND(IF(Table2[[#This Row],[Y/A]]&gt;9.2,10,IF(Table2[[#This Row],[Y/A]]&lt;6.26,0,10/(2.2619*9.2-14.16)*(2.2619*Table2[[#This Row],[Y/A]]-14.16))),0)</f>
        <v>6</v>
      </c>
      <c r="AL106">
        <f>ROUND(IF(Table2[[#This Row],[AY/A]]&gt;10,10,IF(Table2[[#This Row],[AY/A]]&lt;5.51,0,10/(1.6571*10-9.1312)*(1.6571*Table2[[#This Row],[AY/A]]-9.1312))),0)</f>
        <v>6</v>
      </c>
      <c r="AM106">
        <f>ROUND(IF(Table2[[#This Row],[40 Yd Dash]]&lt;4.75,10,IF(Table2[[#This Row],[40 Yd Dash]]&gt;5.191,0,10/(-66.95*LN(4.75)+110.26)*(-66.95*LN(Table2[[#This Row],[40 Yd Dash]])+110.26))),0)</f>
        <v>6</v>
      </c>
      <c r="AN106">
        <f>ROUND(IF(Table2[[#This Row],[Hand Size]]&gt;10.25,10,IF(Table2[[#This Row],[Hand Size]]&lt;9,0,10/(15.49*LN(10.25)-30.577)*(15.49*LN(Table2[[#This Row],[Hand Size]])-30.577))),0)</f>
        <v>0</v>
      </c>
    </row>
    <row r="107" spans="1:40">
      <c r="A107">
        <v>2022</v>
      </c>
      <c r="B107">
        <v>7</v>
      </c>
      <c r="C107" t="s">
        <v>219</v>
      </c>
      <c r="D107" t="s">
        <v>142</v>
      </c>
      <c r="G107">
        <f>SUMIFS('NFL QB Data By Year'!$Q:$Q,'NFL QB Data By Year'!$D:$D,Table2[[#This Row],[Player Name]],'NFL QB Data By Year'!$B:$B,Table2[[#This Row],[Draft Year]]+G$1)</f>
        <v>0</v>
      </c>
      <c r="H107">
        <f>SUMIFS('NFL QB Data By Year'!$P:$P,'NFL QB Data By Year'!$D:$D,Table2[[#This Row],[Player Name]],'NFL QB Data By Year'!$B:$B,Table2[[#This Row],[Draft Year]]+H$1)</f>
        <v>0</v>
      </c>
      <c r="I107">
        <f>SUMIFS('NFL QB Data By Year'!$Q:$Q,'NFL QB Data By Year'!$D:$D,Table2[[#This Row],[Player Name]],'NFL QB Data By Year'!$B:$B,Table2[[#This Row],[Draft Year]]+I$1)</f>
        <v>0</v>
      </c>
      <c r="J107">
        <f>SUMIFS('NFL QB Data By Year'!$P:$P,'NFL QB Data By Year'!$D:$D,Table2[[#This Row],[Player Name]],'NFL QB Data By Year'!$B:$B,Table2[[#This Row],[Draft Year]]+J$1)</f>
        <v>0</v>
      </c>
      <c r="K107">
        <f>SUMIFS('NFL QB Data By Year'!$Q:$Q,'NFL QB Data By Year'!$D:$D,Table2[[#This Row],[Player Name]],'NFL QB Data By Year'!$B:$B,Table2[[#This Row],[Draft Year]]+K$1)</f>
        <v>0</v>
      </c>
      <c r="L107">
        <f>SUMIFS('NFL QB Data By Year'!$P:$P,'NFL QB Data By Year'!$D:$D,Table2[[#This Row],[Player Name]],'NFL QB Data By Year'!$B:$B,Table2[[#This Row],[Draft Year]]+L$1)</f>
        <v>0</v>
      </c>
      <c r="M107">
        <f>Table2[[#This Row],[Year 1 G]]+Table2[[#This Row],[Year 2 G]]+Table2[[#This Row],[Year 3 G]]</f>
        <v>0</v>
      </c>
      <c r="N107">
        <f>Table2[[#This Row],[Year 1 FPTs]]+Table2[[#This Row],[Year 2 FPTs]]+Table2[[#This Row],[Year 3 FPTs]]</f>
        <v>0</v>
      </c>
      <c r="O107">
        <f>IFERROR(Table2[[#This Row],[Total FPTs]]/Table2[[#This Row],[Total G]],0)</f>
        <v>0</v>
      </c>
      <c r="Q107" s="8">
        <f>685/(3169+2522+1673+701+429+166+95+66+31+15+9+10+1980+1125)</f>
        <v>5.7126177966808439E-2</v>
      </c>
      <c r="R107" s="11">
        <f>44/712</f>
        <v>6.1797752808988762E-2</v>
      </c>
      <c r="S107">
        <v>142.5</v>
      </c>
      <c r="T107" s="7">
        <f>44/16</f>
        <v>2.75</v>
      </c>
      <c r="U107" s="7">
        <f>712/222</f>
        <v>3.2072072072072073</v>
      </c>
      <c r="V107">
        <v>6.6</v>
      </c>
      <c r="W107">
        <v>6.9</v>
      </c>
      <c r="X107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7">
        <v>4.71</v>
      </c>
      <c r="Z107">
        <v>9.25</v>
      </c>
      <c r="AD107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07">
        <f>ROUND(IF(Table2[[#This Row],[Draft Round]]=1,10,IF(Table2[[#This Row],[Draft Round]]=8,0,10/(20.884*EXP(-0.381*1))*(20.884*EXP(-0.381*Table2[[#This Row],[Draft Round]])))),0)</f>
        <v>1</v>
      </c>
      <c r="AF107">
        <f>ROUND(IF(Table2[[#This Row],[College BF Dominator]]&gt;0.3,10,IF(Table2[[#This Row],[College BF Dominator]]&lt;-0.156,0,10/(20.818*0.3+3.2667)*(20.818*Table2[[#This Row],[College BF Dominator]]+3.2667))),0)</f>
        <v>5</v>
      </c>
      <c r="AG107">
        <f>ROUND(IF(Table2[[#This Row],[College PTDR]]&gt;0.085,10,IF(Table2[[#This Row],[College PTDR]]&lt;0.04,0,10/(105.24*0.085-1.7837)*(105.24*Table2[[#This Row],[College PTDR]]-1.7837))),0)</f>
        <v>7</v>
      </c>
      <c r="AH107">
        <f>ROUND(IF(Table2[[#This Row],[College Passer Rating]]&gt;170,10,IF(Table2[[#This Row],[College Passer Rating]]&lt;112.475,0,10/(0.1495*170-16.815)*(0.1495*Table2[[#This Row],[College Passer Rating]]-16.815))),0)</f>
        <v>5</v>
      </c>
      <c r="AI107">
        <f>ROUND(IF(Table2[[#This Row],[PTD:INT]]&gt;4,10,IF(Table2[[#This Row],[PTD:INT]]&lt;1,0,10/(4.7442*LN(4)+0.4256)*(4.7442*LN(Table2[[#This Row],[PTD:INT]])+0.4256))),0)</f>
        <v>7</v>
      </c>
      <c r="AJ107">
        <f>ROUND(IF(Table2[[#This Row],[Patt:Ratt]]&lt;2.5,10,IF(Table2[[#This Row],[Patt:Ratt]]&gt;15,0,10/(-2.684*LN(2.5)+9.0869)*(-2.684*LN(Table2[[#This Row],[Patt:Ratt]])+9.0869))),0)</f>
        <v>9</v>
      </c>
      <c r="AK107">
        <f>ROUND(IF(Table2[[#This Row],[Y/A]]&gt;9.2,10,IF(Table2[[#This Row],[Y/A]]&lt;6.26,0,10/(2.2619*9.2-14.16)*(2.2619*Table2[[#This Row],[Y/A]]-14.16))),0)</f>
        <v>1</v>
      </c>
      <c r="AL107">
        <f>ROUND(IF(Table2[[#This Row],[AY/A]]&gt;10,10,IF(Table2[[#This Row],[AY/A]]&lt;5.51,0,10/(1.6571*10-9.1312)*(1.6571*Table2[[#This Row],[AY/A]]-9.1312))),0)</f>
        <v>3</v>
      </c>
      <c r="AM107">
        <f>ROUND(IF(Table2[[#This Row],[40 Yd Dash]]&lt;4.75,10,IF(Table2[[#This Row],[40 Yd Dash]]&gt;5.191,0,10/(-66.95*LN(4.75)+110.26)*(-66.95*LN(Table2[[#This Row],[40 Yd Dash]])+110.26))),0)</f>
        <v>10</v>
      </c>
      <c r="AN107">
        <f>ROUND(IF(Table2[[#This Row],[Hand Size]]&gt;10.25,10,IF(Table2[[#This Row],[Hand Size]]&lt;9,0,10/(15.49*LN(10.25)-30.577)*(15.49*LN(Table2[[#This Row],[Hand Size]])-30.577))),0)</f>
        <v>7</v>
      </c>
    </row>
    <row r="108" spans="1:40">
      <c r="A108">
        <v>2022</v>
      </c>
      <c r="B108">
        <v>8</v>
      </c>
      <c r="C108" t="s">
        <v>219</v>
      </c>
      <c r="D108" t="s">
        <v>138</v>
      </c>
      <c r="E108">
        <v>6.1</v>
      </c>
      <c r="G108">
        <f>SUMIFS('NFL QB Data By Year'!$Q:$Q,'NFL QB Data By Year'!$D:$D,Table2[[#This Row],[Player Name]],'NFL QB Data By Year'!$B:$B,Table2[[#This Row],[Draft Year]]+G$1)</f>
        <v>0</v>
      </c>
      <c r="H108">
        <f>SUMIFS('NFL QB Data By Year'!$P:$P,'NFL QB Data By Year'!$D:$D,Table2[[#This Row],[Player Name]],'NFL QB Data By Year'!$B:$B,Table2[[#This Row],[Draft Year]]+H$1)</f>
        <v>0</v>
      </c>
      <c r="I108">
        <f>SUMIFS('NFL QB Data By Year'!$Q:$Q,'NFL QB Data By Year'!$D:$D,Table2[[#This Row],[Player Name]],'NFL QB Data By Year'!$B:$B,Table2[[#This Row],[Draft Year]]+I$1)</f>
        <v>0</v>
      </c>
      <c r="J108">
        <f>SUMIFS('NFL QB Data By Year'!$P:$P,'NFL QB Data By Year'!$D:$D,Table2[[#This Row],[Player Name]],'NFL QB Data By Year'!$B:$B,Table2[[#This Row],[Draft Year]]+J$1)</f>
        <v>0</v>
      </c>
      <c r="K108">
        <f>SUMIFS('NFL QB Data By Year'!$Q:$Q,'NFL QB Data By Year'!$D:$D,Table2[[#This Row],[Player Name]],'NFL QB Data By Year'!$B:$B,Table2[[#This Row],[Draft Year]]+K$1)</f>
        <v>0</v>
      </c>
      <c r="L108">
        <f>SUMIFS('NFL QB Data By Year'!$P:$P,'NFL QB Data By Year'!$D:$D,Table2[[#This Row],[Player Name]],'NFL QB Data By Year'!$B:$B,Table2[[#This Row],[Draft Year]]+L$1)</f>
        <v>0</v>
      </c>
      <c r="M108">
        <f>Table2[[#This Row],[Year 1 G]]+Table2[[#This Row],[Year 2 G]]+Table2[[#This Row],[Year 3 G]]</f>
        <v>0</v>
      </c>
      <c r="N108">
        <f>Table2[[#This Row],[Year 1 FPTs]]+Table2[[#This Row],[Year 2 FPTs]]+Table2[[#This Row],[Year 3 FPTs]]</f>
        <v>0</v>
      </c>
      <c r="O108">
        <f>IFERROR(Table2[[#This Row],[Total FPTs]]/Table2[[#This Row],[Total G]],0)</f>
        <v>0</v>
      </c>
      <c r="Q108" s="8">
        <f>-111/(1152+3263+3554+3121+1869)</f>
        <v>-8.5654757311520949E-3</v>
      </c>
      <c r="R108" s="11">
        <f>48/823</f>
        <v>5.8323207776427702E-2</v>
      </c>
      <c r="S108">
        <v>148</v>
      </c>
      <c r="T108" s="7">
        <f>48/15</f>
        <v>3.2</v>
      </c>
      <c r="U108" s="7">
        <f>823/133</f>
        <v>6.1879699248120303</v>
      </c>
      <c r="V108">
        <v>7.8</v>
      </c>
      <c r="W108">
        <v>8.1999999999999993</v>
      </c>
      <c r="X108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8">
        <v>4.9000000000000004</v>
      </c>
      <c r="Z108">
        <v>9.75</v>
      </c>
      <c r="AD108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08">
        <f>ROUND(IF(Table2[[#This Row],[Draft Round]]=1,10,IF(Table2[[#This Row],[Draft Round]]=8,0,10/(20.884*EXP(-0.381*1))*(20.884*EXP(-0.381*Table2[[#This Row],[Draft Round]])))),0)</f>
        <v>0</v>
      </c>
      <c r="AF108">
        <f>ROUND(IF(Table2[[#This Row],[College BF Dominator]]&gt;0.3,10,IF(Table2[[#This Row],[College BF Dominator]]&lt;-0.156,0,10/(20.818*0.3+3.2667)*(20.818*Table2[[#This Row],[College BF Dominator]]+3.2667))),0)</f>
        <v>3</v>
      </c>
      <c r="AG108">
        <f>ROUND(IF(Table2[[#This Row],[College PTDR]]&gt;0.085,10,IF(Table2[[#This Row],[College PTDR]]&lt;0.04,0,10/(105.24*0.085-1.7837)*(105.24*Table2[[#This Row],[College PTDR]]-1.7837))),0)</f>
        <v>6</v>
      </c>
      <c r="AH108">
        <f>ROUND(IF(Table2[[#This Row],[College Passer Rating]]&gt;170,10,IF(Table2[[#This Row],[College Passer Rating]]&lt;112.475,0,10/(0.1495*170-16.815)*(0.1495*Table2[[#This Row],[College Passer Rating]]-16.815))),0)</f>
        <v>6</v>
      </c>
      <c r="AI108">
        <f>ROUND(IF(Table2[[#This Row],[PTD:INT]]&gt;4,10,IF(Table2[[#This Row],[PTD:INT]]&lt;1,0,10/(4.7442*LN(4)+0.4256)*(4.7442*LN(Table2[[#This Row],[PTD:INT]])+0.4256))),0)</f>
        <v>8</v>
      </c>
      <c r="AJ108">
        <f>ROUND(IF(Table2[[#This Row],[Patt:Ratt]]&lt;2.5,10,IF(Table2[[#This Row],[Patt:Ratt]]&gt;15,0,10/(-2.684*LN(2.5)+9.0869)*(-2.684*LN(Table2[[#This Row],[Patt:Ratt]])+9.0869))),0)</f>
        <v>6</v>
      </c>
      <c r="AK108">
        <f>ROUND(IF(Table2[[#This Row],[Y/A]]&gt;9.2,10,IF(Table2[[#This Row],[Y/A]]&lt;6.26,0,10/(2.2619*9.2-14.16)*(2.2619*Table2[[#This Row],[Y/A]]-14.16))),0)</f>
        <v>5</v>
      </c>
      <c r="AL108">
        <f>ROUND(IF(Table2[[#This Row],[AY/A]]&gt;10,10,IF(Table2[[#This Row],[AY/A]]&lt;5.51,0,10/(1.6571*10-9.1312)*(1.6571*Table2[[#This Row],[AY/A]]-9.1312))),0)</f>
        <v>6</v>
      </c>
      <c r="AM108">
        <f>ROUND(IF(Table2[[#This Row],[40 Yd Dash]]&lt;4.75,10,IF(Table2[[#This Row],[40 Yd Dash]]&gt;5.191,0,10/(-66.95*LN(4.75)+110.26)*(-66.95*LN(Table2[[#This Row],[40 Yd Dash]])+110.26))),0)</f>
        <v>6</v>
      </c>
      <c r="AN108">
        <f>ROUND(IF(Table2[[#This Row],[Hand Size]]&gt;10.25,10,IF(Table2[[#This Row],[Hand Size]]&lt;9,0,10/(15.49*LN(10.25)-30.577)*(15.49*LN(Table2[[#This Row],[Hand Size]])-30.577))),0)</f>
        <v>9</v>
      </c>
    </row>
    <row r="109" spans="1:40">
      <c r="A109">
        <v>2022</v>
      </c>
      <c r="B109">
        <v>8</v>
      </c>
      <c r="C109" t="s">
        <v>219</v>
      </c>
      <c r="D109" t="s">
        <v>143</v>
      </c>
      <c r="E109">
        <v>6</v>
      </c>
      <c r="G109">
        <f>SUMIFS('NFL QB Data By Year'!$Q:$Q,'NFL QB Data By Year'!$D:$D,Table2[[#This Row],[Player Name]],'NFL QB Data By Year'!$B:$B,Table2[[#This Row],[Draft Year]]+G$1)</f>
        <v>0</v>
      </c>
      <c r="H109">
        <f>SUMIFS('NFL QB Data By Year'!$P:$P,'NFL QB Data By Year'!$D:$D,Table2[[#This Row],[Player Name]],'NFL QB Data By Year'!$B:$B,Table2[[#This Row],[Draft Year]]+H$1)</f>
        <v>0</v>
      </c>
      <c r="I109">
        <f>SUMIFS('NFL QB Data By Year'!$Q:$Q,'NFL QB Data By Year'!$D:$D,Table2[[#This Row],[Player Name]],'NFL QB Data By Year'!$B:$B,Table2[[#This Row],[Draft Year]]+I$1)</f>
        <v>0</v>
      </c>
      <c r="J109">
        <f>SUMIFS('NFL QB Data By Year'!$P:$P,'NFL QB Data By Year'!$D:$D,Table2[[#This Row],[Player Name]],'NFL QB Data By Year'!$B:$B,Table2[[#This Row],[Draft Year]]+J$1)</f>
        <v>0</v>
      </c>
      <c r="K109">
        <f>SUMIFS('NFL QB Data By Year'!$Q:$Q,'NFL QB Data By Year'!$D:$D,Table2[[#This Row],[Player Name]],'NFL QB Data By Year'!$B:$B,Table2[[#This Row],[Draft Year]]+K$1)</f>
        <v>0</v>
      </c>
      <c r="L109">
        <f>SUMIFS('NFL QB Data By Year'!$P:$P,'NFL QB Data By Year'!$D:$D,Table2[[#This Row],[Player Name]],'NFL QB Data By Year'!$B:$B,Table2[[#This Row],[Draft Year]]+L$1)</f>
        <v>0</v>
      </c>
      <c r="M109">
        <f>Table2[[#This Row],[Year 1 G]]+Table2[[#This Row],[Year 2 G]]+Table2[[#This Row],[Year 3 G]]</f>
        <v>0</v>
      </c>
      <c r="N109">
        <f>Table2[[#This Row],[Year 1 FPTs]]+Table2[[#This Row],[Year 2 FPTs]]+Table2[[#This Row],[Year 3 FPTs]]</f>
        <v>0</v>
      </c>
      <c r="O109">
        <f>IFERROR(Table2[[#This Row],[Total FPTs]]/Table2[[#This Row],[Total G]],0)</f>
        <v>0</v>
      </c>
      <c r="Q109" s="8">
        <f>-305/(1006+1101+1503+1976)</f>
        <v>-5.4600787683494453E-2</v>
      </c>
      <c r="R109" s="11">
        <f>74/1251</f>
        <v>5.9152677857713831E-2</v>
      </c>
      <c r="S109">
        <f>147.5</f>
        <v>147.5</v>
      </c>
      <c r="T109" s="7">
        <f>74/19</f>
        <v>3.8947368421052633</v>
      </c>
      <c r="U109" s="7">
        <f>1251/139</f>
        <v>9</v>
      </c>
      <c r="V109">
        <f>7.5</f>
        <v>7.5</v>
      </c>
      <c r="W109">
        <v>8</v>
      </c>
      <c r="X109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09">
        <v>4.9800000000000004</v>
      </c>
      <c r="Z109">
        <v>9.125</v>
      </c>
      <c r="AD109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109">
        <f>ROUND(IF(Table2[[#This Row],[Draft Round]]=1,10,IF(Table2[[#This Row],[Draft Round]]=8,0,10/(20.884*EXP(-0.381*1))*(20.884*EXP(-0.381*Table2[[#This Row],[Draft Round]])))),0)</f>
        <v>0</v>
      </c>
      <c r="AF109">
        <f>ROUND(IF(Table2[[#This Row],[College BF Dominator]]&gt;0.3,10,IF(Table2[[#This Row],[College BF Dominator]]&lt;-0.156,0,10/(20.818*0.3+3.2667)*(20.818*Table2[[#This Row],[College BF Dominator]]+3.2667))),0)</f>
        <v>2</v>
      </c>
      <c r="AG109">
        <f>ROUND(IF(Table2[[#This Row],[College PTDR]]&gt;0.085,10,IF(Table2[[#This Row],[College PTDR]]&lt;0.04,0,10/(105.24*0.085-1.7837)*(105.24*Table2[[#This Row],[College PTDR]]-1.7837))),0)</f>
        <v>6</v>
      </c>
      <c r="AH109">
        <f>ROUND(IF(Table2[[#This Row],[College Passer Rating]]&gt;170,10,IF(Table2[[#This Row],[College Passer Rating]]&lt;112.475,0,10/(0.1495*170-16.815)*(0.1495*Table2[[#This Row],[College Passer Rating]]-16.815))),0)</f>
        <v>6</v>
      </c>
      <c r="AI109">
        <f>ROUND(IF(Table2[[#This Row],[PTD:INT]]&gt;4,10,IF(Table2[[#This Row],[PTD:INT]]&lt;1,0,10/(4.7442*LN(4)+0.4256)*(4.7442*LN(Table2[[#This Row],[PTD:INT]])+0.4256))),0)</f>
        <v>10</v>
      </c>
      <c r="AJ109">
        <f>ROUND(IF(Table2[[#This Row],[Patt:Ratt]]&lt;2.5,10,IF(Table2[[#This Row],[Patt:Ratt]]&gt;15,0,10/(-2.684*LN(2.5)+9.0869)*(-2.684*LN(Table2[[#This Row],[Patt:Ratt]])+9.0869))),0)</f>
        <v>5</v>
      </c>
      <c r="AK109">
        <f>ROUND(IF(Table2[[#This Row],[Y/A]]&gt;9.2,10,IF(Table2[[#This Row],[Y/A]]&lt;6.26,0,10/(2.2619*9.2-14.16)*(2.2619*Table2[[#This Row],[Y/A]]-14.16))),0)</f>
        <v>4</v>
      </c>
      <c r="AL109">
        <f>ROUND(IF(Table2[[#This Row],[AY/A]]&gt;10,10,IF(Table2[[#This Row],[AY/A]]&lt;5.51,0,10/(1.6571*10-9.1312)*(1.6571*Table2[[#This Row],[AY/A]]-9.1312))),0)</f>
        <v>6</v>
      </c>
      <c r="AM109">
        <f>ROUND(IF(Table2[[#This Row],[40 Yd Dash]]&lt;4.75,10,IF(Table2[[#This Row],[40 Yd Dash]]&gt;5.191,0,10/(-66.95*LN(4.75)+110.26)*(-66.95*LN(Table2[[#This Row],[40 Yd Dash]])+110.26))),0)</f>
        <v>5</v>
      </c>
      <c r="AN109">
        <f>ROUND(IF(Table2[[#This Row],[Hand Size]]&gt;10.25,10,IF(Table2[[#This Row],[Hand Size]]&lt;9,0,10/(15.49*LN(10.25)-30.577)*(15.49*LN(Table2[[#This Row],[Hand Size]])-30.577))),0)</f>
        <v>7</v>
      </c>
    </row>
    <row r="110" spans="1:40">
      <c r="A110">
        <v>2022</v>
      </c>
      <c r="B110">
        <v>8</v>
      </c>
      <c r="C110" t="s">
        <v>219</v>
      </c>
      <c r="D110" t="s">
        <v>137</v>
      </c>
      <c r="E110">
        <v>5.68</v>
      </c>
      <c r="G110">
        <f>SUMIFS('NFL QB Data By Year'!$Q:$Q,'NFL QB Data By Year'!$D:$D,Table2[[#This Row],[Player Name]],'NFL QB Data By Year'!$B:$B,Table2[[#This Row],[Draft Year]]+G$1)</f>
        <v>0</v>
      </c>
      <c r="H110">
        <f>SUMIFS('NFL QB Data By Year'!$P:$P,'NFL QB Data By Year'!$D:$D,Table2[[#This Row],[Player Name]],'NFL QB Data By Year'!$B:$B,Table2[[#This Row],[Draft Year]]+H$1)</f>
        <v>0</v>
      </c>
      <c r="I110">
        <f>SUMIFS('NFL QB Data By Year'!$Q:$Q,'NFL QB Data By Year'!$D:$D,Table2[[#This Row],[Player Name]],'NFL QB Data By Year'!$B:$B,Table2[[#This Row],[Draft Year]]+I$1)</f>
        <v>0</v>
      </c>
      <c r="J110">
        <f>SUMIFS('NFL QB Data By Year'!$P:$P,'NFL QB Data By Year'!$D:$D,Table2[[#This Row],[Player Name]],'NFL QB Data By Year'!$B:$B,Table2[[#This Row],[Draft Year]]+J$1)</f>
        <v>0</v>
      </c>
      <c r="K110">
        <f>SUMIFS('NFL QB Data By Year'!$Q:$Q,'NFL QB Data By Year'!$D:$D,Table2[[#This Row],[Player Name]],'NFL QB Data By Year'!$B:$B,Table2[[#This Row],[Draft Year]]+K$1)</f>
        <v>0</v>
      </c>
      <c r="L110">
        <f>SUMIFS('NFL QB Data By Year'!$P:$P,'NFL QB Data By Year'!$D:$D,Table2[[#This Row],[Player Name]],'NFL QB Data By Year'!$B:$B,Table2[[#This Row],[Draft Year]]+L$1)</f>
        <v>0</v>
      </c>
      <c r="M110">
        <f>Table2[[#This Row],[Year 1 G]]+Table2[[#This Row],[Year 2 G]]+Table2[[#This Row],[Year 3 G]]</f>
        <v>0</v>
      </c>
      <c r="N110">
        <f>Table2[[#This Row],[Year 1 FPTs]]+Table2[[#This Row],[Year 2 FPTs]]+Table2[[#This Row],[Year 3 FPTs]]</f>
        <v>0</v>
      </c>
      <c r="O110">
        <f>IFERROR(Table2[[#This Row],[Total FPTs]]/Table2[[#This Row],[Total G]],0)</f>
        <v>0</v>
      </c>
      <c r="Q110" s="8">
        <f>2071/(3482+1132+2427+2060+1830)</f>
        <v>0.18946116549263561</v>
      </c>
      <c r="R110" s="11">
        <f>55/864</f>
        <v>6.3657407407407413E-2</v>
      </c>
      <c r="S110">
        <v>157</v>
      </c>
      <c r="T110" s="7">
        <f>55/12</f>
        <v>4.583333333333333</v>
      </c>
      <c r="U110" s="7">
        <f>864/477</f>
        <v>1.8113207547169812</v>
      </c>
      <c r="V110">
        <v>8.6</v>
      </c>
      <c r="W110">
        <v>9.1999999999999993</v>
      </c>
      <c r="X110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0">
        <v>4.75</v>
      </c>
      <c r="Z110">
        <v>9.375</v>
      </c>
      <c r="AD110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10">
        <f>ROUND(IF(Table2[[#This Row],[Draft Round]]=1,10,IF(Table2[[#This Row],[Draft Round]]=8,0,10/(20.884*EXP(-0.381*1))*(20.884*EXP(-0.381*Table2[[#This Row],[Draft Round]])))),0)</f>
        <v>0</v>
      </c>
      <c r="AF110">
        <f>ROUND(IF(Table2[[#This Row],[College BF Dominator]]&gt;0.3,10,IF(Table2[[#This Row],[College BF Dominator]]&lt;-0.156,0,10/(20.818*0.3+3.2667)*(20.818*Table2[[#This Row],[College BF Dominator]]+3.2667))),0)</f>
        <v>8</v>
      </c>
      <c r="AG110">
        <f>ROUND(IF(Table2[[#This Row],[College PTDR]]&gt;0.085,10,IF(Table2[[#This Row],[College PTDR]]&lt;0.04,0,10/(105.24*0.085-1.7837)*(105.24*Table2[[#This Row],[College PTDR]]-1.7837))),0)</f>
        <v>7</v>
      </c>
      <c r="AH110">
        <f>ROUND(IF(Table2[[#This Row],[College Passer Rating]]&gt;170,10,IF(Table2[[#This Row],[College Passer Rating]]&lt;112.475,0,10/(0.1495*170-16.815)*(0.1495*Table2[[#This Row],[College Passer Rating]]-16.815))),0)</f>
        <v>8</v>
      </c>
      <c r="AI110">
        <f>ROUND(IF(Table2[[#This Row],[PTD:INT]]&gt;4,10,IF(Table2[[#This Row],[PTD:INT]]&lt;1,0,10/(4.7442*LN(4)+0.4256)*(4.7442*LN(Table2[[#This Row],[PTD:INT]])+0.4256))),0)</f>
        <v>10</v>
      </c>
      <c r="AJ110">
        <f>ROUND(IF(Table2[[#This Row],[Patt:Ratt]]&lt;2.5,10,IF(Table2[[#This Row],[Patt:Ratt]]&gt;15,0,10/(-2.684*LN(2.5)+9.0869)*(-2.684*LN(Table2[[#This Row],[Patt:Ratt]])+9.0869))),0)</f>
        <v>10</v>
      </c>
      <c r="AK110">
        <f>ROUND(IF(Table2[[#This Row],[Y/A]]&gt;9.2,10,IF(Table2[[#This Row],[Y/A]]&lt;6.26,0,10/(2.2619*9.2-14.16)*(2.2619*Table2[[#This Row],[Y/A]]-14.16))),0)</f>
        <v>8</v>
      </c>
      <c r="AL110">
        <f>ROUND(IF(Table2[[#This Row],[AY/A]]&gt;10,10,IF(Table2[[#This Row],[AY/A]]&lt;5.51,0,10/(1.6571*10-9.1312)*(1.6571*Table2[[#This Row],[AY/A]]-9.1312))),0)</f>
        <v>8</v>
      </c>
      <c r="AM110">
        <f>ROUND(IF(Table2[[#This Row],[40 Yd Dash]]&lt;4.75,10,IF(Table2[[#This Row],[40 Yd Dash]]&gt;5.191,0,10/(-66.95*LN(4.75)+110.26)*(-66.95*LN(Table2[[#This Row],[40 Yd Dash]])+110.26))),0)</f>
        <v>10</v>
      </c>
      <c r="AN110">
        <f>ROUND(IF(Table2[[#This Row],[Hand Size]]&gt;10.25,10,IF(Table2[[#This Row],[Hand Size]]&lt;9,0,10/(15.49*LN(10.25)-30.577)*(15.49*LN(Table2[[#This Row],[Hand Size]])-30.577))),0)</f>
        <v>7</v>
      </c>
    </row>
    <row r="111" spans="1:40">
      <c r="A111">
        <v>2022</v>
      </c>
      <c r="B111">
        <v>8</v>
      </c>
      <c r="C111" t="s">
        <v>219</v>
      </c>
      <c r="D111" t="s">
        <v>140</v>
      </c>
      <c r="E111">
        <v>5.68</v>
      </c>
      <c r="G111">
        <f>SUMIFS('NFL QB Data By Year'!$Q:$Q,'NFL QB Data By Year'!$D:$D,Table2[[#This Row],[Player Name]],'NFL QB Data By Year'!$B:$B,Table2[[#This Row],[Draft Year]]+G$1)</f>
        <v>0</v>
      </c>
      <c r="H111">
        <f>SUMIFS('NFL QB Data By Year'!$P:$P,'NFL QB Data By Year'!$D:$D,Table2[[#This Row],[Player Name]],'NFL QB Data By Year'!$B:$B,Table2[[#This Row],[Draft Year]]+H$1)</f>
        <v>0</v>
      </c>
      <c r="I111">
        <f>SUMIFS('NFL QB Data By Year'!$Q:$Q,'NFL QB Data By Year'!$D:$D,Table2[[#This Row],[Player Name]],'NFL QB Data By Year'!$B:$B,Table2[[#This Row],[Draft Year]]+I$1)</f>
        <v>0</v>
      </c>
      <c r="J111">
        <f>SUMIFS('NFL QB Data By Year'!$P:$P,'NFL QB Data By Year'!$D:$D,Table2[[#This Row],[Player Name]],'NFL QB Data By Year'!$B:$B,Table2[[#This Row],[Draft Year]]+J$1)</f>
        <v>0</v>
      </c>
      <c r="K111">
        <f>SUMIFS('NFL QB Data By Year'!$Q:$Q,'NFL QB Data By Year'!$D:$D,Table2[[#This Row],[Player Name]],'NFL QB Data By Year'!$B:$B,Table2[[#This Row],[Draft Year]]+K$1)</f>
        <v>0</v>
      </c>
      <c r="L111">
        <f>SUMIFS('NFL QB Data By Year'!$P:$P,'NFL QB Data By Year'!$D:$D,Table2[[#This Row],[Player Name]],'NFL QB Data By Year'!$B:$B,Table2[[#This Row],[Draft Year]]+L$1)</f>
        <v>0</v>
      </c>
      <c r="M111">
        <f>Table2[[#This Row],[Year 1 G]]+Table2[[#This Row],[Year 2 G]]+Table2[[#This Row],[Year 3 G]]</f>
        <v>0</v>
      </c>
      <c r="N111">
        <f>Table2[[#This Row],[Year 1 FPTs]]+Table2[[#This Row],[Year 2 FPTs]]+Table2[[#This Row],[Year 3 FPTs]]</f>
        <v>0</v>
      </c>
      <c r="O111">
        <f>IFERROR(Table2[[#This Row],[Total FPTs]]/Table2[[#This Row],[Total G]],0)</f>
        <v>0</v>
      </c>
      <c r="Q111" s="8">
        <f>2055/(1912+2002+2822+2258+1532+1788)</f>
        <v>0.16688322234854636</v>
      </c>
      <c r="R111" s="11">
        <f>76/1048</f>
        <v>7.2519083969465645E-2</v>
      </c>
      <c r="S111">
        <f>150.5</f>
        <v>150.5</v>
      </c>
      <c r="T111" s="7">
        <f>76/19</f>
        <v>4</v>
      </c>
      <c r="U111" s="7">
        <f>1048/423</f>
        <v>2.4775413711583925</v>
      </c>
      <c r="V111">
        <v>8</v>
      </c>
      <c r="W111">
        <v>8.6</v>
      </c>
      <c r="X111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1">
        <v>4.5999999999999996</v>
      </c>
      <c r="Z111">
        <v>9.25</v>
      </c>
      <c r="AD111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11">
        <f>ROUND(IF(Table2[[#This Row],[Draft Round]]=1,10,IF(Table2[[#This Row],[Draft Round]]=8,0,10/(20.884*EXP(-0.381*1))*(20.884*EXP(-0.381*Table2[[#This Row],[Draft Round]])))),0)</f>
        <v>0</v>
      </c>
      <c r="AF111">
        <f>ROUND(IF(Table2[[#This Row],[College BF Dominator]]&gt;0.3,10,IF(Table2[[#This Row],[College BF Dominator]]&lt;-0.156,0,10/(20.818*0.3+3.2667)*(20.818*Table2[[#This Row],[College BF Dominator]]+3.2667))),0)</f>
        <v>7</v>
      </c>
      <c r="AG111">
        <f>ROUND(IF(Table2[[#This Row],[College PTDR]]&gt;0.085,10,IF(Table2[[#This Row],[College PTDR]]&lt;0.04,0,10/(105.24*0.085-1.7837)*(105.24*Table2[[#This Row],[College PTDR]]-1.7837))),0)</f>
        <v>8</v>
      </c>
      <c r="AH111">
        <f>ROUND(IF(Table2[[#This Row],[College Passer Rating]]&gt;170,10,IF(Table2[[#This Row],[College Passer Rating]]&lt;112.475,0,10/(0.1495*170-16.815)*(0.1495*Table2[[#This Row],[College Passer Rating]]-16.815))),0)</f>
        <v>7</v>
      </c>
      <c r="AI111">
        <f>ROUND(IF(Table2[[#This Row],[PTD:INT]]&gt;4,10,IF(Table2[[#This Row],[PTD:INT]]&lt;1,0,10/(4.7442*LN(4)+0.4256)*(4.7442*LN(Table2[[#This Row],[PTD:INT]])+0.4256))),0)</f>
        <v>10</v>
      </c>
      <c r="AJ111">
        <f>ROUND(IF(Table2[[#This Row],[Patt:Ratt]]&lt;2.5,10,IF(Table2[[#This Row],[Patt:Ratt]]&gt;15,0,10/(-2.684*LN(2.5)+9.0869)*(-2.684*LN(Table2[[#This Row],[Patt:Ratt]])+9.0869))),0)</f>
        <v>10</v>
      </c>
      <c r="AK111">
        <f>ROUND(IF(Table2[[#This Row],[Y/A]]&gt;9.2,10,IF(Table2[[#This Row],[Y/A]]&lt;6.26,0,10/(2.2619*9.2-14.16)*(2.2619*Table2[[#This Row],[Y/A]]-14.16))),0)</f>
        <v>6</v>
      </c>
      <c r="AL111">
        <f>ROUND(IF(Table2[[#This Row],[AY/A]]&gt;10,10,IF(Table2[[#This Row],[AY/A]]&lt;5.51,0,10/(1.6571*10-9.1312)*(1.6571*Table2[[#This Row],[AY/A]]-9.1312))),0)</f>
        <v>7</v>
      </c>
      <c r="AM111">
        <f>ROUND(IF(Table2[[#This Row],[40 Yd Dash]]&lt;4.75,10,IF(Table2[[#This Row],[40 Yd Dash]]&gt;5.191,0,10/(-66.95*LN(4.75)+110.26)*(-66.95*LN(Table2[[#This Row],[40 Yd Dash]])+110.26))),0)</f>
        <v>10</v>
      </c>
      <c r="AN111">
        <f>ROUND(IF(Table2[[#This Row],[Hand Size]]&gt;10.25,10,IF(Table2[[#This Row],[Hand Size]]&lt;9,0,10/(15.49*LN(10.25)-30.577)*(15.49*LN(Table2[[#This Row],[Hand Size]])-30.577))),0)</f>
        <v>7</v>
      </c>
    </row>
    <row r="112" spans="1:40">
      <c r="A112">
        <v>2022</v>
      </c>
      <c r="B112">
        <v>8</v>
      </c>
      <c r="C112" t="s">
        <v>219</v>
      </c>
      <c r="D112" t="s">
        <v>144</v>
      </c>
      <c r="E112">
        <v>5.61</v>
      </c>
      <c r="G112">
        <f>SUMIFS('NFL QB Data By Year'!$Q:$Q,'NFL QB Data By Year'!$D:$D,Table2[[#This Row],[Player Name]],'NFL QB Data By Year'!$B:$B,Table2[[#This Row],[Draft Year]]+G$1)</f>
        <v>0</v>
      </c>
      <c r="H112">
        <f>SUMIFS('NFL QB Data By Year'!$P:$P,'NFL QB Data By Year'!$D:$D,Table2[[#This Row],[Player Name]],'NFL QB Data By Year'!$B:$B,Table2[[#This Row],[Draft Year]]+H$1)</f>
        <v>0</v>
      </c>
      <c r="I112">
        <f>SUMIFS('NFL QB Data By Year'!$Q:$Q,'NFL QB Data By Year'!$D:$D,Table2[[#This Row],[Player Name]],'NFL QB Data By Year'!$B:$B,Table2[[#This Row],[Draft Year]]+I$1)</f>
        <v>0</v>
      </c>
      <c r="J112">
        <f>SUMIFS('NFL QB Data By Year'!$P:$P,'NFL QB Data By Year'!$D:$D,Table2[[#This Row],[Player Name]],'NFL QB Data By Year'!$B:$B,Table2[[#This Row],[Draft Year]]+J$1)</f>
        <v>0</v>
      </c>
      <c r="K112">
        <f>SUMIFS('NFL QB Data By Year'!$Q:$Q,'NFL QB Data By Year'!$D:$D,Table2[[#This Row],[Player Name]],'NFL QB Data By Year'!$B:$B,Table2[[#This Row],[Draft Year]]+K$1)</f>
        <v>0</v>
      </c>
      <c r="L112">
        <f>SUMIFS('NFL QB Data By Year'!$P:$P,'NFL QB Data By Year'!$D:$D,Table2[[#This Row],[Player Name]],'NFL QB Data By Year'!$B:$B,Table2[[#This Row],[Draft Year]]+L$1)</f>
        <v>0</v>
      </c>
      <c r="M112">
        <f>Table2[[#This Row],[Year 1 G]]+Table2[[#This Row],[Year 2 G]]+Table2[[#This Row],[Year 3 G]]</f>
        <v>0</v>
      </c>
      <c r="N112">
        <f>Table2[[#This Row],[Year 1 FPTs]]+Table2[[#This Row],[Year 2 FPTs]]+Table2[[#This Row],[Year 3 FPTs]]</f>
        <v>0</v>
      </c>
      <c r="O112">
        <f>IFERROR(Table2[[#This Row],[Total FPTs]]/Table2[[#This Row],[Total G]],0)</f>
        <v>0</v>
      </c>
      <c r="Q112" s="8">
        <f>1132/(2865+2269+526+402+305+67+19+26+11-6-16+727+550+115+50+37+28+16+14+11+8-3-20)</f>
        <v>0.14148231471066117</v>
      </c>
      <c r="R112" s="11">
        <f>45/862</f>
        <v>5.2204176334106726E-2</v>
      </c>
      <c r="S112">
        <v>132.6</v>
      </c>
      <c r="T112" s="7">
        <f>45/27</f>
        <v>1.6666666666666667</v>
      </c>
      <c r="U112" s="7">
        <f>862/253</f>
        <v>3.4071146245059287</v>
      </c>
      <c r="V112">
        <v>7.1</v>
      </c>
      <c r="W112">
        <v>8.1</v>
      </c>
      <c r="X112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2">
        <v>4.6500000000000004</v>
      </c>
      <c r="Z112">
        <v>9</v>
      </c>
      <c r="AD112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12">
        <f>ROUND(IF(Table2[[#This Row],[Draft Round]]=1,10,IF(Table2[[#This Row],[Draft Round]]=8,0,10/(20.884*EXP(-0.381*1))*(20.884*EXP(-0.381*Table2[[#This Row],[Draft Round]])))),0)</f>
        <v>0</v>
      </c>
      <c r="AF112">
        <f>ROUND(IF(Table2[[#This Row],[College BF Dominator]]&gt;0.3,10,IF(Table2[[#This Row],[College BF Dominator]]&lt;-0.156,0,10/(20.818*0.3+3.2667)*(20.818*Table2[[#This Row],[College BF Dominator]]+3.2667))),0)</f>
        <v>7</v>
      </c>
      <c r="AG112">
        <f>ROUND(IF(Table2[[#This Row],[College PTDR]]&gt;0.085,10,IF(Table2[[#This Row],[College PTDR]]&lt;0.04,0,10/(105.24*0.085-1.7837)*(105.24*Table2[[#This Row],[College PTDR]]-1.7837))),0)</f>
        <v>5</v>
      </c>
      <c r="AH112">
        <f>ROUND(IF(Table2[[#This Row],[College Passer Rating]]&gt;170,10,IF(Table2[[#This Row],[College Passer Rating]]&lt;112.475,0,10/(0.1495*170-16.815)*(0.1495*Table2[[#This Row],[College Passer Rating]]-16.815))),0)</f>
        <v>3</v>
      </c>
      <c r="AI112">
        <f>ROUND(IF(Table2[[#This Row],[PTD:INT]]&gt;4,10,IF(Table2[[#This Row],[PTD:INT]]&lt;1,0,10/(4.7442*LN(4)+0.4256)*(4.7442*LN(Table2[[#This Row],[PTD:INT]])+0.4256))),0)</f>
        <v>4</v>
      </c>
      <c r="AJ112">
        <f>ROUND(IF(Table2[[#This Row],[Patt:Ratt]]&lt;2.5,10,IF(Table2[[#This Row],[Patt:Ratt]]&gt;15,0,10/(-2.684*LN(2.5)+9.0869)*(-2.684*LN(Table2[[#This Row],[Patt:Ratt]])+9.0869))),0)</f>
        <v>9</v>
      </c>
      <c r="AK112">
        <f>ROUND(IF(Table2[[#This Row],[Y/A]]&gt;9.2,10,IF(Table2[[#This Row],[Y/A]]&lt;6.26,0,10/(2.2619*9.2-14.16)*(2.2619*Table2[[#This Row],[Y/A]]-14.16))),0)</f>
        <v>3</v>
      </c>
      <c r="AL112">
        <f>ROUND(IF(Table2[[#This Row],[AY/A]]&gt;10,10,IF(Table2[[#This Row],[AY/A]]&lt;5.51,0,10/(1.6571*10-9.1312)*(1.6571*Table2[[#This Row],[AY/A]]-9.1312))),0)</f>
        <v>6</v>
      </c>
      <c r="AM112">
        <f>ROUND(IF(Table2[[#This Row],[40 Yd Dash]]&lt;4.75,10,IF(Table2[[#This Row],[40 Yd Dash]]&gt;5.191,0,10/(-66.95*LN(4.75)+110.26)*(-66.95*LN(Table2[[#This Row],[40 Yd Dash]])+110.26))),0)</f>
        <v>10</v>
      </c>
      <c r="AN112">
        <f>ROUND(IF(Table2[[#This Row],[Hand Size]]&gt;10.25,10,IF(Table2[[#This Row],[Hand Size]]&lt;9,0,10/(15.49*LN(10.25)-30.577)*(15.49*LN(Table2[[#This Row],[Hand Size]])-30.577))),0)</f>
        <v>6</v>
      </c>
    </row>
    <row r="113" spans="1:40">
      <c r="A113">
        <v>2022</v>
      </c>
      <c r="B113">
        <v>8</v>
      </c>
      <c r="C113" t="s">
        <v>219</v>
      </c>
      <c r="D113" t="s">
        <v>146</v>
      </c>
      <c r="E113">
        <v>5.56</v>
      </c>
      <c r="G113">
        <f>SUMIFS('NFL QB Data By Year'!$Q:$Q,'NFL QB Data By Year'!$D:$D,Table2[[#This Row],[Player Name]],'NFL QB Data By Year'!$B:$B,Table2[[#This Row],[Draft Year]]+G$1)</f>
        <v>0</v>
      </c>
      <c r="H113">
        <f>SUMIFS('NFL QB Data By Year'!$P:$P,'NFL QB Data By Year'!$D:$D,Table2[[#This Row],[Player Name]],'NFL QB Data By Year'!$B:$B,Table2[[#This Row],[Draft Year]]+H$1)</f>
        <v>0</v>
      </c>
      <c r="I113">
        <f>SUMIFS('NFL QB Data By Year'!$Q:$Q,'NFL QB Data By Year'!$D:$D,Table2[[#This Row],[Player Name]],'NFL QB Data By Year'!$B:$B,Table2[[#This Row],[Draft Year]]+I$1)</f>
        <v>0</v>
      </c>
      <c r="J113">
        <f>SUMIFS('NFL QB Data By Year'!$P:$P,'NFL QB Data By Year'!$D:$D,Table2[[#This Row],[Player Name]],'NFL QB Data By Year'!$B:$B,Table2[[#This Row],[Draft Year]]+J$1)</f>
        <v>0</v>
      </c>
      <c r="K113">
        <f>SUMIFS('NFL QB Data By Year'!$Q:$Q,'NFL QB Data By Year'!$D:$D,Table2[[#This Row],[Player Name]],'NFL QB Data By Year'!$B:$B,Table2[[#This Row],[Draft Year]]+K$1)</f>
        <v>0</v>
      </c>
      <c r="L113">
        <f>SUMIFS('NFL QB Data By Year'!$P:$P,'NFL QB Data By Year'!$D:$D,Table2[[#This Row],[Player Name]],'NFL QB Data By Year'!$B:$B,Table2[[#This Row],[Draft Year]]+L$1)</f>
        <v>0</v>
      </c>
      <c r="M113">
        <f>Table2[[#This Row],[Year 1 G]]+Table2[[#This Row],[Year 2 G]]+Table2[[#This Row],[Year 3 G]]</f>
        <v>0</v>
      </c>
      <c r="N113">
        <f>Table2[[#This Row],[Year 1 FPTs]]+Table2[[#This Row],[Year 2 FPTs]]+Table2[[#This Row],[Year 3 FPTs]]</f>
        <v>0</v>
      </c>
      <c r="O113">
        <f>IFERROR(Table2[[#This Row],[Total FPTs]]/Table2[[#This Row],[Total G]],0)</f>
        <v>0</v>
      </c>
      <c r="Q113" s="8">
        <f>731/(2135+2016+1721+491+370+259+205+188+134+81+58+30+22+21+17+15+13+12+589+348+200+169+91+83+69+59+41+72+18-15+589+348+200+169+91+83+69+59+41+72+18-15)</f>
        <v>6.5058739765040938E-2</v>
      </c>
      <c r="R113" s="11">
        <f>72/950</f>
        <v>7.5789473684210532E-2</v>
      </c>
      <c r="S113">
        <v>169.8</v>
      </c>
      <c r="T113" s="7">
        <f>72/16</f>
        <v>4.5</v>
      </c>
      <c r="U113" s="7">
        <f>950/326</f>
        <v>2.9141104294478528</v>
      </c>
      <c r="V113">
        <v>6.8</v>
      </c>
      <c r="W113">
        <v>6.2</v>
      </c>
      <c r="X113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3">
        <v>5.14</v>
      </c>
      <c r="Z113">
        <v>9.875</v>
      </c>
      <c r="AD113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13">
        <f>ROUND(IF(Table2[[#This Row],[Draft Round]]=1,10,IF(Table2[[#This Row],[Draft Round]]=8,0,10/(20.884*EXP(-0.381*1))*(20.884*EXP(-0.381*Table2[[#This Row],[Draft Round]])))),0)</f>
        <v>0</v>
      </c>
      <c r="AF113">
        <f>ROUND(IF(Table2[[#This Row],[College BF Dominator]]&gt;0.3,10,IF(Table2[[#This Row],[College BF Dominator]]&lt;-0.156,0,10/(20.818*0.3+3.2667)*(20.818*Table2[[#This Row],[College BF Dominator]]+3.2667))),0)</f>
        <v>5</v>
      </c>
      <c r="AG113">
        <f>ROUND(IF(Table2[[#This Row],[College PTDR]]&gt;0.085,10,IF(Table2[[#This Row],[College PTDR]]&lt;0.04,0,10/(105.24*0.085-1.7837)*(105.24*Table2[[#This Row],[College PTDR]]-1.7837))),0)</f>
        <v>9</v>
      </c>
      <c r="AH113">
        <f>ROUND(IF(Table2[[#This Row],[College Passer Rating]]&gt;170,10,IF(Table2[[#This Row],[College Passer Rating]]&lt;112.475,0,10/(0.1495*170-16.815)*(0.1495*Table2[[#This Row],[College Passer Rating]]-16.815))),0)</f>
        <v>10</v>
      </c>
      <c r="AI113">
        <f>ROUND(IF(Table2[[#This Row],[PTD:INT]]&gt;4,10,IF(Table2[[#This Row],[PTD:INT]]&lt;1,0,10/(4.7442*LN(4)+0.4256)*(4.7442*LN(Table2[[#This Row],[PTD:INT]])+0.4256))),0)</f>
        <v>10</v>
      </c>
      <c r="AJ113">
        <f>ROUND(IF(Table2[[#This Row],[Patt:Ratt]]&lt;2.5,10,IF(Table2[[#This Row],[Patt:Ratt]]&gt;15,0,10/(-2.684*LN(2.5)+9.0869)*(-2.684*LN(Table2[[#This Row],[Patt:Ratt]])+9.0869))),0)</f>
        <v>9</v>
      </c>
      <c r="AK113">
        <f>ROUND(IF(Table2[[#This Row],[Y/A]]&gt;9.2,10,IF(Table2[[#This Row],[Y/A]]&lt;6.26,0,10/(2.2619*9.2-14.16)*(2.2619*Table2[[#This Row],[Y/A]]-14.16))),0)</f>
        <v>2</v>
      </c>
      <c r="AL113">
        <f>ROUND(IF(Table2[[#This Row],[AY/A]]&gt;10,10,IF(Table2[[#This Row],[AY/A]]&lt;5.51,0,10/(1.6571*10-9.1312)*(1.6571*Table2[[#This Row],[AY/A]]-9.1312))),0)</f>
        <v>2</v>
      </c>
      <c r="AM113">
        <f>ROUND(IF(Table2[[#This Row],[40 Yd Dash]]&lt;4.75,10,IF(Table2[[#This Row],[40 Yd Dash]]&gt;5.191,0,10/(-66.95*LN(4.75)+110.26)*(-66.95*LN(Table2[[#This Row],[40 Yd Dash]])+110.26))),0)</f>
        <v>1</v>
      </c>
      <c r="AN113">
        <f>ROUND(IF(Table2[[#This Row],[Hand Size]]&gt;10.25,10,IF(Table2[[#This Row],[Hand Size]]&lt;9,0,10/(15.49*LN(10.25)-30.577)*(15.49*LN(Table2[[#This Row],[Hand Size]])-30.577))),0)</f>
        <v>9</v>
      </c>
    </row>
    <row r="114" spans="1:40">
      <c r="A114">
        <v>2022</v>
      </c>
      <c r="B114">
        <v>8</v>
      </c>
      <c r="C114" t="s">
        <v>219</v>
      </c>
      <c r="D114" t="s">
        <v>141</v>
      </c>
      <c r="E114">
        <v>5.55</v>
      </c>
      <c r="G114">
        <f>SUMIFS('NFL QB Data By Year'!$Q:$Q,'NFL QB Data By Year'!$D:$D,Table2[[#This Row],[Player Name]],'NFL QB Data By Year'!$B:$B,Table2[[#This Row],[Draft Year]]+G$1)</f>
        <v>0</v>
      </c>
      <c r="H114">
        <f>SUMIFS('NFL QB Data By Year'!$P:$P,'NFL QB Data By Year'!$D:$D,Table2[[#This Row],[Player Name]],'NFL QB Data By Year'!$B:$B,Table2[[#This Row],[Draft Year]]+H$1)</f>
        <v>0</v>
      </c>
      <c r="I114">
        <f>SUMIFS('NFL QB Data By Year'!$Q:$Q,'NFL QB Data By Year'!$D:$D,Table2[[#This Row],[Player Name]],'NFL QB Data By Year'!$B:$B,Table2[[#This Row],[Draft Year]]+I$1)</f>
        <v>0</v>
      </c>
      <c r="J114">
        <f>SUMIFS('NFL QB Data By Year'!$P:$P,'NFL QB Data By Year'!$D:$D,Table2[[#This Row],[Player Name]],'NFL QB Data By Year'!$B:$B,Table2[[#This Row],[Draft Year]]+J$1)</f>
        <v>0</v>
      </c>
      <c r="K114">
        <f>SUMIFS('NFL QB Data By Year'!$Q:$Q,'NFL QB Data By Year'!$D:$D,Table2[[#This Row],[Player Name]],'NFL QB Data By Year'!$B:$B,Table2[[#This Row],[Draft Year]]+K$1)</f>
        <v>0</v>
      </c>
      <c r="L114">
        <f>SUMIFS('NFL QB Data By Year'!$P:$P,'NFL QB Data By Year'!$D:$D,Table2[[#This Row],[Player Name]],'NFL QB Data By Year'!$B:$B,Table2[[#This Row],[Draft Year]]+L$1)</f>
        <v>0</v>
      </c>
      <c r="M114">
        <f>Table2[[#This Row],[Year 1 G]]+Table2[[#This Row],[Year 2 G]]+Table2[[#This Row],[Year 3 G]]</f>
        <v>0</v>
      </c>
      <c r="N114">
        <f>Table2[[#This Row],[Year 1 FPTs]]+Table2[[#This Row],[Year 2 FPTs]]+Table2[[#This Row],[Year 3 FPTs]]</f>
        <v>0</v>
      </c>
      <c r="O114">
        <f>IFERROR(Table2[[#This Row],[Total FPTs]]/Table2[[#This Row],[Total G]],0)</f>
        <v>0</v>
      </c>
      <c r="Q114" s="8">
        <f>75/(2783+1159+2593)</f>
        <v>1.1476664116296864E-2</v>
      </c>
      <c r="R114" s="11">
        <f>45/662</f>
        <v>6.7975830815709973E-2</v>
      </c>
      <c r="S114">
        <v>159.9</v>
      </c>
      <c r="T114" s="7">
        <f>45/11</f>
        <v>4.0909090909090908</v>
      </c>
      <c r="U114" s="7">
        <f>662/150</f>
        <v>4.4133333333333331</v>
      </c>
      <c r="V114">
        <v>9.1999999999999993</v>
      </c>
      <c r="W114">
        <v>9.8000000000000007</v>
      </c>
      <c r="X114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4">
        <v>4.91</v>
      </c>
      <c r="Z114">
        <v>9.25</v>
      </c>
      <c r="AD114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14">
        <f>ROUND(IF(Table2[[#This Row],[Draft Round]]=1,10,IF(Table2[[#This Row],[Draft Round]]=8,0,10/(20.884*EXP(-0.381*1))*(20.884*EXP(-0.381*Table2[[#This Row],[Draft Round]])))),0)</f>
        <v>0</v>
      </c>
      <c r="AF114">
        <f>ROUND(IF(Table2[[#This Row],[College BF Dominator]]&gt;0.3,10,IF(Table2[[#This Row],[College BF Dominator]]&lt;-0.156,0,10/(20.818*0.3+3.2667)*(20.818*Table2[[#This Row],[College BF Dominator]]+3.2667))),0)</f>
        <v>4</v>
      </c>
      <c r="AG114">
        <f>ROUND(IF(Table2[[#This Row],[College PTDR]]&gt;0.085,10,IF(Table2[[#This Row],[College PTDR]]&lt;0.04,0,10/(105.24*0.085-1.7837)*(105.24*Table2[[#This Row],[College PTDR]]-1.7837))),0)</f>
        <v>7</v>
      </c>
      <c r="AH114">
        <f>ROUND(IF(Table2[[#This Row],[College Passer Rating]]&gt;170,10,IF(Table2[[#This Row],[College Passer Rating]]&lt;112.475,0,10/(0.1495*170-16.815)*(0.1495*Table2[[#This Row],[College Passer Rating]]-16.815))),0)</f>
        <v>8</v>
      </c>
      <c r="AI114">
        <f>ROUND(IF(Table2[[#This Row],[PTD:INT]]&gt;4,10,IF(Table2[[#This Row],[PTD:INT]]&lt;1,0,10/(4.7442*LN(4)+0.4256)*(4.7442*LN(Table2[[#This Row],[PTD:INT]])+0.4256))),0)</f>
        <v>10</v>
      </c>
      <c r="AJ114">
        <f>ROUND(IF(Table2[[#This Row],[Patt:Ratt]]&lt;2.5,10,IF(Table2[[#This Row],[Patt:Ratt]]&gt;15,0,10/(-2.684*LN(2.5)+9.0869)*(-2.684*LN(Table2[[#This Row],[Patt:Ratt]])+9.0869))),0)</f>
        <v>8</v>
      </c>
      <c r="AK114">
        <f>ROUND(IF(Table2[[#This Row],[Y/A]]&gt;9.2,10,IF(Table2[[#This Row],[Y/A]]&lt;6.26,0,10/(2.2619*9.2-14.16)*(2.2619*Table2[[#This Row],[Y/A]]-14.16))),0)</f>
        <v>10</v>
      </c>
      <c r="AL114">
        <f>ROUND(IF(Table2[[#This Row],[AY/A]]&gt;10,10,IF(Table2[[#This Row],[AY/A]]&lt;5.51,0,10/(1.6571*10-9.1312)*(1.6571*Table2[[#This Row],[AY/A]]-9.1312))),0)</f>
        <v>10</v>
      </c>
      <c r="AM114">
        <f>ROUND(IF(Table2[[#This Row],[40 Yd Dash]]&lt;4.75,10,IF(Table2[[#This Row],[40 Yd Dash]]&gt;5.191,0,10/(-66.95*LN(4.75)+110.26)*(-66.95*LN(Table2[[#This Row],[40 Yd Dash]])+110.26))),0)</f>
        <v>6</v>
      </c>
      <c r="AN114">
        <f>ROUND(IF(Table2[[#This Row],[Hand Size]]&gt;10.25,10,IF(Table2[[#This Row],[Hand Size]]&lt;9,0,10/(15.49*LN(10.25)-30.577)*(15.49*LN(Table2[[#This Row],[Hand Size]])-30.577))),0)</f>
        <v>7</v>
      </c>
    </row>
    <row r="115" spans="1:40">
      <c r="A115">
        <v>2021</v>
      </c>
      <c r="B115">
        <v>1</v>
      </c>
      <c r="C115" t="s">
        <v>219</v>
      </c>
      <c r="D115" t="s">
        <v>147</v>
      </c>
      <c r="E115">
        <v>7.4</v>
      </c>
      <c r="G115">
        <f>SUMIFS('NFL QB Data By Year'!$Q:$Q,'NFL QB Data By Year'!$D:$D,Table2[[#This Row],[Player Name]],'NFL QB Data By Year'!$B:$B,Table2[[#This Row],[Draft Year]]+G$1)</f>
        <v>17</v>
      </c>
      <c r="H115">
        <f>SUMIFS('NFL QB Data By Year'!$P:$P,'NFL QB Data By Year'!$D:$D,Table2[[#This Row],[Player Name]],'NFL QB Data By Year'!$B:$B,Table2[[#This Row],[Draft Year]]+H$1)</f>
        <v>216</v>
      </c>
      <c r="I115">
        <f>SUMIFS('NFL QB Data By Year'!$Q:$Q,'NFL QB Data By Year'!$D:$D,Table2[[#This Row],[Player Name]],'NFL QB Data By Year'!$B:$B,Table2[[#This Row],[Draft Year]]+I$1)</f>
        <v>0</v>
      </c>
      <c r="J115">
        <f>SUMIFS('NFL QB Data By Year'!$P:$P,'NFL QB Data By Year'!$D:$D,Table2[[#This Row],[Player Name]],'NFL QB Data By Year'!$B:$B,Table2[[#This Row],[Draft Year]]+J$1)</f>
        <v>0</v>
      </c>
      <c r="K115">
        <f>SUMIFS('NFL QB Data By Year'!$Q:$Q,'NFL QB Data By Year'!$D:$D,Table2[[#This Row],[Player Name]],'NFL QB Data By Year'!$B:$B,Table2[[#This Row],[Draft Year]]+K$1)</f>
        <v>0</v>
      </c>
      <c r="L115">
        <f>SUMIFS('NFL QB Data By Year'!$P:$P,'NFL QB Data By Year'!$D:$D,Table2[[#This Row],[Player Name]],'NFL QB Data By Year'!$B:$B,Table2[[#This Row],[Draft Year]]+L$1)</f>
        <v>0</v>
      </c>
      <c r="M115">
        <f>Table2[[#This Row],[Year 1 G]]+Table2[[#This Row],[Year 2 G]]+Table2[[#This Row],[Year 3 G]]</f>
        <v>17</v>
      </c>
      <c r="N115">
        <f>Table2[[#This Row],[Year 1 FPTs]]+Table2[[#This Row],[Year 2 FPTs]]+Table2[[#This Row],[Year 3 FPTs]]</f>
        <v>216</v>
      </c>
      <c r="O115" s="18">
        <f>IFERROR(Table2[[#This Row],[Total FPTs]]/Table2[[#This Row],[Total G]],0)</f>
        <v>12.705882352941176</v>
      </c>
      <c r="Q115" s="8">
        <f>943/(3723+3606+1846)</f>
        <v>0.10277929155313352</v>
      </c>
      <c r="R115" s="11">
        <f>90/1138</f>
        <v>7.9086115992970121E-2</v>
      </c>
      <c r="S115">
        <v>164.3</v>
      </c>
      <c r="T115" s="7">
        <f>90/17</f>
        <v>5.2941176470588234</v>
      </c>
      <c r="U115" s="7">
        <f>1138/231</f>
        <v>4.9264069264069263</v>
      </c>
      <c r="V115">
        <v>8.9</v>
      </c>
      <c r="W115">
        <v>9.8000000000000007</v>
      </c>
      <c r="X115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5">
        <v>4.76</v>
      </c>
      <c r="Z115">
        <v>10</v>
      </c>
      <c r="AD115">
        <f>ROUND(IF(Table2[[#This Row],[LZ Grade]]=0,10/(9.297*7-49.141)*(9.297*5.723-49.141),IF(Table2[[#This Row],[LZ Grade]]&lt;5.285,0,IF(Table2[[#This Row],[LZ Grade]]&gt;=7,10,10/(9.297*7-49.141)*(9.297*Table2[[#This Row],[LZ Grade]]-49.141)))),0)</f>
        <v>10</v>
      </c>
      <c r="AE115">
        <f>ROUND(IF(Table2[[#This Row],[Draft Round]]=1,10,IF(Table2[[#This Row],[Draft Round]]=8,0,10/(20.884*EXP(-0.381*1))*(20.884*EXP(-0.381*Table2[[#This Row],[Draft Round]])))),0)</f>
        <v>10</v>
      </c>
      <c r="AF115">
        <f>ROUND(IF(Table2[[#This Row],[College BF Dominator]]&gt;0.3,10,IF(Table2[[#This Row],[College BF Dominator]]&lt;-0.156,0,10/(20.818*0.3+3.2667)*(20.818*Table2[[#This Row],[College BF Dominator]]+3.2667))),0)</f>
        <v>6</v>
      </c>
      <c r="AG115">
        <f>ROUND(IF(Table2[[#This Row],[College PTDR]]&gt;0.085,10,IF(Table2[[#This Row],[College PTDR]]&lt;0.04,0,10/(105.24*0.085-1.7837)*(105.24*Table2[[#This Row],[College PTDR]]-1.7837))),0)</f>
        <v>9</v>
      </c>
      <c r="AH115">
        <f>ROUND(IF(Table2[[#This Row],[College Passer Rating]]&gt;170,10,IF(Table2[[#This Row],[College Passer Rating]]&lt;112.475,0,10/(0.1495*170-16.815)*(0.1495*Table2[[#This Row],[College Passer Rating]]-16.815))),0)</f>
        <v>9</v>
      </c>
      <c r="AI115">
        <f>ROUND(IF(Table2[[#This Row],[PTD:INT]]&gt;4,10,IF(Table2[[#This Row],[PTD:INT]]&lt;1,0,10/(4.7442*LN(4)+0.4256)*(4.7442*LN(Table2[[#This Row],[PTD:INT]])+0.4256))),0)</f>
        <v>10</v>
      </c>
      <c r="AJ115">
        <f>ROUND(IF(Table2[[#This Row],[Patt:Ratt]]&lt;2.5,10,IF(Table2[[#This Row],[Patt:Ratt]]&gt;15,0,10/(-2.684*LN(2.5)+9.0869)*(-2.684*LN(Table2[[#This Row],[Patt:Ratt]])+9.0869))),0)</f>
        <v>7</v>
      </c>
      <c r="AK115">
        <f>ROUND(IF(Table2[[#This Row],[Y/A]]&gt;9.2,10,IF(Table2[[#This Row],[Y/A]]&lt;6.26,0,10/(2.2619*9.2-14.16)*(2.2619*Table2[[#This Row],[Y/A]]-14.16))),0)</f>
        <v>9</v>
      </c>
      <c r="AL115">
        <f>ROUND(IF(Table2[[#This Row],[AY/A]]&gt;10,10,IF(Table2[[#This Row],[AY/A]]&lt;5.51,0,10/(1.6571*10-9.1312)*(1.6571*Table2[[#This Row],[AY/A]]-9.1312))),0)</f>
        <v>10</v>
      </c>
      <c r="AM115">
        <f>ROUND(IF(Table2[[#This Row],[40 Yd Dash]]&lt;4.75,10,IF(Table2[[#This Row],[40 Yd Dash]]&gt;5.191,0,10/(-66.95*LN(4.75)+110.26)*(-66.95*LN(Table2[[#This Row],[40 Yd Dash]])+110.26))),0)</f>
        <v>10</v>
      </c>
      <c r="AN115">
        <f>ROUND(IF(Table2[[#This Row],[Hand Size]]&gt;10.25,10,IF(Table2[[#This Row],[Hand Size]]&lt;9,0,10/(15.49*LN(10.25)-30.577)*(15.49*LN(Table2[[#This Row],[Hand Size]])-30.577))),0)</f>
        <v>9</v>
      </c>
    </row>
    <row r="116" spans="1:40">
      <c r="A116">
        <v>2021</v>
      </c>
      <c r="B116">
        <v>1</v>
      </c>
      <c r="C116" t="s">
        <v>219</v>
      </c>
      <c r="D116" t="s">
        <v>148</v>
      </c>
      <c r="E116">
        <v>6.5</v>
      </c>
      <c r="G116">
        <f>SUMIFS('NFL QB Data By Year'!$Q:$Q,'NFL QB Data By Year'!$D:$D,Table2[[#This Row],[Player Name]],'NFL QB Data By Year'!$B:$B,Table2[[#This Row],[Draft Year]]+G$1)</f>
        <v>13</v>
      </c>
      <c r="H116">
        <f>SUMIFS('NFL QB Data By Year'!$P:$P,'NFL QB Data By Year'!$D:$D,Table2[[#This Row],[Player Name]],'NFL QB Data By Year'!$B:$B,Table2[[#This Row],[Draft Year]]+H$1)</f>
        <v>162.9</v>
      </c>
      <c r="I116">
        <f>SUMIFS('NFL QB Data By Year'!$Q:$Q,'NFL QB Data By Year'!$D:$D,Table2[[#This Row],[Player Name]],'NFL QB Data By Year'!$B:$B,Table2[[#This Row],[Draft Year]]+I$1)</f>
        <v>0</v>
      </c>
      <c r="J116">
        <f>SUMIFS('NFL QB Data By Year'!$P:$P,'NFL QB Data By Year'!$D:$D,Table2[[#This Row],[Player Name]],'NFL QB Data By Year'!$B:$B,Table2[[#This Row],[Draft Year]]+J$1)</f>
        <v>0</v>
      </c>
      <c r="K116">
        <f>SUMIFS('NFL QB Data By Year'!$Q:$Q,'NFL QB Data By Year'!$D:$D,Table2[[#This Row],[Player Name]],'NFL QB Data By Year'!$B:$B,Table2[[#This Row],[Draft Year]]+K$1)</f>
        <v>0</v>
      </c>
      <c r="L116">
        <f>SUMIFS('NFL QB Data By Year'!$P:$P,'NFL QB Data By Year'!$D:$D,Table2[[#This Row],[Player Name]],'NFL QB Data By Year'!$B:$B,Table2[[#This Row],[Draft Year]]+L$1)</f>
        <v>0</v>
      </c>
      <c r="M116">
        <f>Table2[[#This Row],[Year 1 G]]+Table2[[#This Row],[Year 2 G]]+Table2[[#This Row],[Year 3 G]]</f>
        <v>13</v>
      </c>
      <c r="N116">
        <f>Table2[[#This Row],[Year 1 FPTs]]+Table2[[#This Row],[Year 2 FPTs]]+Table2[[#This Row],[Year 3 FPTs]]</f>
        <v>162.9</v>
      </c>
      <c r="O116" s="18">
        <f>IFERROR(Table2[[#This Row],[Total FPTs]]/Table2[[#This Row],[Total G]],0)</f>
        <v>12.530769230769231</v>
      </c>
      <c r="Q116" s="8">
        <f>642/(1991+2068+2281)</f>
        <v>0.10126182965299685</v>
      </c>
      <c r="R116" s="11">
        <f>56/837</f>
        <v>6.6905615292712065E-2</v>
      </c>
      <c r="S116">
        <f>162.9</f>
        <v>162.9</v>
      </c>
      <c r="T116" s="7">
        <f>56/15</f>
        <v>3.7333333333333334</v>
      </c>
      <c r="U116" s="7">
        <f>837/212</f>
        <v>3.9481132075471699</v>
      </c>
      <c r="V116">
        <v>9.1</v>
      </c>
      <c r="W116">
        <v>9.6999999999999993</v>
      </c>
      <c r="X116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6">
        <v>4.67</v>
      </c>
      <c r="Z116">
        <v>9.5</v>
      </c>
      <c r="AD116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16">
        <f>ROUND(IF(Table2[[#This Row],[Draft Round]]=1,10,IF(Table2[[#This Row],[Draft Round]]=8,0,10/(20.884*EXP(-0.381*1))*(20.884*EXP(-0.381*Table2[[#This Row],[Draft Round]])))),0)</f>
        <v>10</v>
      </c>
      <c r="AF116">
        <f>ROUND(IF(Table2[[#This Row],[College BF Dominator]]&gt;0.3,10,IF(Table2[[#This Row],[College BF Dominator]]&lt;-0.156,0,10/(20.818*0.3+3.2667)*(20.818*Table2[[#This Row],[College BF Dominator]]+3.2667))),0)</f>
        <v>6</v>
      </c>
      <c r="AG116">
        <f>ROUND(IF(Table2[[#This Row],[College PTDR]]&gt;0.085,10,IF(Table2[[#This Row],[College PTDR]]&lt;0.04,0,10/(105.24*0.085-1.7837)*(105.24*Table2[[#This Row],[College PTDR]]-1.7837))),0)</f>
        <v>7</v>
      </c>
      <c r="AH116">
        <f>ROUND(IF(Table2[[#This Row],[College Passer Rating]]&gt;170,10,IF(Table2[[#This Row],[College Passer Rating]]&lt;112.475,0,10/(0.1495*170-16.815)*(0.1495*Table2[[#This Row],[College Passer Rating]]-16.815))),0)</f>
        <v>9</v>
      </c>
      <c r="AI116">
        <f>ROUND(IF(Table2[[#This Row],[PTD:INT]]&gt;4,10,IF(Table2[[#This Row],[PTD:INT]]&lt;1,0,10/(4.7442*LN(4)+0.4256)*(4.7442*LN(Table2[[#This Row],[PTD:INT]])+0.4256))),0)</f>
        <v>10</v>
      </c>
      <c r="AJ116">
        <f>ROUND(IF(Table2[[#This Row],[Patt:Ratt]]&lt;2.5,10,IF(Table2[[#This Row],[Patt:Ratt]]&gt;15,0,10/(-2.684*LN(2.5)+9.0869)*(-2.684*LN(Table2[[#This Row],[Patt:Ratt]])+9.0869))),0)</f>
        <v>8</v>
      </c>
      <c r="AK116">
        <f>ROUND(IF(Table2[[#This Row],[Y/A]]&gt;9.2,10,IF(Table2[[#This Row],[Y/A]]&lt;6.26,0,10/(2.2619*9.2-14.16)*(2.2619*Table2[[#This Row],[Y/A]]-14.16))),0)</f>
        <v>10</v>
      </c>
      <c r="AL116">
        <f>ROUND(IF(Table2[[#This Row],[AY/A]]&gt;10,10,IF(Table2[[#This Row],[AY/A]]&lt;5.51,0,10/(1.6571*10-9.1312)*(1.6571*Table2[[#This Row],[AY/A]]-9.1312))),0)</f>
        <v>9</v>
      </c>
      <c r="AM116">
        <f>ROUND(IF(Table2[[#This Row],[40 Yd Dash]]&lt;4.75,10,IF(Table2[[#This Row],[40 Yd Dash]]&gt;5.191,0,10/(-66.95*LN(4.75)+110.26)*(-66.95*LN(Table2[[#This Row],[40 Yd Dash]])+110.26))),0)</f>
        <v>10</v>
      </c>
      <c r="AN116">
        <f>ROUND(IF(Table2[[#This Row],[Hand Size]]&gt;10.25,10,IF(Table2[[#This Row],[Hand Size]]&lt;9,0,10/(15.49*LN(10.25)-30.577)*(15.49*LN(Table2[[#This Row],[Hand Size]])-30.577))),0)</f>
        <v>8</v>
      </c>
    </row>
    <row r="117" spans="1:40">
      <c r="A117">
        <v>2021</v>
      </c>
      <c r="B117">
        <v>1</v>
      </c>
      <c r="C117" t="s">
        <v>219</v>
      </c>
      <c r="D117" t="s">
        <v>149</v>
      </c>
      <c r="E117">
        <v>6.47</v>
      </c>
      <c r="G117">
        <f>SUMIFS('NFL QB Data By Year'!$Q:$Q,'NFL QB Data By Year'!$D:$D,Table2[[#This Row],[Player Name]],'NFL QB Data By Year'!$B:$B,Table2[[#This Row],[Draft Year]]+G$1)</f>
        <v>6</v>
      </c>
      <c r="H117">
        <f>SUMIFS('NFL QB Data By Year'!$P:$P,'NFL QB Data By Year'!$D:$D,Table2[[#This Row],[Player Name]],'NFL QB Data By Year'!$B:$B,Table2[[#This Row],[Draft Year]]+H$1)</f>
        <v>67</v>
      </c>
      <c r="I117">
        <f>SUMIFS('NFL QB Data By Year'!$Q:$Q,'NFL QB Data By Year'!$D:$D,Table2[[#This Row],[Player Name]],'NFL QB Data By Year'!$B:$B,Table2[[#This Row],[Draft Year]]+I$1)</f>
        <v>0</v>
      </c>
      <c r="J117">
        <f>SUMIFS('NFL QB Data By Year'!$P:$P,'NFL QB Data By Year'!$D:$D,Table2[[#This Row],[Player Name]],'NFL QB Data By Year'!$B:$B,Table2[[#This Row],[Draft Year]]+J$1)</f>
        <v>0</v>
      </c>
      <c r="K117">
        <f>SUMIFS('NFL QB Data By Year'!$Q:$Q,'NFL QB Data By Year'!$D:$D,Table2[[#This Row],[Player Name]],'NFL QB Data By Year'!$B:$B,Table2[[#This Row],[Draft Year]]+K$1)</f>
        <v>0</v>
      </c>
      <c r="L117">
        <f>SUMIFS('NFL QB Data By Year'!$P:$P,'NFL QB Data By Year'!$D:$D,Table2[[#This Row],[Player Name]],'NFL QB Data By Year'!$B:$B,Table2[[#This Row],[Draft Year]]+L$1)</f>
        <v>0</v>
      </c>
      <c r="M117">
        <f>Table2[[#This Row],[Year 1 G]]+Table2[[#This Row],[Year 2 G]]+Table2[[#This Row],[Year 3 G]]</f>
        <v>6</v>
      </c>
      <c r="N117">
        <f>Table2[[#This Row],[Year 1 FPTs]]+Table2[[#This Row],[Year 2 FPTs]]+Table2[[#This Row],[Year 3 FPTs]]</f>
        <v>67</v>
      </c>
      <c r="O117" s="18">
        <f>IFERROR(Table2[[#This Row],[Total FPTs]]/Table2[[#This Row],[Total G]],0)</f>
        <v>11.166666666666666</v>
      </c>
      <c r="Q117" s="8">
        <f>1325/(4293+4601+2183)</f>
        <v>0.11961722488038277</v>
      </c>
      <c r="R117" s="11">
        <f>30/318</f>
        <v>9.4339622641509441E-2</v>
      </c>
      <c r="S117">
        <f>173.8</f>
        <v>173.8</v>
      </c>
      <c r="T117" s="7">
        <f>30/1</f>
        <v>30</v>
      </c>
      <c r="U117" s="7">
        <f>318/192</f>
        <v>1.65625</v>
      </c>
      <c r="V117">
        <v>9.3000000000000007</v>
      </c>
      <c r="W117">
        <v>11</v>
      </c>
      <c r="X117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7">
        <v>4.6399999999999997</v>
      </c>
      <c r="Z117">
        <v>9.125</v>
      </c>
      <c r="AD117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17">
        <f>ROUND(IF(Table2[[#This Row],[Draft Round]]=1,10,IF(Table2[[#This Row],[Draft Round]]=8,0,10/(20.884*EXP(-0.381*1))*(20.884*EXP(-0.381*Table2[[#This Row],[Draft Round]])))),0)</f>
        <v>10</v>
      </c>
      <c r="AF117">
        <f>ROUND(IF(Table2[[#This Row],[College BF Dominator]]&gt;0.3,10,IF(Table2[[#This Row],[College BF Dominator]]&lt;-0.156,0,10/(20.818*0.3+3.2667)*(20.818*Table2[[#This Row],[College BF Dominator]]+3.2667))),0)</f>
        <v>6</v>
      </c>
      <c r="AG117">
        <f>ROUND(IF(Table2[[#This Row],[College PTDR]]&gt;0.085,10,IF(Table2[[#This Row],[College PTDR]]&lt;0.04,0,10/(105.24*0.085-1.7837)*(105.24*Table2[[#This Row],[College PTDR]]-1.7837))),0)</f>
        <v>10</v>
      </c>
      <c r="AH117">
        <f>ROUND(IF(Table2[[#This Row],[College Passer Rating]]&gt;170,10,IF(Table2[[#This Row],[College Passer Rating]]&lt;112.475,0,10/(0.1495*170-16.815)*(0.1495*Table2[[#This Row],[College Passer Rating]]-16.815))),0)</f>
        <v>10</v>
      </c>
      <c r="AI117">
        <f>ROUND(IF(Table2[[#This Row],[PTD:INT]]&gt;4,10,IF(Table2[[#This Row],[PTD:INT]]&lt;1,0,10/(4.7442*LN(4)+0.4256)*(4.7442*LN(Table2[[#This Row],[PTD:INT]])+0.4256))),0)</f>
        <v>10</v>
      </c>
      <c r="AJ117">
        <f>ROUND(IF(Table2[[#This Row],[Patt:Ratt]]&lt;2.5,10,IF(Table2[[#This Row],[Patt:Ratt]]&gt;15,0,10/(-2.684*LN(2.5)+9.0869)*(-2.684*LN(Table2[[#This Row],[Patt:Ratt]])+9.0869))),0)</f>
        <v>10</v>
      </c>
      <c r="AK117">
        <f>ROUND(IF(Table2[[#This Row],[Y/A]]&gt;9.2,10,IF(Table2[[#This Row],[Y/A]]&lt;6.26,0,10/(2.2619*9.2-14.16)*(2.2619*Table2[[#This Row],[Y/A]]-14.16))),0)</f>
        <v>10</v>
      </c>
      <c r="AL117">
        <f>ROUND(IF(Table2[[#This Row],[AY/A]]&gt;10,10,IF(Table2[[#This Row],[AY/A]]&lt;5.51,0,10/(1.6571*10-9.1312)*(1.6571*Table2[[#This Row],[AY/A]]-9.1312))),0)</f>
        <v>10</v>
      </c>
      <c r="AM117">
        <f>ROUND(IF(Table2[[#This Row],[40 Yd Dash]]&lt;4.75,10,IF(Table2[[#This Row],[40 Yd Dash]]&gt;5.191,0,10/(-66.95*LN(4.75)+110.26)*(-66.95*LN(Table2[[#This Row],[40 Yd Dash]])+110.26))),0)</f>
        <v>10</v>
      </c>
      <c r="AN117">
        <f>ROUND(IF(Table2[[#This Row],[Hand Size]]&gt;10.25,10,IF(Table2[[#This Row],[Hand Size]]&lt;9,0,10/(15.49*LN(10.25)-30.577)*(15.49*LN(Table2[[#This Row],[Hand Size]])-30.577))),0)</f>
        <v>7</v>
      </c>
    </row>
    <row r="118" spans="1:40">
      <c r="A118">
        <v>2021</v>
      </c>
      <c r="B118">
        <v>1</v>
      </c>
      <c r="C118" t="s">
        <v>219</v>
      </c>
      <c r="D118" t="s">
        <v>150</v>
      </c>
      <c r="E118">
        <v>6.45</v>
      </c>
      <c r="G118">
        <f>SUMIFS('NFL QB Data By Year'!$Q:$Q,'NFL QB Data By Year'!$D:$D,Table2[[#This Row],[Player Name]],'NFL QB Data By Year'!$B:$B,Table2[[#This Row],[Draft Year]]+G$1)</f>
        <v>12</v>
      </c>
      <c r="H118">
        <f>SUMIFS('NFL QB Data By Year'!$P:$P,'NFL QB Data By Year'!$D:$D,Table2[[#This Row],[Player Name]],'NFL QB Data By Year'!$B:$B,Table2[[#This Row],[Draft Year]]+H$1)</f>
        <v>136.9</v>
      </c>
      <c r="I118">
        <f>SUMIFS('NFL QB Data By Year'!$Q:$Q,'NFL QB Data By Year'!$D:$D,Table2[[#This Row],[Player Name]],'NFL QB Data By Year'!$B:$B,Table2[[#This Row],[Draft Year]]+I$1)</f>
        <v>0</v>
      </c>
      <c r="J118">
        <f>SUMIFS('NFL QB Data By Year'!$P:$P,'NFL QB Data By Year'!$D:$D,Table2[[#This Row],[Player Name]],'NFL QB Data By Year'!$B:$B,Table2[[#This Row],[Draft Year]]+J$1)</f>
        <v>0</v>
      </c>
      <c r="K118">
        <f>SUMIFS('NFL QB Data By Year'!$Q:$Q,'NFL QB Data By Year'!$D:$D,Table2[[#This Row],[Player Name]],'NFL QB Data By Year'!$B:$B,Table2[[#This Row],[Draft Year]]+K$1)</f>
        <v>0</v>
      </c>
      <c r="L118">
        <f>SUMIFS('NFL QB Data By Year'!$P:$P,'NFL QB Data By Year'!$D:$D,Table2[[#This Row],[Player Name]],'NFL QB Data By Year'!$B:$B,Table2[[#This Row],[Draft Year]]+L$1)</f>
        <v>0</v>
      </c>
      <c r="M118">
        <f>Table2[[#This Row],[Year 1 G]]+Table2[[#This Row],[Year 2 G]]+Table2[[#This Row],[Year 3 G]]</f>
        <v>12</v>
      </c>
      <c r="N118">
        <f>Table2[[#This Row],[Year 1 FPTs]]+Table2[[#This Row],[Year 2 FPTs]]+Table2[[#This Row],[Year 3 FPTs]]</f>
        <v>136.9</v>
      </c>
      <c r="O118" s="18">
        <f>IFERROR(Table2[[#This Row],[Total FPTs]]/Table2[[#This Row],[Total G]],0)</f>
        <v>11.408333333333333</v>
      </c>
      <c r="Q118" s="8">
        <f>1133/(3343+3735+2055)</f>
        <v>0.12405562246797329</v>
      </c>
      <c r="R118" s="11">
        <f>67/618</f>
        <v>0.10841423948220065</v>
      </c>
      <c r="S118">
        <f>178.8</f>
        <v>178.8</v>
      </c>
      <c r="T118" s="7">
        <f>67/9</f>
        <v>7.4444444444444446</v>
      </c>
      <c r="U118" s="7">
        <f>618/260</f>
        <v>2.3769230769230769</v>
      </c>
      <c r="V118">
        <v>9.1999999999999993</v>
      </c>
      <c r="W118">
        <v>10.7</v>
      </c>
      <c r="X118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8">
        <v>4.46</v>
      </c>
      <c r="Z118">
        <v>9.125</v>
      </c>
      <c r="AD118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18">
        <f>ROUND(IF(Table2[[#This Row],[Draft Round]]=1,10,IF(Table2[[#This Row],[Draft Round]]=8,0,10/(20.884*EXP(-0.381*1))*(20.884*EXP(-0.381*Table2[[#This Row],[Draft Round]])))),0)</f>
        <v>10</v>
      </c>
      <c r="AF118">
        <f>ROUND(IF(Table2[[#This Row],[College BF Dominator]]&gt;0.3,10,IF(Table2[[#This Row],[College BF Dominator]]&lt;-0.156,0,10/(20.818*0.3+3.2667)*(20.818*Table2[[#This Row],[College BF Dominator]]+3.2667))),0)</f>
        <v>6</v>
      </c>
      <c r="AG118">
        <f>ROUND(IF(Table2[[#This Row],[College PTDR]]&gt;0.085,10,IF(Table2[[#This Row],[College PTDR]]&lt;0.04,0,10/(105.24*0.085-1.7837)*(105.24*Table2[[#This Row],[College PTDR]]-1.7837))),0)</f>
        <v>10</v>
      </c>
      <c r="AH118">
        <f>ROUND(IF(Table2[[#This Row],[College Passer Rating]]&gt;170,10,IF(Table2[[#This Row],[College Passer Rating]]&lt;112.475,0,10/(0.1495*170-16.815)*(0.1495*Table2[[#This Row],[College Passer Rating]]-16.815))),0)</f>
        <v>10</v>
      </c>
      <c r="AI118">
        <f>ROUND(IF(Table2[[#This Row],[PTD:INT]]&gt;4,10,IF(Table2[[#This Row],[PTD:INT]]&lt;1,0,10/(4.7442*LN(4)+0.4256)*(4.7442*LN(Table2[[#This Row],[PTD:INT]])+0.4256))),0)</f>
        <v>10</v>
      </c>
      <c r="AJ118">
        <f>ROUND(IF(Table2[[#This Row],[Patt:Ratt]]&lt;2.5,10,IF(Table2[[#This Row],[Patt:Ratt]]&gt;15,0,10/(-2.684*LN(2.5)+9.0869)*(-2.684*LN(Table2[[#This Row],[Patt:Ratt]])+9.0869))),0)</f>
        <v>10</v>
      </c>
      <c r="AK118">
        <f>ROUND(IF(Table2[[#This Row],[Y/A]]&gt;9.2,10,IF(Table2[[#This Row],[Y/A]]&lt;6.26,0,10/(2.2619*9.2-14.16)*(2.2619*Table2[[#This Row],[Y/A]]-14.16))),0)</f>
        <v>10</v>
      </c>
      <c r="AL118">
        <f>ROUND(IF(Table2[[#This Row],[AY/A]]&gt;10,10,IF(Table2[[#This Row],[AY/A]]&lt;5.51,0,10/(1.6571*10-9.1312)*(1.6571*Table2[[#This Row],[AY/A]]-9.1312))),0)</f>
        <v>10</v>
      </c>
      <c r="AM118">
        <f>ROUND(IF(Table2[[#This Row],[40 Yd Dash]]&lt;4.75,10,IF(Table2[[#This Row],[40 Yd Dash]]&gt;5.191,0,10/(-66.95*LN(4.75)+110.26)*(-66.95*LN(Table2[[#This Row],[40 Yd Dash]])+110.26))),0)</f>
        <v>10</v>
      </c>
      <c r="AN118">
        <f>ROUND(IF(Table2[[#This Row],[Hand Size]]&gt;10.25,10,IF(Table2[[#This Row],[Hand Size]]&lt;9,0,10/(15.49*LN(10.25)-30.577)*(15.49*LN(Table2[[#This Row],[Hand Size]])-30.577))),0)</f>
        <v>7</v>
      </c>
    </row>
    <row r="119" spans="1:40">
      <c r="A119">
        <v>2021</v>
      </c>
      <c r="B119">
        <v>1</v>
      </c>
      <c r="C119" t="s">
        <v>219</v>
      </c>
      <c r="D119" t="s">
        <v>151</v>
      </c>
      <c r="E119">
        <v>6.33</v>
      </c>
      <c r="G119">
        <f>SUMIFS('NFL QB Data By Year'!$Q:$Q,'NFL QB Data By Year'!$D:$D,Table2[[#This Row],[Player Name]],'NFL QB Data By Year'!$B:$B,Table2[[#This Row],[Draft Year]]+G$1)</f>
        <v>17</v>
      </c>
      <c r="H119">
        <f>SUMIFS('NFL QB Data By Year'!$P:$P,'NFL QB Data By Year'!$D:$D,Table2[[#This Row],[Player Name]],'NFL QB Data By Year'!$B:$B,Table2[[#This Row],[Draft Year]]+H$1)</f>
        <v>238</v>
      </c>
      <c r="I119">
        <f>SUMIFS('NFL QB Data By Year'!$Q:$Q,'NFL QB Data By Year'!$D:$D,Table2[[#This Row],[Player Name]],'NFL QB Data By Year'!$B:$B,Table2[[#This Row],[Draft Year]]+I$1)</f>
        <v>0</v>
      </c>
      <c r="J119">
        <f>SUMIFS('NFL QB Data By Year'!$P:$P,'NFL QB Data By Year'!$D:$D,Table2[[#This Row],[Player Name]],'NFL QB Data By Year'!$B:$B,Table2[[#This Row],[Draft Year]]+J$1)</f>
        <v>0</v>
      </c>
      <c r="K119">
        <f>SUMIFS('NFL QB Data By Year'!$Q:$Q,'NFL QB Data By Year'!$D:$D,Table2[[#This Row],[Player Name]],'NFL QB Data By Year'!$B:$B,Table2[[#This Row],[Draft Year]]+K$1)</f>
        <v>0</v>
      </c>
      <c r="L119">
        <f>SUMIFS('NFL QB Data By Year'!$P:$P,'NFL QB Data By Year'!$D:$D,Table2[[#This Row],[Player Name]],'NFL QB Data By Year'!$B:$B,Table2[[#This Row],[Draft Year]]+L$1)</f>
        <v>0</v>
      </c>
      <c r="M119">
        <f>Table2[[#This Row],[Year 1 G]]+Table2[[#This Row],[Year 2 G]]+Table2[[#This Row],[Year 3 G]]</f>
        <v>17</v>
      </c>
      <c r="N119">
        <f>Table2[[#This Row],[Year 1 FPTs]]+Table2[[#This Row],[Year 2 FPTs]]+Table2[[#This Row],[Year 3 FPTs]]</f>
        <v>238</v>
      </c>
      <c r="O119" s="18">
        <f>IFERROR(Table2[[#This Row],[Total FPTs]]/Table2[[#This Row],[Total G]],0)</f>
        <v>14</v>
      </c>
      <c r="Q119" s="8">
        <f>42/(2976+2191+2385)</f>
        <v>5.5614406779661016E-3</v>
      </c>
      <c r="R119" s="11">
        <f>56/556</f>
        <v>0.10071942446043165</v>
      </c>
      <c r="S119">
        <f>197.6</f>
        <v>197.6</v>
      </c>
      <c r="T119" s="7">
        <f>56/7</f>
        <v>8</v>
      </c>
      <c r="U119" s="7">
        <f>556/54</f>
        <v>10.296296296296296</v>
      </c>
      <c r="V119">
        <f>11</f>
        <v>11</v>
      </c>
      <c r="W119">
        <v>12.5</v>
      </c>
      <c r="X119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19">
        <v>4.83</v>
      </c>
      <c r="Z119">
        <v>9.75</v>
      </c>
      <c r="AD119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119">
        <f>ROUND(IF(Table2[[#This Row],[Draft Round]]=1,10,IF(Table2[[#This Row],[Draft Round]]=8,0,10/(20.884*EXP(-0.381*1))*(20.884*EXP(-0.381*Table2[[#This Row],[Draft Round]])))),0)</f>
        <v>10</v>
      </c>
      <c r="AF119">
        <f>ROUND(IF(Table2[[#This Row],[College BF Dominator]]&gt;0.3,10,IF(Table2[[#This Row],[College BF Dominator]]&lt;-0.156,0,10/(20.818*0.3+3.2667)*(20.818*Table2[[#This Row],[College BF Dominator]]+3.2667))),0)</f>
        <v>4</v>
      </c>
      <c r="AG119">
        <f>ROUND(IF(Table2[[#This Row],[College PTDR]]&gt;0.085,10,IF(Table2[[#This Row],[College PTDR]]&lt;0.04,0,10/(105.24*0.085-1.7837)*(105.24*Table2[[#This Row],[College PTDR]]-1.7837))),0)</f>
        <v>10</v>
      </c>
      <c r="AH119">
        <f>ROUND(IF(Table2[[#This Row],[College Passer Rating]]&gt;170,10,IF(Table2[[#This Row],[College Passer Rating]]&lt;112.475,0,10/(0.1495*170-16.815)*(0.1495*Table2[[#This Row],[College Passer Rating]]-16.815))),0)</f>
        <v>10</v>
      </c>
      <c r="AI119">
        <f>ROUND(IF(Table2[[#This Row],[PTD:INT]]&gt;4,10,IF(Table2[[#This Row],[PTD:INT]]&lt;1,0,10/(4.7442*LN(4)+0.4256)*(4.7442*LN(Table2[[#This Row],[PTD:INT]])+0.4256))),0)</f>
        <v>10</v>
      </c>
      <c r="AJ119">
        <f>ROUND(IF(Table2[[#This Row],[Patt:Ratt]]&lt;2.5,10,IF(Table2[[#This Row],[Patt:Ratt]]&gt;15,0,10/(-2.684*LN(2.5)+9.0869)*(-2.684*LN(Table2[[#This Row],[Patt:Ratt]])+9.0869))),0)</f>
        <v>4</v>
      </c>
      <c r="AK119">
        <f>ROUND(IF(Table2[[#This Row],[Y/A]]&gt;9.2,10,IF(Table2[[#This Row],[Y/A]]&lt;6.26,0,10/(2.2619*9.2-14.16)*(2.2619*Table2[[#This Row],[Y/A]]-14.16))),0)</f>
        <v>10</v>
      </c>
      <c r="AL119">
        <f>ROUND(IF(Table2[[#This Row],[AY/A]]&gt;10,10,IF(Table2[[#This Row],[AY/A]]&lt;5.51,0,10/(1.6571*10-9.1312)*(1.6571*Table2[[#This Row],[AY/A]]-9.1312))),0)</f>
        <v>10</v>
      </c>
      <c r="AM119">
        <f>ROUND(IF(Table2[[#This Row],[40 Yd Dash]]&lt;4.75,10,IF(Table2[[#This Row],[40 Yd Dash]]&gt;5.191,0,10/(-66.95*LN(4.75)+110.26)*(-66.95*LN(Table2[[#This Row],[40 Yd Dash]])+110.26))),0)</f>
        <v>8</v>
      </c>
      <c r="AN119">
        <f>ROUND(IF(Table2[[#This Row],[Hand Size]]&gt;10.25,10,IF(Table2[[#This Row],[Hand Size]]&lt;9,0,10/(15.49*LN(10.25)-30.577)*(15.49*LN(Table2[[#This Row],[Hand Size]])-30.577))),0)</f>
        <v>9</v>
      </c>
    </row>
    <row r="120" spans="1:40">
      <c r="A120">
        <v>2021</v>
      </c>
      <c r="B120">
        <v>2</v>
      </c>
      <c r="C120" t="s">
        <v>219</v>
      </c>
      <c r="D120" t="s">
        <v>152</v>
      </c>
      <c r="E120">
        <v>6.19</v>
      </c>
      <c r="G120">
        <f>SUMIFS('NFL QB Data By Year'!$Q:$Q,'NFL QB Data By Year'!$D:$D,Table2[[#This Row],[Player Name]],'NFL QB Data By Year'!$B:$B,Table2[[#This Row],[Draft Year]]+G$1)</f>
        <v>0</v>
      </c>
      <c r="H120">
        <f>SUMIFS('NFL QB Data By Year'!$P:$P,'NFL QB Data By Year'!$D:$D,Table2[[#This Row],[Player Name]],'NFL QB Data By Year'!$B:$B,Table2[[#This Row],[Draft Year]]+H$1)</f>
        <v>0</v>
      </c>
      <c r="I120">
        <f>SUMIFS('NFL QB Data By Year'!$Q:$Q,'NFL QB Data By Year'!$D:$D,Table2[[#This Row],[Player Name]],'NFL QB Data By Year'!$B:$B,Table2[[#This Row],[Draft Year]]+I$1)</f>
        <v>0</v>
      </c>
      <c r="J120">
        <f>SUMIFS('NFL QB Data By Year'!$P:$P,'NFL QB Data By Year'!$D:$D,Table2[[#This Row],[Player Name]],'NFL QB Data By Year'!$B:$B,Table2[[#This Row],[Draft Year]]+J$1)</f>
        <v>0</v>
      </c>
      <c r="K120">
        <f>SUMIFS('NFL QB Data By Year'!$Q:$Q,'NFL QB Data By Year'!$D:$D,Table2[[#This Row],[Player Name]],'NFL QB Data By Year'!$B:$B,Table2[[#This Row],[Draft Year]]+K$1)</f>
        <v>0</v>
      </c>
      <c r="L120">
        <f>SUMIFS('NFL QB Data By Year'!$P:$P,'NFL QB Data By Year'!$D:$D,Table2[[#This Row],[Player Name]],'NFL QB Data By Year'!$B:$B,Table2[[#This Row],[Draft Year]]+L$1)</f>
        <v>0</v>
      </c>
      <c r="M120">
        <f>Table2[[#This Row],[Year 1 G]]+Table2[[#This Row],[Year 2 G]]+Table2[[#This Row],[Year 3 G]]</f>
        <v>0</v>
      </c>
      <c r="N120">
        <f>Table2[[#This Row],[Year 1 FPTs]]+Table2[[#This Row],[Year 2 FPTs]]+Table2[[#This Row],[Year 3 FPTs]]</f>
        <v>0</v>
      </c>
      <c r="O120" s="18">
        <f>IFERROR(Table2[[#This Row],[Total FPTs]]/Table2[[#This Row],[Total G]],0)</f>
        <v>0</v>
      </c>
      <c r="Q120" s="8">
        <f>54/(2771+1687+1575)</f>
        <v>8.950770760815515E-3</v>
      </c>
      <c r="R120" s="11">
        <f>69/813</f>
        <v>8.4870848708487087E-2</v>
      </c>
      <c r="S120">
        <v>168.5</v>
      </c>
      <c r="T120" s="7">
        <f>69/15</f>
        <v>4.5999999999999996</v>
      </c>
      <c r="U120" s="7">
        <f>813/132</f>
        <v>6.1590909090909092</v>
      </c>
      <c r="V120">
        <v>9.1</v>
      </c>
      <c r="W120">
        <v>10</v>
      </c>
      <c r="X120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0">
        <v>5.08</v>
      </c>
      <c r="Z120">
        <v>10.125</v>
      </c>
      <c r="AD120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20">
        <f>ROUND(IF(Table2[[#This Row],[Draft Round]]=1,10,IF(Table2[[#This Row],[Draft Round]]=8,0,10/(20.884*EXP(-0.381*1))*(20.884*EXP(-0.381*Table2[[#This Row],[Draft Round]])))),0)</f>
        <v>7</v>
      </c>
      <c r="AF120">
        <f>ROUND(IF(Table2[[#This Row],[College BF Dominator]]&gt;0.3,10,IF(Table2[[#This Row],[College BF Dominator]]&lt;-0.156,0,10/(20.818*0.3+3.2667)*(20.818*Table2[[#This Row],[College BF Dominator]]+3.2667))),0)</f>
        <v>4</v>
      </c>
      <c r="AG120">
        <f>ROUND(IF(Table2[[#This Row],[College PTDR]]&gt;0.085,10,IF(Table2[[#This Row],[College PTDR]]&lt;0.04,0,10/(105.24*0.085-1.7837)*(105.24*Table2[[#This Row],[College PTDR]]-1.7837))),0)</f>
        <v>10</v>
      </c>
      <c r="AH120">
        <f>ROUND(IF(Table2[[#This Row],[College Passer Rating]]&gt;170,10,IF(Table2[[#This Row],[College Passer Rating]]&lt;112.475,0,10/(0.1495*170-16.815)*(0.1495*Table2[[#This Row],[College Passer Rating]]-16.815))),0)</f>
        <v>10</v>
      </c>
      <c r="AI120">
        <f>ROUND(IF(Table2[[#This Row],[PTD:INT]]&gt;4,10,IF(Table2[[#This Row],[PTD:INT]]&lt;1,0,10/(4.7442*LN(4)+0.4256)*(4.7442*LN(Table2[[#This Row],[PTD:INT]])+0.4256))),0)</f>
        <v>10</v>
      </c>
      <c r="AJ120">
        <f>ROUND(IF(Table2[[#This Row],[Patt:Ratt]]&lt;2.5,10,IF(Table2[[#This Row],[Patt:Ratt]]&gt;15,0,10/(-2.684*LN(2.5)+9.0869)*(-2.684*LN(Table2[[#This Row],[Patt:Ratt]])+9.0869))),0)</f>
        <v>6</v>
      </c>
      <c r="AK120">
        <f>ROUND(IF(Table2[[#This Row],[Y/A]]&gt;9.2,10,IF(Table2[[#This Row],[Y/A]]&lt;6.26,0,10/(2.2619*9.2-14.16)*(2.2619*Table2[[#This Row],[Y/A]]-14.16))),0)</f>
        <v>10</v>
      </c>
      <c r="AL120">
        <f>ROUND(IF(Table2[[#This Row],[AY/A]]&gt;10,10,IF(Table2[[#This Row],[AY/A]]&lt;5.51,0,10/(1.6571*10-9.1312)*(1.6571*Table2[[#This Row],[AY/A]]-9.1312))),0)</f>
        <v>10</v>
      </c>
      <c r="AM120">
        <f>ROUND(IF(Table2[[#This Row],[40 Yd Dash]]&lt;4.75,10,IF(Table2[[#This Row],[40 Yd Dash]]&gt;5.191,0,10/(-66.95*LN(4.75)+110.26)*(-66.95*LN(Table2[[#This Row],[40 Yd Dash]])+110.26))),0)</f>
        <v>2</v>
      </c>
      <c r="AN120">
        <f>ROUND(IF(Table2[[#This Row],[Hand Size]]&gt;10.25,10,IF(Table2[[#This Row],[Hand Size]]&lt;9,0,10/(15.49*LN(10.25)-30.577)*(15.49*LN(Table2[[#This Row],[Hand Size]])-30.577))),0)</f>
        <v>10</v>
      </c>
    </row>
    <row r="121" spans="1:40">
      <c r="A121">
        <v>2021</v>
      </c>
      <c r="B121">
        <v>3</v>
      </c>
      <c r="C121" t="s">
        <v>219</v>
      </c>
      <c r="D121" t="s">
        <v>153</v>
      </c>
      <c r="E121">
        <v>6.12</v>
      </c>
      <c r="G121">
        <f>SUMIFS('NFL QB Data By Year'!$Q:$Q,'NFL QB Data By Year'!$D:$D,Table2[[#This Row],[Player Name]],'NFL QB Data By Year'!$B:$B,Table2[[#This Row],[Draft Year]]+G$1)</f>
        <v>2</v>
      </c>
      <c r="H121">
        <f>SUMIFS('NFL QB Data By Year'!$P:$P,'NFL QB Data By Year'!$D:$D,Table2[[#This Row],[Player Name]],'NFL QB Data By Year'!$B:$B,Table2[[#This Row],[Draft Year]]+H$1)</f>
        <v>0.2</v>
      </c>
      <c r="I121">
        <f>SUMIFS('NFL QB Data By Year'!$Q:$Q,'NFL QB Data By Year'!$D:$D,Table2[[#This Row],[Player Name]],'NFL QB Data By Year'!$B:$B,Table2[[#This Row],[Draft Year]]+I$1)</f>
        <v>0</v>
      </c>
      <c r="J121">
        <f>SUMIFS('NFL QB Data By Year'!$P:$P,'NFL QB Data By Year'!$D:$D,Table2[[#This Row],[Player Name]],'NFL QB Data By Year'!$B:$B,Table2[[#This Row],[Draft Year]]+J$1)</f>
        <v>0</v>
      </c>
      <c r="K121">
        <f>SUMIFS('NFL QB Data By Year'!$Q:$Q,'NFL QB Data By Year'!$D:$D,Table2[[#This Row],[Player Name]],'NFL QB Data By Year'!$B:$B,Table2[[#This Row],[Draft Year]]+K$1)</f>
        <v>0</v>
      </c>
      <c r="L121">
        <f>SUMIFS('NFL QB Data By Year'!$P:$P,'NFL QB Data By Year'!$D:$D,Table2[[#This Row],[Player Name]],'NFL QB Data By Year'!$B:$B,Table2[[#This Row],[Draft Year]]+L$1)</f>
        <v>0</v>
      </c>
      <c r="M121">
        <f>Table2[[#This Row],[Year 1 G]]+Table2[[#This Row],[Year 2 G]]+Table2[[#This Row],[Year 3 G]]</f>
        <v>2</v>
      </c>
      <c r="N121">
        <f>Table2[[#This Row],[Year 1 FPTs]]+Table2[[#This Row],[Year 2 FPTs]]+Table2[[#This Row],[Year 3 FPTs]]</f>
        <v>0.2</v>
      </c>
      <c r="O121" s="18">
        <f>IFERROR(Table2[[#This Row],[Total FPTs]]/Table2[[#This Row],[Total G]],0)</f>
        <v>0.1</v>
      </c>
      <c r="Q121" s="8">
        <f>1609/(2051+2068+2847+2023)</f>
        <v>0.1789965513405273</v>
      </c>
      <c r="R121" s="11">
        <f>71/1358</f>
        <v>5.228276877761414E-2</v>
      </c>
      <c r="S121">
        <v>132</v>
      </c>
      <c r="T121" s="7">
        <f>71/27</f>
        <v>2.6296296296296298</v>
      </c>
      <c r="U121" s="7">
        <f>1358/438</f>
        <v>3.1004566210045663</v>
      </c>
      <c r="V121">
        <v>7.1</v>
      </c>
      <c r="W121">
        <v>7.3</v>
      </c>
      <c r="X121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1">
        <v>4.62</v>
      </c>
      <c r="Z121">
        <v>9.375</v>
      </c>
      <c r="AD121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21">
        <f>ROUND(IF(Table2[[#This Row],[Draft Round]]=1,10,IF(Table2[[#This Row],[Draft Round]]=8,0,10/(20.884*EXP(-0.381*1))*(20.884*EXP(-0.381*Table2[[#This Row],[Draft Round]])))),0)</f>
        <v>5</v>
      </c>
      <c r="AF121">
        <f>ROUND(IF(Table2[[#This Row],[College BF Dominator]]&gt;0.3,10,IF(Table2[[#This Row],[College BF Dominator]]&lt;-0.156,0,10/(20.818*0.3+3.2667)*(20.818*Table2[[#This Row],[College BF Dominator]]+3.2667))),0)</f>
        <v>7</v>
      </c>
      <c r="AG121">
        <f>ROUND(IF(Table2[[#This Row],[College PTDR]]&gt;0.085,10,IF(Table2[[#This Row],[College PTDR]]&lt;0.04,0,10/(105.24*0.085-1.7837)*(105.24*Table2[[#This Row],[College PTDR]]-1.7837))),0)</f>
        <v>5</v>
      </c>
      <c r="AH121">
        <f>ROUND(IF(Table2[[#This Row],[College Passer Rating]]&gt;170,10,IF(Table2[[#This Row],[College Passer Rating]]&lt;112.475,0,10/(0.1495*170-16.815)*(0.1495*Table2[[#This Row],[College Passer Rating]]-16.815))),0)</f>
        <v>3</v>
      </c>
      <c r="AI121">
        <f>ROUND(IF(Table2[[#This Row],[PTD:INT]]&gt;4,10,IF(Table2[[#This Row],[PTD:INT]]&lt;1,0,10/(4.7442*LN(4)+0.4256)*(4.7442*LN(Table2[[#This Row],[PTD:INT]])+0.4256))),0)</f>
        <v>7</v>
      </c>
      <c r="AJ121">
        <f>ROUND(IF(Table2[[#This Row],[Patt:Ratt]]&lt;2.5,10,IF(Table2[[#This Row],[Patt:Ratt]]&gt;15,0,10/(-2.684*LN(2.5)+9.0869)*(-2.684*LN(Table2[[#This Row],[Patt:Ratt]])+9.0869))),0)</f>
        <v>9</v>
      </c>
      <c r="AK121">
        <f>ROUND(IF(Table2[[#This Row],[Y/A]]&gt;9.2,10,IF(Table2[[#This Row],[Y/A]]&lt;6.26,0,10/(2.2619*9.2-14.16)*(2.2619*Table2[[#This Row],[Y/A]]-14.16))),0)</f>
        <v>3</v>
      </c>
      <c r="AL121">
        <f>ROUND(IF(Table2[[#This Row],[AY/A]]&gt;10,10,IF(Table2[[#This Row],[AY/A]]&lt;5.51,0,10/(1.6571*10-9.1312)*(1.6571*Table2[[#This Row],[AY/A]]-9.1312))),0)</f>
        <v>4</v>
      </c>
      <c r="AM121">
        <f>ROUND(IF(Table2[[#This Row],[40 Yd Dash]]&lt;4.75,10,IF(Table2[[#This Row],[40 Yd Dash]]&gt;5.191,0,10/(-66.95*LN(4.75)+110.26)*(-66.95*LN(Table2[[#This Row],[40 Yd Dash]])+110.26))),0)</f>
        <v>10</v>
      </c>
      <c r="AN121">
        <f>ROUND(IF(Table2[[#This Row],[Hand Size]]&gt;10.25,10,IF(Table2[[#This Row],[Hand Size]]&lt;9,0,10/(15.49*LN(10.25)-30.577)*(15.49*LN(Table2[[#This Row],[Hand Size]])-30.577))),0)</f>
        <v>7</v>
      </c>
    </row>
    <row r="122" spans="1:40">
      <c r="A122">
        <v>2021</v>
      </c>
      <c r="B122">
        <v>3</v>
      </c>
      <c r="C122" t="s">
        <v>219</v>
      </c>
      <c r="D122" t="s">
        <v>154</v>
      </c>
      <c r="E122">
        <v>6.14</v>
      </c>
      <c r="G122">
        <f>SUMIFS('NFL QB Data By Year'!$Q:$Q,'NFL QB Data By Year'!$D:$D,Table2[[#This Row],[Player Name]],'NFL QB Data By Year'!$B:$B,Table2[[#This Row],[Draft Year]]+G$1)</f>
        <v>13</v>
      </c>
      <c r="H122">
        <f>SUMIFS('NFL QB Data By Year'!$P:$P,'NFL QB Data By Year'!$D:$D,Table2[[#This Row],[Player Name]],'NFL QB Data By Year'!$B:$B,Table2[[#This Row],[Draft Year]]+H$1)</f>
        <v>167</v>
      </c>
      <c r="I122">
        <f>SUMIFS('NFL QB Data By Year'!$Q:$Q,'NFL QB Data By Year'!$D:$D,Table2[[#This Row],[Player Name]],'NFL QB Data By Year'!$B:$B,Table2[[#This Row],[Draft Year]]+I$1)</f>
        <v>0</v>
      </c>
      <c r="J122">
        <f>SUMIFS('NFL QB Data By Year'!$P:$P,'NFL QB Data By Year'!$D:$D,Table2[[#This Row],[Player Name]],'NFL QB Data By Year'!$B:$B,Table2[[#This Row],[Draft Year]]+J$1)</f>
        <v>0</v>
      </c>
      <c r="K122">
        <f>SUMIFS('NFL QB Data By Year'!$Q:$Q,'NFL QB Data By Year'!$D:$D,Table2[[#This Row],[Player Name]],'NFL QB Data By Year'!$B:$B,Table2[[#This Row],[Draft Year]]+K$1)</f>
        <v>0</v>
      </c>
      <c r="L122">
        <f>SUMIFS('NFL QB Data By Year'!$P:$P,'NFL QB Data By Year'!$D:$D,Table2[[#This Row],[Player Name]],'NFL QB Data By Year'!$B:$B,Table2[[#This Row],[Draft Year]]+L$1)</f>
        <v>0</v>
      </c>
      <c r="M122">
        <f>Table2[[#This Row],[Year 1 G]]+Table2[[#This Row],[Year 2 G]]+Table2[[#This Row],[Year 3 G]]</f>
        <v>13</v>
      </c>
      <c r="N122">
        <f>Table2[[#This Row],[Year 1 FPTs]]+Table2[[#This Row],[Year 2 FPTs]]+Table2[[#This Row],[Year 3 FPTs]]</f>
        <v>167</v>
      </c>
      <c r="O122" s="18">
        <f>IFERROR(Table2[[#This Row],[Total FPTs]]/Table2[[#This Row],[Total G]],0)</f>
        <v>12.846153846153847</v>
      </c>
      <c r="Q122" s="8">
        <f>86/(1403+1266+797)</f>
        <v>2.4812463935372186E-2</v>
      </c>
      <c r="R122" s="11">
        <f>18/438</f>
        <v>4.1095890410958902E-2</v>
      </c>
      <c r="S122">
        <v>141.9</v>
      </c>
      <c r="T122" s="7">
        <f>18/8</f>
        <v>2.25</v>
      </c>
      <c r="U122" s="7">
        <f>438/63</f>
        <v>6.9523809523809526</v>
      </c>
      <c r="V122">
        <v>7.9</v>
      </c>
      <c r="W122">
        <v>7.9</v>
      </c>
      <c r="X122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2">
        <v>4.82</v>
      </c>
      <c r="Z122">
        <v>9.5</v>
      </c>
      <c r="AD122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22">
        <f>ROUND(IF(Table2[[#This Row],[Draft Round]]=1,10,IF(Table2[[#This Row],[Draft Round]]=8,0,10/(20.884*EXP(-0.381*1))*(20.884*EXP(-0.381*Table2[[#This Row],[Draft Round]])))),0)</f>
        <v>5</v>
      </c>
      <c r="AF122">
        <f>ROUND(IF(Table2[[#This Row],[College BF Dominator]]&gt;0.3,10,IF(Table2[[#This Row],[College BF Dominator]]&lt;-0.156,0,10/(20.818*0.3+3.2667)*(20.818*Table2[[#This Row],[College BF Dominator]]+3.2667))),0)</f>
        <v>4</v>
      </c>
      <c r="AG122">
        <f>ROUND(IF(Table2[[#This Row],[College PTDR]]&gt;0.085,10,IF(Table2[[#This Row],[College PTDR]]&lt;0.04,0,10/(105.24*0.085-1.7837)*(105.24*Table2[[#This Row],[College PTDR]]-1.7837))),0)</f>
        <v>4</v>
      </c>
      <c r="AH122">
        <f>ROUND(IF(Table2[[#This Row],[College Passer Rating]]&gt;170,10,IF(Table2[[#This Row],[College Passer Rating]]&lt;112.475,0,10/(0.1495*170-16.815)*(0.1495*Table2[[#This Row],[College Passer Rating]]-16.815))),0)</f>
        <v>5</v>
      </c>
      <c r="AI122">
        <f>ROUND(IF(Table2[[#This Row],[PTD:INT]]&gt;4,10,IF(Table2[[#This Row],[PTD:INT]]&lt;1,0,10/(4.7442*LN(4)+0.4256)*(4.7442*LN(Table2[[#This Row],[PTD:INT]])+0.4256))),0)</f>
        <v>6</v>
      </c>
      <c r="AJ122">
        <f>ROUND(IF(Table2[[#This Row],[Patt:Ratt]]&lt;2.5,10,IF(Table2[[#This Row],[Patt:Ratt]]&gt;15,0,10/(-2.684*LN(2.5)+9.0869)*(-2.684*LN(Table2[[#This Row],[Patt:Ratt]])+9.0869))),0)</f>
        <v>6</v>
      </c>
      <c r="AK122">
        <f>ROUND(IF(Table2[[#This Row],[Y/A]]&gt;9.2,10,IF(Table2[[#This Row],[Y/A]]&lt;6.26,0,10/(2.2619*9.2-14.16)*(2.2619*Table2[[#This Row],[Y/A]]-14.16))),0)</f>
        <v>6</v>
      </c>
      <c r="AL122">
        <f>ROUND(IF(Table2[[#This Row],[AY/A]]&gt;10,10,IF(Table2[[#This Row],[AY/A]]&lt;5.51,0,10/(1.6571*10-9.1312)*(1.6571*Table2[[#This Row],[AY/A]]-9.1312))),0)</f>
        <v>5</v>
      </c>
      <c r="AM122">
        <f>ROUND(IF(Table2[[#This Row],[40 Yd Dash]]&lt;4.75,10,IF(Table2[[#This Row],[40 Yd Dash]]&gt;5.191,0,10/(-66.95*LN(4.75)+110.26)*(-66.95*LN(Table2[[#This Row],[40 Yd Dash]])+110.26))),0)</f>
        <v>8</v>
      </c>
      <c r="AN122">
        <f>ROUND(IF(Table2[[#This Row],[Hand Size]]&gt;10.25,10,IF(Table2[[#This Row],[Hand Size]]&lt;9,0,10/(15.49*LN(10.25)-30.577)*(15.49*LN(Table2[[#This Row],[Hand Size]])-30.577))),0)</f>
        <v>8</v>
      </c>
    </row>
    <row r="123" spans="1:40">
      <c r="A123">
        <v>2021</v>
      </c>
      <c r="B123">
        <v>4</v>
      </c>
      <c r="C123" t="s">
        <v>219</v>
      </c>
      <c r="D123" t="s">
        <v>155</v>
      </c>
      <c r="E123">
        <v>5.69</v>
      </c>
      <c r="G123">
        <f>SUMIFS('NFL QB Data By Year'!$Q:$Q,'NFL QB Data By Year'!$D:$D,Table2[[#This Row],[Player Name]],'NFL QB Data By Year'!$B:$B,Table2[[#This Row],[Draft Year]]+G$1)</f>
        <v>1</v>
      </c>
      <c r="H123">
        <f>SUMIFS('NFL QB Data By Year'!$P:$P,'NFL QB Data By Year'!$D:$D,Table2[[#This Row],[Player Name]],'NFL QB Data By Year'!$B:$B,Table2[[#This Row],[Draft Year]]+H$1)</f>
        <v>4</v>
      </c>
      <c r="I123">
        <f>SUMIFS('NFL QB Data By Year'!$Q:$Q,'NFL QB Data By Year'!$D:$D,Table2[[#This Row],[Player Name]],'NFL QB Data By Year'!$B:$B,Table2[[#This Row],[Draft Year]]+I$1)</f>
        <v>0</v>
      </c>
      <c r="J123">
        <f>SUMIFS('NFL QB Data By Year'!$P:$P,'NFL QB Data By Year'!$D:$D,Table2[[#This Row],[Player Name]],'NFL QB Data By Year'!$B:$B,Table2[[#This Row],[Draft Year]]+J$1)</f>
        <v>0</v>
      </c>
      <c r="K123">
        <f>SUMIFS('NFL QB Data By Year'!$Q:$Q,'NFL QB Data By Year'!$D:$D,Table2[[#This Row],[Player Name]],'NFL QB Data By Year'!$B:$B,Table2[[#This Row],[Draft Year]]+K$1)</f>
        <v>0</v>
      </c>
      <c r="L123">
        <f>SUMIFS('NFL QB Data By Year'!$P:$P,'NFL QB Data By Year'!$D:$D,Table2[[#This Row],[Player Name]],'NFL QB Data By Year'!$B:$B,Table2[[#This Row],[Draft Year]]+L$1)</f>
        <v>0</v>
      </c>
      <c r="M123">
        <f>Table2[[#This Row],[Year 1 G]]+Table2[[#This Row],[Year 2 G]]+Table2[[#This Row],[Year 3 G]]</f>
        <v>1</v>
      </c>
      <c r="N123">
        <f>Table2[[#This Row],[Year 1 FPTs]]+Table2[[#This Row],[Year 2 FPTs]]+Table2[[#This Row],[Year 3 FPTs]]</f>
        <v>4</v>
      </c>
      <c r="O123" s="18">
        <f>IFERROR(Table2[[#This Row],[Total FPTs]]/Table2[[#This Row],[Total G]],0)</f>
        <v>4</v>
      </c>
      <c r="Q123" s="8">
        <f>1517/(3501+2374+2327+2533)</f>
        <v>0.14131346064275735</v>
      </c>
      <c r="R123" s="11">
        <f>72/1141</f>
        <v>6.3102541630148987E-2</v>
      </c>
      <c r="S123">
        <f>147</f>
        <v>147</v>
      </c>
      <c r="T123" s="7">
        <f>72/20</f>
        <v>3.6</v>
      </c>
      <c r="U123" s="7">
        <f>1141/361</f>
        <v>3.1606648199445981</v>
      </c>
      <c r="V123">
        <v>7.8</v>
      </c>
      <c r="W123">
        <v>8.3000000000000007</v>
      </c>
      <c r="X123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3">
        <v>4.6500000000000004</v>
      </c>
      <c r="Z123">
        <v>9.875</v>
      </c>
      <c r="AD123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23">
        <f>ROUND(IF(Table2[[#This Row],[Draft Round]]=1,10,IF(Table2[[#This Row],[Draft Round]]=8,0,10/(20.884*EXP(-0.381*1))*(20.884*EXP(-0.381*Table2[[#This Row],[Draft Round]])))),0)</f>
        <v>3</v>
      </c>
      <c r="AF123">
        <f>ROUND(IF(Table2[[#This Row],[College BF Dominator]]&gt;0.3,10,IF(Table2[[#This Row],[College BF Dominator]]&lt;-0.156,0,10/(20.818*0.3+3.2667)*(20.818*Table2[[#This Row],[College BF Dominator]]+3.2667))),0)</f>
        <v>7</v>
      </c>
      <c r="AG123">
        <f>ROUND(IF(Table2[[#This Row],[College PTDR]]&gt;0.085,10,IF(Table2[[#This Row],[College PTDR]]&lt;0.04,0,10/(105.24*0.085-1.7837)*(105.24*Table2[[#This Row],[College PTDR]]-1.7837))),0)</f>
        <v>7</v>
      </c>
      <c r="AH123">
        <f>ROUND(IF(Table2[[#This Row],[College Passer Rating]]&gt;170,10,IF(Table2[[#This Row],[College Passer Rating]]&lt;112.475,0,10/(0.1495*170-16.815)*(0.1495*Table2[[#This Row],[College Passer Rating]]-16.815))),0)</f>
        <v>6</v>
      </c>
      <c r="AI123">
        <f>ROUND(IF(Table2[[#This Row],[PTD:INT]]&gt;4,10,IF(Table2[[#This Row],[PTD:INT]]&lt;1,0,10/(4.7442*LN(4)+0.4256)*(4.7442*LN(Table2[[#This Row],[PTD:INT]])+0.4256))),0)</f>
        <v>9</v>
      </c>
      <c r="AJ123">
        <f>ROUND(IF(Table2[[#This Row],[Patt:Ratt]]&lt;2.5,10,IF(Table2[[#This Row],[Patt:Ratt]]&gt;15,0,10/(-2.684*LN(2.5)+9.0869)*(-2.684*LN(Table2[[#This Row],[Patt:Ratt]])+9.0869))),0)</f>
        <v>9</v>
      </c>
      <c r="AK123">
        <f>ROUND(IF(Table2[[#This Row],[Y/A]]&gt;9.2,10,IF(Table2[[#This Row],[Y/A]]&lt;6.26,0,10/(2.2619*9.2-14.16)*(2.2619*Table2[[#This Row],[Y/A]]-14.16))),0)</f>
        <v>5</v>
      </c>
      <c r="AL123">
        <f>ROUND(IF(Table2[[#This Row],[AY/A]]&gt;10,10,IF(Table2[[#This Row],[AY/A]]&lt;5.51,0,10/(1.6571*10-9.1312)*(1.6571*Table2[[#This Row],[AY/A]]-9.1312))),0)</f>
        <v>6</v>
      </c>
      <c r="AM123">
        <f>ROUND(IF(Table2[[#This Row],[40 Yd Dash]]&lt;4.75,10,IF(Table2[[#This Row],[40 Yd Dash]]&gt;5.191,0,10/(-66.95*LN(4.75)+110.26)*(-66.95*LN(Table2[[#This Row],[40 Yd Dash]])+110.26))),0)</f>
        <v>10</v>
      </c>
      <c r="AN123">
        <f>ROUND(IF(Table2[[#This Row],[Hand Size]]&gt;10.25,10,IF(Table2[[#This Row],[Hand Size]]&lt;9,0,10/(15.49*LN(10.25)-30.577)*(15.49*LN(Table2[[#This Row],[Hand Size]])-30.577))),0)</f>
        <v>9</v>
      </c>
    </row>
    <row r="124" spans="1:40">
      <c r="A124">
        <v>2021</v>
      </c>
      <c r="B124">
        <v>6</v>
      </c>
      <c r="C124" t="s">
        <v>219</v>
      </c>
      <c r="D124" t="s">
        <v>156</v>
      </c>
      <c r="E124">
        <v>5.88</v>
      </c>
      <c r="G124">
        <f>SUMIFS('NFL QB Data By Year'!$Q:$Q,'NFL QB Data By Year'!$D:$D,Table2[[#This Row],[Player Name]],'NFL QB Data By Year'!$B:$B,Table2[[#This Row],[Draft Year]]+G$1)</f>
        <v>3</v>
      </c>
      <c r="H124">
        <f>SUMIFS('NFL QB Data By Year'!$P:$P,'NFL QB Data By Year'!$D:$D,Table2[[#This Row],[Player Name]],'NFL QB Data By Year'!$B:$B,Table2[[#This Row],[Draft Year]]+H$1)</f>
        <v>0.9</v>
      </c>
      <c r="I124">
        <f>SUMIFS('NFL QB Data By Year'!$Q:$Q,'NFL QB Data By Year'!$D:$D,Table2[[#This Row],[Player Name]],'NFL QB Data By Year'!$B:$B,Table2[[#This Row],[Draft Year]]+I$1)</f>
        <v>0</v>
      </c>
      <c r="J124">
        <f>SUMIFS('NFL QB Data By Year'!$P:$P,'NFL QB Data By Year'!$D:$D,Table2[[#This Row],[Player Name]],'NFL QB Data By Year'!$B:$B,Table2[[#This Row],[Draft Year]]+J$1)</f>
        <v>0</v>
      </c>
      <c r="K124">
        <f>SUMIFS('NFL QB Data By Year'!$Q:$Q,'NFL QB Data By Year'!$D:$D,Table2[[#This Row],[Player Name]],'NFL QB Data By Year'!$B:$B,Table2[[#This Row],[Draft Year]]+K$1)</f>
        <v>0</v>
      </c>
      <c r="L124">
        <f>SUMIFS('NFL QB Data By Year'!$P:$P,'NFL QB Data By Year'!$D:$D,Table2[[#This Row],[Player Name]],'NFL QB Data By Year'!$B:$B,Table2[[#This Row],[Draft Year]]+L$1)</f>
        <v>0</v>
      </c>
      <c r="M124">
        <f>Table2[[#This Row],[Year 1 G]]+Table2[[#This Row],[Year 2 G]]+Table2[[#This Row],[Year 3 G]]</f>
        <v>3</v>
      </c>
      <c r="N124">
        <f>Table2[[#This Row],[Year 1 FPTs]]+Table2[[#This Row],[Year 2 FPTs]]+Table2[[#This Row],[Year 3 FPTs]]</f>
        <v>0.9</v>
      </c>
      <c r="O124" s="18">
        <f>IFERROR(Table2[[#This Row],[Total FPTs]]/Table2[[#This Row],[Total G]],0)</f>
        <v>0.3</v>
      </c>
      <c r="Q124" s="8">
        <f>1903/(1815+2143+2295+1953)</f>
        <v>0.23190348525469168</v>
      </c>
      <c r="R124" s="11">
        <f>94/1476</f>
        <v>6.3685636856368563E-2</v>
      </c>
      <c r="S124">
        <v>145</v>
      </c>
      <c r="T124" s="7">
        <f>94/27</f>
        <v>3.4814814814814814</v>
      </c>
      <c r="U124" s="7">
        <f>1476/554</f>
        <v>2.664259927797834</v>
      </c>
      <c r="V124">
        <v>7.7</v>
      </c>
      <c r="W124">
        <v>8.1999999999999993</v>
      </c>
      <c r="X124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4">
        <v>4.84</v>
      </c>
      <c r="Z124">
        <v>9.75</v>
      </c>
      <c r="AD124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24">
        <f>ROUND(IF(Table2[[#This Row],[Draft Round]]=1,10,IF(Table2[[#This Row],[Draft Round]]=8,0,10/(20.884*EXP(-0.381*1))*(20.884*EXP(-0.381*Table2[[#This Row],[Draft Round]])))),0)</f>
        <v>1</v>
      </c>
      <c r="AF124">
        <f>ROUND(IF(Table2[[#This Row],[College BF Dominator]]&gt;0.3,10,IF(Table2[[#This Row],[College BF Dominator]]&lt;-0.156,0,10/(20.818*0.3+3.2667)*(20.818*Table2[[#This Row],[College BF Dominator]]+3.2667))),0)</f>
        <v>9</v>
      </c>
      <c r="AG124">
        <f>ROUND(IF(Table2[[#This Row],[College PTDR]]&gt;0.085,10,IF(Table2[[#This Row],[College PTDR]]&lt;0.04,0,10/(105.24*0.085-1.7837)*(105.24*Table2[[#This Row],[College PTDR]]-1.7837))),0)</f>
        <v>7</v>
      </c>
      <c r="AH124">
        <f>ROUND(IF(Table2[[#This Row],[College Passer Rating]]&gt;170,10,IF(Table2[[#This Row],[College Passer Rating]]&lt;112.475,0,10/(0.1495*170-16.815)*(0.1495*Table2[[#This Row],[College Passer Rating]]-16.815))),0)</f>
        <v>6</v>
      </c>
      <c r="AI124">
        <f>ROUND(IF(Table2[[#This Row],[PTD:INT]]&gt;4,10,IF(Table2[[#This Row],[PTD:INT]]&lt;1,0,10/(4.7442*LN(4)+0.4256)*(4.7442*LN(Table2[[#This Row],[PTD:INT]])+0.4256))),0)</f>
        <v>9</v>
      </c>
      <c r="AJ124">
        <f>ROUND(IF(Table2[[#This Row],[Patt:Ratt]]&lt;2.5,10,IF(Table2[[#This Row],[Patt:Ratt]]&gt;15,0,10/(-2.684*LN(2.5)+9.0869)*(-2.684*LN(Table2[[#This Row],[Patt:Ratt]])+9.0869))),0)</f>
        <v>10</v>
      </c>
      <c r="AK124">
        <f>ROUND(IF(Table2[[#This Row],[Y/A]]&gt;9.2,10,IF(Table2[[#This Row],[Y/A]]&lt;6.26,0,10/(2.2619*9.2-14.16)*(2.2619*Table2[[#This Row],[Y/A]]-14.16))),0)</f>
        <v>5</v>
      </c>
      <c r="AL124">
        <f>ROUND(IF(Table2[[#This Row],[AY/A]]&gt;10,10,IF(Table2[[#This Row],[AY/A]]&lt;5.51,0,10/(1.6571*10-9.1312)*(1.6571*Table2[[#This Row],[AY/A]]-9.1312))),0)</f>
        <v>6</v>
      </c>
      <c r="AM124">
        <f>ROUND(IF(Table2[[#This Row],[40 Yd Dash]]&lt;4.75,10,IF(Table2[[#This Row],[40 Yd Dash]]&gt;5.191,0,10/(-66.95*LN(4.75)+110.26)*(-66.95*LN(Table2[[#This Row],[40 Yd Dash]])+110.26))),0)</f>
        <v>8</v>
      </c>
      <c r="AN124">
        <f>ROUND(IF(Table2[[#This Row],[Hand Size]]&gt;10.25,10,IF(Table2[[#This Row],[Hand Size]]&lt;9,0,10/(15.49*LN(10.25)-30.577)*(15.49*LN(Table2[[#This Row],[Hand Size]])-30.577))),0)</f>
        <v>9</v>
      </c>
    </row>
    <row r="125" spans="1:40">
      <c r="A125">
        <v>2021</v>
      </c>
      <c r="B125">
        <v>8</v>
      </c>
      <c r="C125" t="s">
        <v>219</v>
      </c>
      <c r="D125" t="s">
        <v>157</v>
      </c>
      <c r="E125">
        <v>5.8</v>
      </c>
      <c r="G125">
        <f>SUMIFS('NFL QB Data By Year'!$Q:$Q,'NFL QB Data By Year'!$D:$D,Table2[[#This Row],[Player Name]],'NFL QB Data By Year'!$B:$B,Table2[[#This Row],[Draft Year]]+G$1)</f>
        <v>0</v>
      </c>
      <c r="H125">
        <f>SUMIFS('NFL QB Data By Year'!$P:$P,'NFL QB Data By Year'!$D:$D,Table2[[#This Row],[Player Name]],'NFL QB Data By Year'!$B:$B,Table2[[#This Row],[Draft Year]]+H$1)</f>
        <v>0</v>
      </c>
      <c r="I125">
        <f>SUMIFS('NFL QB Data By Year'!$Q:$Q,'NFL QB Data By Year'!$D:$D,Table2[[#This Row],[Player Name]],'NFL QB Data By Year'!$B:$B,Table2[[#This Row],[Draft Year]]+I$1)</f>
        <v>0</v>
      </c>
      <c r="J125">
        <f>SUMIFS('NFL QB Data By Year'!$P:$P,'NFL QB Data By Year'!$D:$D,Table2[[#This Row],[Player Name]],'NFL QB Data By Year'!$B:$B,Table2[[#This Row],[Draft Year]]+J$1)</f>
        <v>0</v>
      </c>
      <c r="K125">
        <f>SUMIFS('NFL QB Data By Year'!$Q:$Q,'NFL QB Data By Year'!$D:$D,Table2[[#This Row],[Player Name]],'NFL QB Data By Year'!$B:$B,Table2[[#This Row],[Draft Year]]+K$1)</f>
        <v>0</v>
      </c>
      <c r="L125">
        <f>SUMIFS('NFL QB Data By Year'!$P:$P,'NFL QB Data By Year'!$D:$D,Table2[[#This Row],[Player Name]],'NFL QB Data By Year'!$B:$B,Table2[[#This Row],[Draft Year]]+L$1)</f>
        <v>0</v>
      </c>
      <c r="M125">
        <f>Table2[[#This Row],[Year 1 G]]+Table2[[#This Row],[Year 2 G]]+Table2[[#This Row],[Year 3 G]]</f>
        <v>0</v>
      </c>
      <c r="N125">
        <f>Table2[[#This Row],[Year 1 FPTs]]+Table2[[#This Row],[Year 2 FPTs]]+Table2[[#This Row],[Year 3 FPTs]]</f>
        <v>0</v>
      </c>
      <c r="O125" s="14">
        <f>IFERROR(Table2[[#This Row],[Total FPTs]]/Table2[[#This Row],[Total G]],0)</f>
        <v>0</v>
      </c>
      <c r="Q125" s="8">
        <f>826/(2456+2778+2284+1742)</f>
        <v>8.9200863930885527E-2</v>
      </c>
      <c r="R125" s="11">
        <f>35/506</f>
        <v>6.9169960474308304E-2</v>
      </c>
      <c r="S125">
        <v>142.69999999999999</v>
      </c>
      <c r="T125" s="7">
        <f>35/16</f>
        <v>2.1875</v>
      </c>
      <c r="U125" s="7">
        <f>506/245</f>
        <v>2.0653061224489795</v>
      </c>
      <c r="V125">
        <f>7.8</f>
        <v>7.8</v>
      </c>
      <c r="W125">
        <v>7.8</v>
      </c>
      <c r="X125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5">
        <v>4.74</v>
      </c>
      <c r="Z125">
        <v>9.75</v>
      </c>
      <c r="AD125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25">
        <f>ROUND(IF(Table2[[#This Row],[Draft Round]]=1,10,IF(Table2[[#This Row],[Draft Round]]=8,0,10/(20.884*EXP(-0.381*1))*(20.884*EXP(-0.381*Table2[[#This Row],[Draft Round]])))),0)</f>
        <v>0</v>
      </c>
      <c r="AF125">
        <f>ROUND(IF(Table2[[#This Row],[College BF Dominator]]&gt;0.3,10,IF(Table2[[#This Row],[College BF Dominator]]&lt;-0.156,0,10/(20.818*0.3+3.2667)*(20.818*Table2[[#This Row],[College BF Dominator]]+3.2667))),0)</f>
        <v>5</v>
      </c>
      <c r="AG125">
        <f>ROUND(IF(Table2[[#This Row],[College PTDR]]&gt;0.085,10,IF(Table2[[#This Row],[College PTDR]]&lt;0.04,0,10/(105.24*0.085-1.7837)*(105.24*Table2[[#This Row],[College PTDR]]-1.7837))),0)</f>
        <v>8</v>
      </c>
      <c r="AH125">
        <f>ROUND(IF(Table2[[#This Row],[College Passer Rating]]&gt;170,10,IF(Table2[[#This Row],[College Passer Rating]]&lt;112.475,0,10/(0.1495*170-16.815)*(0.1495*Table2[[#This Row],[College Passer Rating]]-16.815))),0)</f>
        <v>5</v>
      </c>
      <c r="AI125">
        <f>ROUND(IF(Table2[[#This Row],[PTD:INT]]&gt;4,10,IF(Table2[[#This Row],[PTD:INT]]&lt;1,0,10/(4.7442*LN(4)+0.4256)*(4.7442*LN(Table2[[#This Row],[PTD:INT]])+0.4256))),0)</f>
        <v>6</v>
      </c>
      <c r="AJ125">
        <f>ROUND(IF(Table2[[#This Row],[Patt:Ratt]]&lt;2.5,10,IF(Table2[[#This Row],[Patt:Ratt]]&gt;15,0,10/(-2.684*LN(2.5)+9.0869)*(-2.684*LN(Table2[[#This Row],[Patt:Ratt]])+9.0869))),0)</f>
        <v>10</v>
      </c>
      <c r="AK125">
        <f>ROUND(IF(Table2[[#This Row],[Y/A]]&gt;9.2,10,IF(Table2[[#This Row],[Y/A]]&lt;6.26,0,10/(2.2619*9.2-14.16)*(2.2619*Table2[[#This Row],[Y/A]]-14.16))),0)</f>
        <v>5</v>
      </c>
      <c r="AL125">
        <f>ROUND(IF(Table2[[#This Row],[AY/A]]&gt;10,10,IF(Table2[[#This Row],[AY/A]]&lt;5.51,0,10/(1.6571*10-9.1312)*(1.6571*Table2[[#This Row],[AY/A]]-9.1312))),0)</f>
        <v>5</v>
      </c>
      <c r="AM125">
        <f>ROUND(IF(Table2[[#This Row],[40 Yd Dash]]&lt;4.75,10,IF(Table2[[#This Row],[40 Yd Dash]]&gt;5.191,0,10/(-66.95*LN(4.75)+110.26)*(-66.95*LN(Table2[[#This Row],[40 Yd Dash]])+110.26))),0)</f>
        <v>10</v>
      </c>
      <c r="AN125">
        <f>ROUND(IF(Table2[[#This Row],[Hand Size]]&gt;10.25,10,IF(Table2[[#This Row],[Hand Size]]&lt;9,0,10/(15.49*LN(10.25)-30.577)*(15.49*LN(Table2[[#This Row],[Hand Size]])-30.577))),0)</f>
        <v>9</v>
      </c>
    </row>
    <row r="126" spans="1:40">
      <c r="A126">
        <v>2021</v>
      </c>
      <c r="B126">
        <v>8</v>
      </c>
      <c r="C126" t="s">
        <v>219</v>
      </c>
      <c r="D126" t="s">
        <v>158</v>
      </c>
      <c r="E126">
        <v>5.65</v>
      </c>
      <c r="G126">
        <f>SUMIFS('NFL QB Data By Year'!$Q:$Q,'NFL QB Data By Year'!$D:$D,Table2[[#This Row],[Player Name]],'NFL QB Data By Year'!$B:$B,Table2[[#This Row],[Draft Year]]+G$1)</f>
        <v>6</v>
      </c>
      <c r="H126">
        <f>SUMIFS('NFL QB Data By Year'!$P:$P,'NFL QB Data By Year'!$D:$D,Table2[[#This Row],[Player Name]],'NFL QB Data By Year'!$B:$B,Table2[[#This Row],[Draft Year]]+H$1)</f>
        <v>-0.4</v>
      </c>
      <c r="I126">
        <f>SUMIFS('NFL QB Data By Year'!$Q:$Q,'NFL QB Data By Year'!$D:$D,Table2[[#This Row],[Player Name]],'NFL QB Data By Year'!$B:$B,Table2[[#This Row],[Draft Year]]+I$1)</f>
        <v>0</v>
      </c>
      <c r="J126">
        <f>SUMIFS('NFL QB Data By Year'!$P:$P,'NFL QB Data By Year'!$D:$D,Table2[[#This Row],[Player Name]],'NFL QB Data By Year'!$B:$B,Table2[[#This Row],[Draft Year]]+J$1)</f>
        <v>0</v>
      </c>
      <c r="K126">
        <f>SUMIFS('NFL QB Data By Year'!$Q:$Q,'NFL QB Data By Year'!$D:$D,Table2[[#This Row],[Player Name]],'NFL QB Data By Year'!$B:$B,Table2[[#This Row],[Draft Year]]+K$1)</f>
        <v>0</v>
      </c>
      <c r="L126">
        <f>SUMIFS('NFL QB Data By Year'!$P:$P,'NFL QB Data By Year'!$D:$D,Table2[[#This Row],[Player Name]],'NFL QB Data By Year'!$B:$B,Table2[[#This Row],[Draft Year]]+L$1)</f>
        <v>0</v>
      </c>
      <c r="M126">
        <f>Table2[[#This Row],[Year 1 G]]+Table2[[#This Row],[Year 2 G]]+Table2[[#This Row],[Year 3 G]]</f>
        <v>6</v>
      </c>
      <c r="N126">
        <f>Table2[[#This Row],[Year 1 FPTs]]+Table2[[#This Row],[Year 2 FPTs]]+Table2[[#This Row],[Year 3 FPTs]]</f>
        <v>-0.4</v>
      </c>
      <c r="O126" s="18">
        <f>IFERROR(Table2[[#This Row],[Total FPTs]]/Table2[[#This Row],[Total G]],0)</f>
        <v>-6.6666666666666666E-2</v>
      </c>
      <c r="Q126" s="8">
        <f>642/(1720+2771+1687+1513)</f>
        <v>8.3474190612404103E-2</v>
      </c>
      <c r="R126" s="11">
        <f>55/860</f>
        <v>6.3953488372093026E-2</v>
      </c>
      <c r="S126">
        <f>143.3</f>
        <v>143.30000000000001</v>
      </c>
      <c r="T126" s="7">
        <f>55/21</f>
        <v>2.6190476190476191</v>
      </c>
      <c r="U126" s="7">
        <f>860/294</f>
        <v>2.925170068027211</v>
      </c>
      <c r="V126">
        <v>7.8</v>
      </c>
      <c r="W126">
        <v>8</v>
      </c>
      <c r="X126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6">
        <v>4.6100000000000003</v>
      </c>
      <c r="Z126">
        <v>10</v>
      </c>
      <c r="AD126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26">
        <f>ROUND(IF(Table2[[#This Row],[Draft Round]]=1,10,IF(Table2[[#This Row],[Draft Round]]=8,0,10/(20.884*EXP(-0.381*1))*(20.884*EXP(-0.381*Table2[[#This Row],[Draft Round]])))),0)</f>
        <v>0</v>
      </c>
      <c r="AF126">
        <f>ROUND(IF(Table2[[#This Row],[College BF Dominator]]&gt;0.3,10,IF(Table2[[#This Row],[College BF Dominator]]&lt;-0.156,0,10/(20.818*0.3+3.2667)*(20.818*Table2[[#This Row],[College BF Dominator]]+3.2667))),0)</f>
        <v>5</v>
      </c>
      <c r="AG126">
        <f>ROUND(IF(Table2[[#This Row],[College PTDR]]&gt;0.085,10,IF(Table2[[#This Row],[College PTDR]]&lt;0.04,0,10/(105.24*0.085-1.7837)*(105.24*Table2[[#This Row],[College PTDR]]-1.7837))),0)</f>
        <v>7</v>
      </c>
      <c r="AH126">
        <f>ROUND(IF(Table2[[#This Row],[College Passer Rating]]&gt;170,10,IF(Table2[[#This Row],[College Passer Rating]]&lt;112.475,0,10/(0.1495*170-16.815)*(0.1495*Table2[[#This Row],[College Passer Rating]]-16.815))),0)</f>
        <v>5</v>
      </c>
      <c r="AI126">
        <f>ROUND(IF(Table2[[#This Row],[PTD:INT]]&gt;4,10,IF(Table2[[#This Row],[PTD:INT]]&lt;1,0,10/(4.7442*LN(4)+0.4256)*(4.7442*LN(Table2[[#This Row],[PTD:INT]])+0.4256))),0)</f>
        <v>7</v>
      </c>
      <c r="AJ126">
        <f>ROUND(IF(Table2[[#This Row],[Patt:Ratt]]&lt;2.5,10,IF(Table2[[#This Row],[Patt:Ratt]]&gt;15,0,10/(-2.684*LN(2.5)+9.0869)*(-2.684*LN(Table2[[#This Row],[Patt:Ratt]])+9.0869))),0)</f>
        <v>9</v>
      </c>
      <c r="AK126">
        <f>ROUND(IF(Table2[[#This Row],[Y/A]]&gt;9.2,10,IF(Table2[[#This Row],[Y/A]]&lt;6.26,0,10/(2.2619*9.2-14.16)*(2.2619*Table2[[#This Row],[Y/A]]-14.16))),0)</f>
        <v>5</v>
      </c>
      <c r="AL126">
        <f>ROUND(IF(Table2[[#This Row],[AY/A]]&gt;10,10,IF(Table2[[#This Row],[AY/A]]&lt;5.51,0,10/(1.6571*10-9.1312)*(1.6571*Table2[[#This Row],[AY/A]]-9.1312))),0)</f>
        <v>6</v>
      </c>
      <c r="AM126">
        <f>ROUND(IF(Table2[[#This Row],[40 Yd Dash]]&lt;4.75,10,IF(Table2[[#This Row],[40 Yd Dash]]&gt;5.191,0,10/(-66.95*LN(4.75)+110.26)*(-66.95*LN(Table2[[#This Row],[40 Yd Dash]])+110.26))),0)</f>
        <v>10</v>
      </c>
      <c r="AN126">
        <f>ROUND(IF(Table2[[#This Row],[Hand Size]]&gt;10.25,10,IF(Table2[[#This Row],[Hand Size]]&lt;9,0,10/(15.49*LN(10.25)-30.577)*(15.49*LN(Table2[[#This Row],[Hand Size]])-30.577))),0)</f>
        <v>9</v>
      </c>
    </row>
    <row r="127" spans="1:40">
      <c r="A127">
        <v>2021</v>
      </c>
      <c r="B127">
        <v>8</v>
      </c>
      <c r="C127" t="s">
        <v>219</v>
      </c>
      <c r="D127" t="s">
        <v>159</v>
      </c>
      <c r="E127">
        <v>5.56</v>
      </c>
      <c r="G127">
        <f>SUMIFS('NFL QB Data By Year'!$Q:$Q,'NFL QB Data By Year'!$D:$D,Table2[[#This Row],[Player Name]],'NFL QB Data By Year'!$B:$B,Table2[[#This Row],[Draft Year]]+G$1)</f>
        <v>0</v>
      </c>
      <c r="H127">
        <f>SUMIFS('NFL QB Data By Year'!$P:$P,'NFL QB Data By Year'!$D:$D,Table2[[#This Row],[Player Name]],'NFL QB Data By Year'!$B:$B,Table2[[#This Row],[Draft Year]]+H$1)</f>
        <v>0</v>
      </c>
      <c r="I127">
        <f>SUMIFS('NFL QB Data By Year'!$Q:$Q,'NFL QB Data By Year'!$D:$D,Table2[[#This Row],[Player Name]],'NFL QB Data By Year'!$B:$B,Table2[[#This Row],[Draft Year]]+I$1)</f>
        <v>0</v>
      </c>
      <c r="J127">
        <f>SUMIFS('NFL QB Data By Year'!$P:$P,'NFL QB Data By Year'!$D:$D,Table2[[#This Row],[Player Name]],'NFL QB Data By Year'!$B:$B,Table2[[#This Row],[Draft Year]]+J$1)</f>
        <v>0</v>
      </c>
      <c r="K127">
        <f>SUMIFS('NFL QB Data By Year'!$Q:$Q,'NFL QB Data By Year'!$D:$D,Table2[[#This Row],[Player Name]],'NFL QB Data By Year'!$B:$B,Table2[[#This Row],[Draft Year]]+K$1)</f>
        <v>0</v>
      </c>
      <c r="L127">
        <f>SUMIFS('NFL QB Data By Year'!$P:$P,'NFL QB Data By Year'!$D:$D,Table2[[#This Row],[Player Name]],'NFL QB Data By Year'!$B:$B,Table2[[#This Row],[Draft Year]]+L$1)</f>
        <v>0</v>
      </c>
      <c r="M127">
        <f>Table2[[#This Row],[Year 1 G]]+Table2[[#This Row],[Year 2 G]]+Table2[[#This Row],[Year 3 G]]</f>
        <v>0</v>
      </c>
      <c r="N127">
        <f>Table2[[#This Row],[Year 1 FPTs]]+Table2[[#This Row],[Year 2 FPTs]]+Table2[[#This Row],[Year 3 FPTs]]</f>
        <v>0</v>
      </c>
      <c r="O127" s="14">
        <f>IFERROR(Table2[[#This Row],[Total FPTs]]/Table2[[#This Row],[Total G]],0)</f>
        <v>0</v>
      </c>
      <c r="Q127" s="8">
        <f>1079/(1561+1888+1695+1465)</f>
        <v>0.16326221818732031</v>
      </c>
      <c r="R127" s="11">
        <f>54/1234</f>
        <v>4.3760129659643439E-2</v>
      </c>
      <c r="S127">
        <f>131.2</f>
        <v>131.19999999999999</v>
      </c>
      <c r="T127" s="7">
        <f>54/31</f>
        <v>1.7419354838709677</v>
      </c>
      <c r="U127" s="7">
        <f>1234/384</f>
        <v>3.2135416666666665</v>
      </c>
      <c r="V127">
        <v>6.7</v>
      </c>
      <c r="W127">
        <v>6.5</v>
      </c>
      <c r="X127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7">
        <v>4.7699999999999996</v>
      </c>
      <c r="Z127">
        <v>9</v>
      </c>
      <c r="AD127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27">
        <f>ROUND(IF(Table2[[#This Row],[Draft Round]]=1,10,IF(Table2[[#This Row],[Draft Round]]=8,0,10/(20.884*EXP(-0.381*1))*(20.884*EXP(-0.381*Table2[[#This Row],[Draft Round]])))),0)</f>
        <v>0</v>
      </c>
      <c r="AF127">
        <f>ROUND(IF(Table2[[#This Row],[College BF Dominator]]&gt;0.3,10,IF(Table2[[#This Row],[College BF Dominator]]&lt;-0.156,0,10/(20.818*0.3+3.2667)*(20.818*Table2[[#This Row],[College BF Dominator]]+3.2667))),0)</f>
        <v>7</v>
      </c>
      <c r="AG127">
        <f>ROUND(IF(Table2[[#This Row],[College PTDR]]&gt;0.085,10,IF(Table2[[#This Row],[College PTDR]]&lt;0.04,0,10/(105.24*0.085-1.7837)*(105.24*Table2[[#This Row],[College PTDR]]-1.7837))),0)</f>
        <v>4</v>
      </c>
      <c r="AH127">
        <f>ROUND(IF(Table2[[#This Row],[College Passer Rating]]&gt;170,10,IF(Table2[[#This Row],[College Passer Rating]]&lt;112.475,0,10/(0.1495*170-16.815)*(0.1495*Table2[[#This Row],[College Passer Rating]]-16.815))),0)</f>
        <v>3</v>
      </c>
      <c r="AI127">
        <f>ROUND(IF(Table2[[#This Row],[PTD:INT]]&gt;4,10,IF(Table2[[#This Row],[PTD:INT]]&lt;1,0,10/(4.7442*LN(4)+0.4256)*(4.7442*LN(Table2[[#This Row],[PTD:INT]])+0.4256))),0)</f>
        <v>4</v>
      </c>
      <c r="AJ127">
        <f>ROUND(IF(Table2[[#This Row],[Patt:Ratt]]&lt;2.5,10,IF(Table2[[#This Row],[Patt:Ratt]]&gt;15,0,10/(-2.684*LN(2.5)+9.0869)*(-2.684*LN(Table2[[#This Row],[Patt:Ratt]])+9.0869))),0)</f>
        <v>9</v>
      </c>
      <c r="AK127">
        <f>ROUND(IF(Table2[[#This Row],[Y/A]]&gt;9.2,10,IF(Table2[[#This Row],[Y/A]]&lt;6.26,0,10/(2.2619*9.2-14.16)*(2.2619*Table2[[#This Row],[Y/A]]-14.16))),0)</f>
        <v>1</v>
      </c>
      <c r="AL127">
        <f>ROUND(IF(Table2[[#This Row],[AY/A]]&gt;10,10,IF(Table2[[#This Row],[AY/A]]&lt;5.51,0,10/(1.6571*10-9.1312)*(1.6571*Table2[[#This Row],[AY/A]]-9.1312))),0)</f>
        <v>2</v>
      </c>
      <c r="AM127">
        <f>ROUND(IF(Table2[[#This Row],[40 Yd Dash]]&lt;4.75,10,IF(Table2[[#This Row],[40 Yd Dash]]&gt;5.191,0,10/(-66.95*LN(4.75)+110.26)*(-66.95*LN(Table2[[#This Row],[40 Yd Dash]])+110.26))),0)</f>
        <v>10</v>
      </c>
      <c r="AN127">
        <f>ROUND(IF(Table2[[#This Row],[Hand Size]]&gt;10.25,10,IF(Table2[[#This Row],[Hand Size]]&lt;9,0,10/(15.49*LN(10.25)-30.577)*(15.49*LN(Table2[[#This Row],[Hand Size]])-30.577))),0)</f>
        <v>6</v>
      </c>
    </row>
    <row r="128" spans="1:40">
      <c r="A128">
        <v>2021</v>
      </c>
      <c r="B128">
        <v>8</v>
      </c>
      <c r="C128" t="s">
        <v>219</v>
      </c>
      <c r="D128" t="s">
        <v>160</v>
      </c>
      <c r="E128">
        <v>5.5</v>
      </c>
      <c r="G128">
        <f>SUMIFS('NFL QB Data By Year'!$Q:$Q,'NFL QB Data By Year'!$D:$D,Table2[[#This Row],[Player Name]],'NFL QB Data By Year'!$B:$B,Table2[[#This Row],[Draft Year]]+G$1)</f>
        <v>0</v>
      </c>
      <c r="H128">
        <f>SUMIFS('NFL QB Data By Year'!$P:$P,'NFL QB Data By Year'!$D:$D,Table2[[#This Row],[Player Name]],'NFL QB Data By Year'!$B:$B,Table2[[#This Row],[Draft Year]]+H$1)</f>
        <v>0</v>
      </c>
      <c r="I128">
        <f>SUMIFS('NFL QB Data By Year'!$Q:$Q,'NFL QB Data By Year'!$D:$D,Table2[[#This Row],[Player Name]],'NFL QB Data By Year'!$B:$B,Table2[[#This Row],[Draft Year]]+I$1)</f>
        <v>0</v>
      </c>
      <c r="J128">
        <f>SUMIFS('NFL QB Data By Year'!$P:$P,'NFL QB Data By Year'!$D:$D,Table2[[#This Row],[Player Name]],'NFL QB Data By Year'!$B:$B,Table2[[#This Row],[Draft Year]]+J$1)</f>
        <v>0</v>
      </c>
      <c r="K128">
        <f>SUMIFS('NFL QB Data By Year'!$Q:$Q,'NFL QB Data By Year'!$D:$D,Table2[[#This Row],[Player Name]],'NFL QB Data By Year'!$B:$B,Table2[[#This Row],[Draft Year]]+K$1)</f>
        <v>0</v>
      </c>
      <c r="L128">
        <f>SUMIFS('NFL QB Data By Year'!$P:$P,'NFL QB Data By Year'!$D:$D,Table2[[#This Row],[Player Name]],'NFL QB Data By Year'!$B:$B,Table2[[#This Row],[Draft Year]]+L$1)</f>
        <v>0</v>
      </c>
      <c r="M128">
        <f>Table2[[#This Row],[Year 1 G]]+Table2[[#This Row],[Year 2 G]]+Table2[[#This Row],[Year 3 G]]</f>
        <v>0</v>
      </c>
      <c r="N128">
        <f>Table2[[#This Row],[Year 1 FPTs]]+Table2[[#This Row],[Year 2 FPTs]]+Table2[[#This Row],[Year 3 FPTs]]</f>
        <v>0</v>
      </c>
      <c r="O128" s="14">
        <f>IFERROR(Table2[[#This Row],[Total FPTs]]/Table2[[#This Row],[Total G]],0)</f>
        <v>0</v>
      </c>
      <c r="Q128" s="8">
        <f>478/(2871+1815+2143+2351+1765)</f>
        <v>4.3672910004568299E-2</v>
      </c>
      <c r="R128" s="11">
        <f>87/1508</f>
        <v>5.7692307692307696E-2</v>
      </c>
      <c r="S128">
        <f>142.9</f>
        <v>142.9</v>
      </c>
      <c r="T128" s="7">
        <f>87/32</f>
        <v>2.71875</v>
      </c>
      <c r="U128" s="7">
        <f>1508/299</f>
        <v>5.0434782608695654</v>
      </c>
      <c r="V128">
        <f>7.7</f>
        <v>7.7</v>
      </c>
      <c r="W128">
        <v>7.9</v>
      </c>
      <c r="X128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8">
        <v>4.96</v>
      </c>
      <c r="Z128">
        <v>9.375</v>
      </c>
      <c r="AD128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28">
        <f>ROUND(IF(Table2[[#This Row],[Draft Round]]=1,10,IF(Table2[[#This Row],[Draft Round]]=8,0,10/(20.884*EXP(-0.381*1))*(20.884*EXP(-0.381*Table2[[#This Row],[Draft Round]])))),0)</f>
        <v>0</v>
      </c>
      <c r="AF128">
        <f>ROUND(IF(Table2[[#This Row],[College BF Dominator]]&gt;0.3,10,IF(Table2[[#This Row],[College BF Dominator]]&lt;-0.156,0,10/(20.818*0.3+3.2667)*(20.818*Table2[[#This Row],[College BF Dominator]]+3.2667))),0)</f>
        <v>4</v>
      </c>
      <c r="AG128">
        <f>ROUND(IF(Table2[[#This Row],[College PTDR]]&gt;0.085,10,IF(Table2[[#This Row],[College PTDR]]&lt;0.04,0,10/(105.24*0.085-1.7837)*(105.24*Table2[[#This Row],[College PTDR]]-1.7837))),0)</f>
        <v>6</v>
      </c>
      <c r="AH128">
        <f>ROUND(IF(Table2[[#This Row],[College Passer Rating]]&gt;170,10,IF(Table2[[#This Row],[College Passer Rating]]&lt;112.475,0,10/(0.1495*170-16.815)*(0.1495*Table2[[#This Row],[College Passer Rating]]-16.815))),0)</f>
        <v>5</v>
      </c>
      <c r="AI128">
        <f>ROUND(IF(Table2[[#This Row],[PTD:INT]]&gt;4,10,IF(Table2[[#This Row],[PTD:INT]]&lt;1,0,10/(4.7442*LN(4)+0.4256)*(4.7442*LN(Table2[[#This Row],[PTD:INT]])+0.4256))),0)</f>
        <v>7</v>
      </c>
      <c r="AJ128">
        <f>ROUND(IF(Table2[[#This Row],[Patt:Ratt]]&lt;2.5,10,IF(Table2[[#This Row],[Patt:Ratt]]&gt;15,0,10/(-2.684*LN(2.5)+9.0869)*(-2.684*LN(Table2[[#This Row],[Patt:Ratt]])+9.0869))),0)</f>
        <v>7</v>
      </c>
      <c r="AK128">
        <f>ROUND(IF(Table2[[#This Row],[Y/A]]&gt;9.2,10,IF(Table2[[#This Row],[Y/A]]&lt;6.26,0,10/(2.2619*9.2-14.16)*(2.2619*Table2[[#This Row],[Y/A]]-14.16))),0)</f>
        <v>5</v>
      </c>
      <c r="AL128">
        <f>ROUND(IF(Table2[[#This Row],[AY/A]]&gt;10,10,IF(Table2[[#This Row],[AY/A]]&lt;5.51,0,10/(1.6571*10-9.1312)*(1.6571*Table2[[#This Row],[AY/A]]-9.1312))),0)</f>
        <v>5</v>
      </c>
      <c r="AM128">
        <f>ROUND(IF(Table2[[#This Row],[40 Yd Dash]]&lt;4.75,10,IF(Table2[[#This Row],[40 Yd Dash]]&gt;5.191,0,10/(-66.95*LN(4.75)+110.26)*(-66.95*LN(Table2[[#This Row],[40 Yd Dash]])+110.26))),0)</f>
        <v>5</v>
      </c>
      <c r="AN128">
        <f>ROUND(IF(Table2[[#This Row],[Hand Size]]&gt;10.25,10,IF(Table2[[#This Row],[Hand Size]]&lt;9,0,10/(15.49*LN(10.25)-30.577)*(15.49*LN(Table2[[#This Row],[Hand Size]])-30.577))),0)</f>
        <v>7</v>
      </c>
    </row>
    <row r="129" spans="1:40">
      <c r="A129">
        <v>2021</v>
      </c>
      <c r="B129">
        <v>8</v>
      </c>
      <c r="C129" t="s">
        <v>219</v>
      </c>
      <c r="D129" t="s">
        <v>161</v>
      </c>
      <c r="E129">
        <v>5.43</v>
      </c>
      <c r="G129">
        <f>SUMIFS('NFL QB Data By Year'!$Q:$Q,'NFL QB Data By Year'!$D:$D,Table2[[#This Row],[Player Name]],'NFL QB Data By Year'!$B:$B,Table2[[#This Row],[Draft Year]]+G$1)</f>
        <v>0</v>
      </c>
      <c r="H129">
        <f>SUMIFS('NFL QB Data By Year'!$P:$P,'NFL QB Data By Year'!$D:$D,Table2[[#This Row],[Player Name]],'NFL QB Data By Year'!$B:$B,Table2[[#This Row],[Draft Year]]+H$1)</f>
        <v>0</v>
      </c>
      <c r="I129">
        <f>SUMIFS('NFL QB Data By Year'!$Q:$Q,'NFL QB Data By Year'!$D:$D,Table2[[#This Row],[Player Name]],'NFL QB Data By Year'!$B:$B,Table2[[#This Row],[Draft Year]]+I$1)</f>
        <v>0</v>
      </c>
      <c r="J129">
        <f>SUMIFS('NFL QB Data By Year'!$P:$P,'NFL QB Data By Year'!$D:$D,Table2[[#This Row],[Player Name]],'NFL QB Data By Year'!$B:$B,Table2[[#This Row],[Draft Year]]+J$1)</f>
        <v>0</v>
      </c>
      <c r="K129">
        <f>SUMIFS('NFL QB Data By Year'!$Q:$Q,'NFL QB Data By Year'!$D:$D,Table2[[#This Row],[Player Name]],'NFL QB Data By Year'!$B:$B,Table2[[#This Row],[Draft Year]]+K$1)</f>
        <v>0</v>
      </c>
      <c r="L129">
        <f>SUMIFS('NFL QB Data By Year'!$P:$P,'NFL QB Data By Year'!$D:$D,Table2[[#This Row],[Player Name]],'NFL QB Data By Year'!$B:$B,Table2[[#This Row],[Draft Year]]+L$1)</f>
        <v>0</v>
      </c>
      <c r="M129">
        <f>Table2[[#This Row],[Year 1 G]]+Table2[[#This Row],[Year 2 G]]+Table2[[#This Row],[Year 3 G]]</f>
        <v>0</v>
      </c>
      <c r="N129">
        <f>Table2[[#This Row],[Year 1 FPTs]]+Table2[[#This Row],[Year 2 FPTs]]+Table2[[#This Row],[Year 3 FPTs]]</f>
        <v>0</v>
      </c>
      <c r="O129" s="14">
        <f>IFERROR(Table2[[#This Row],[Total FPTs]]/Table2[[#This Row],[Total G]],0)</f>
        <v>0</v>
      </c>
      <c r="Q129" s="8">
        <f>-23/(3919+2614+1597)</f>
        <v>-2.8290282902829027E-3</v>
      </c>
      <c r="R129" s="11">
        <f>92/1282</f>
        <v>7.1762870514820595E-2</v>
      </c>
      <c r="S129">
        <f>152.5</f>
        <v>152.5</v>
      </c>
      <c r="T129" s="7">
        <f>92/31</f>
        <v>2.967741935483871</v>
      </c>
      <c r="U129" s="7">
        <f>1282/180</f>
        <v>7.1222222222222218</v>
      </c>
      <c r="V129">
        <v>8.5</v>
      </c>
      <c r="W129">
        <v>8.9</v>
      </c>
      <c r="X129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29">
        <v>4.84</v>
      </c>
      <c r="Z129">
        <v>10.125</v>
      </c>
      <c r="AD129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29">
        <f>ROUND(IF(Table2[[#This Row],[Draft Round]]=1,10,IF(Table2[[#This Row],[Draft Round]]=8,0,10/(20.884*EXP(-0.381*1))*(20.884*EXP(-0.381*Table2[[#This Row],[Draft Round]])))),0)</f>
        <v>0</v>
      </c>
      <c r="AF129">
        <f>ROUND(IF(Table2[[#This Row],[College BF Dominator]]&gt;0.3,10,IF(Table2[[#This Row],[College BF Dominator]]&lt;-0.156,0,10/(20.818*0.3+3.2667)*(20.818*Table2[[#This Row],[College BF Dominator]]+3.2667))),0)</f>
        <v>3</v>
      </c>
      <c r="AG129">
        <f>ROUND(IF(Table2[[#This Row],[College PTDR]]&gt;0.085,10,IF(Table2[[#This Row],[College PTDR]]&lt;0.04,0,10/(105.24*0.085-1.7837)*(105.24*Table2[[#This Row],[College PTDR]]-1.7837))),0)</f>
        <v>8</v>
      </c>
      <c r="AH129">
        <f>ROUND(IF(Table2[[#This Row],[College Passer Rating]]&gt;170,10,IF(Table2[[#This Row],[College Passer Rating]]&lt;112.475,0,10/(0.1495*170-16.815)*(0.1495*Table2[[#This Row],[College Passer Rating]]-16.815))),0)</f>
        <v>7</v>
      </c>
      <c r="AI129">
        <f>ROUND(IF(Table2[[#This Row],[PTD:INT]]&gt;4,10,IF(Table2[[#This Row],[PTD:INT]]&lt;1,0,10/(4.7442*LN(4)+0.4256)*(4.7442*LN(Table2[[#This Row],[PTD:INT]])+0.4256))),0)</f>
        <v>8</v>
      </c>
      <c r="AJ129">
        <f>ROUND(IF(Table2[[#This Row],[Patt:Ratt]]&lt;2.5,10,IF(Table2[[#This Row],[Patt:Ratt]]&gt;15,0,10/(-2.684*LN(2.5)+9.0869)*(-2.684*LN(Table2[[#This Row],[Patt:Ratt]])+9.0869))),0)</f>
        <v>6</v>
      </c>
      <c r="AK129">
        <f>ROUND(IF(Table2[[#This Row],[Y/A]]&gt;9.2,10,IF(Table2[[#This Row],[Y/A]]&lt;6.26,0,10/(2.2619*9.2-14.16)*(2.2619*Table2[[#This Row],[Y/A]]-14.16))),0)</f>
        <v>8</v>
      </c>
      <c r="AL129">
        <f>ROUND(IF(Table2[[#This Row],[AY/A]]&gt;10,10,IF(Table2[[#This Row],[AY/A]]&lt;5.51,0,10/(1.6571*10-9.1312)*(1.6571*Table2[[#This Row],[AY/A]]-9.1312))),0)</f>
        <v>8</v>
      </c>
      <c r="AM129">
        <f>ROUND(IF(Table2[[#This Row],[40 Yd Dash]]&lt;4.75,10,IF(Table2[[#This Row],[40 Yd Dash]]&gt;5.191,0,10/(-66.95*LN(4.75)+110.26)*(-66.95*LN(Table2[[#This Row],[40 Yd Dash]])+110.26))),0)</f>
        <v>8</v>
      </c>
      <c r="AN129">
        <f>ROUND(IF(Table2[[#This Row],[Hand Size]]&gt;10.25,10,IF(Table2[[#This Row],[Hand Size]]&lt;9,0,10/(15.49*LN(10.25)-30.577)*(15.49*LN(Table2[[#This Row],[Hand Size]])-30.577))),0)</f>
        <v>10</v>
      </c>
    </row>
    <row r="130" spans="1:40">
      <c r="A130">
        <v>2021</v>
      </c>
      <c r="B130">
        <v>8</v>
      </c>
      <c r="C130" t="s">
        <v>219</v>
      </c>
      <c r="D130" t="s">
        <v>162</v>
      </c>
      <c r="G130">
        <f>SUMIFS('NFL QB Data By Year'!$Q:$Q,'NFL QB Data By Year'!$D:$D,Table2[[#This Row],[Player Name]],'NFL QB Data By Year'!$B:$B,Table2[[#This Row],[Draft Year]]+G$1)</f>
        <v>0</v>
      </c>
      <c r="H130">
        <f>SUMIFS('NFL QB Data By Year'!$P:$P,'NFL QB Data By Year'!$D:$D,Table2[[#This Row],[Player Name]],'NFL QB Data By Year'!$B:$B,Table2[[#This Row],[Draft Year]]+H$1)</f>
        <v>0</v>
      </c>
      <c r="I130">
        <f>SUMIFS('NFL QB Data By Year'!$Q:$Q,'NFL QB Data By Year'!$D:$D,Table2[[#This Row],[Player Name]],'NFL QB Data By Year'!$B:$B,Table2[[#This Row],[Draft Year]]+I$1)</f>
        <v>0</v>
      </c>
      <c r="J130">
        <f>SUMIFS('NFL QB Data By Year'!$P:$P,'NFL QB Data By Year'!$D:$D,Table2[[#This Row],[Player Name]],'NFL QB Data By Year'!$B:$B,Table2[[#This Row],[Draft Year]]+J$1)</f>
        <v>0</v>
      </c>
      <c r="K130">
        <f>SUMIFS('NFL QB Data By Year'!$Q:$Q,'NFL QB Data By Year'!$D:$D,Table2[[#This Row],[Player Name]],'NFL QB Data By Year'!$B:$B,Table2[[#This Row],[Draft Year]]+K$1)</f>
        <v>0</v>
      </c>
      <c r="L130">
        <f>SUMIFS('NFL QB Data By Year'!$P:$P,'NFL QB Data By Year'!$D:$D,Table2[[#This Row],[Player Name]],'NFL QB Data By Year'!$B:$B,Table2[[#This Row],[Draft Year]]+L$1)</f>
        <v>0</v>
      </c>
      <c r="M130">
        <f>Table2[[#This Row],[Year 1 G]]+Table2[[#This Row],[Year 2 G]]+Table2[[#This Row],[Year 3 G]]</f>
        <v>0</v>
      </c>
      <c r="N130">
        <f>Table2[[#This Row],[Year 1 FPTs]]+Table2[[#This Row],[Year 2 FPTs]]+Table2[[#This Row],[Year 3 FPTs]]</f>
        <v>0</v>
      </c>
      <c r="O130" s="14">
        <f>IFERROR(Table2[[#This Row],[Total FPTs]]/Table2[[#This Row],[Total G]],0)</f>
        <v>0</v>
      </c>
      <c r="Q130" s="8">
        <f>832/(2484+1876+2201)</f>
        <v>0.12680993750952599</v>
      </c>
      <c r="R130" s="11">
        <f>52/770</f>
        <v>6.7532467532467527E-2</v>
      </c>
      <c r="S130">
        <v>146.5</v>
      </c>
      <c r="T130" s="7">
        <f>52/12</f>
        <v>4.333333333333333</v>
      </c>
      <c r="U130" s="7">
        <f>770/672</f>
        <v>1.1458333333333333</v>
      </c>
      <c r="V130">
        <v>8.3000000000000007</v>
      </c>
      <c r="W130">
        <v>9</v>
      </c>
      <c r="X130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0">
        <v>4.7300000000000004</v>
      </c>
      <c r="Z130">
        <v>9.75</v>
      </c>
      <c r="AD130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30">
        <f>ROUND(IF(Table2[[#This Row],[Draft Round]]=1,10,IF(Table2[[#This Row],[Draft Round]]=8,0,10/(20.884*EXP(-0.381*1))*(20.884*EXP(-0.381*Table2[[#This Row],[Draft Round]])))),0)</f>
        <v>0</v>
      </c>
      <c r="AF130">
        <f>ROUND(IF(Table2[[#This Row],[College BF Dominator]]&gt;0.3,10,IF(Table2[[#This Row],[College BF Dominator]]&lt;-0.156,0,10/(20.818*0.3+3.2667)*(20.818*Table2[[#This Row],[College BF Dominator]]+3.2667))),0)</f>
        <v>6</v>
      </c>
      <c r="AG130">
        <f>ROUND(IF(Table2[[#This Row],[College PTDR]]&gt;0.085,10,IF(Table2[[#This Row],[College PTDR]]&lt;0.04,0,10/(105.24*0.085-1.7837)*(105.24*Table2[[#This Row],[College PTDR]]-1.7837))),0)</f>
        <v>7</v>
      </c>
      <c r="AH130">
        <f>ROUND(IF(Table2[[#This Row],[College Passer Rating]]&gt;170,10,IF(Table2[[#This Row],[College Passer Rating]]&lt;112.475,0,10/(0.1495*170-16.815)*(0.1495*Table2[[#This Row],[College Passer Rating]]-16.815))),0)</f>
        <v>6</v>
      </c>
      <c r="AI130">
        <f>ROUND(IF(Table2[[#This Row],[PTD:INT]]&gt;4,10,IF(Table2[[#This Row],[PTD:INT]]&lt;1,0,10/(4.7442*LN(4)+0.4256)*(4.7442*LN(Table2[[#This Row],[PTD:INT]])+0.4256))),0)</f>
        <v>10</v>
      </c>
      <c r="AJ130">
        <f>ROUND(IF(Table2[[#This Row],[Patt:Ratt]]&lt;2.5,10,IF(Table2[[#This Row],[Patt:Ratt]]&gt;15,0,10/(-2.684*LN(2.5)+9.0869)*(-2.684*LN(Table2[[#This Row],[Patt:Ratt]])+9.0869))),0)</f>
        <v>10</v>
      </c>
      <c r="AK130">
        <f>ROUND(IF(Table2[[#This Row],[Y/A]]&gt;9.2,10,IF(Table2[[#This Row],[Y/A]]&lt;6.26,0,10/(2.2619*9.2-14.16)*(2.2619*Table2[[#This Row],[Y/A]]-14.16))),0)</f>
        <v>7</v>
      </c>
      <c r="AL130">
        <f>ROUND(IF(Table2[[#This Row],[AY/A]]&gt;10,10,IF(Table2[[#This Row],[AY/A]]&lt;5.51,0,10/(1.6571*10-9.1312)*(1.6571*Table2[[#This Row],[AY/A]]-9.1312))),0)</f>
        <v>8</v>
      </c>
      <c r="AM130">
        <f>ROUND(IF(Table2[[#This Row],[40 Yd Dash]]&lt;4.75,10,IF(Table2[[#This Row],[40 Yd Dash]]&gt;5.191,0,10/(-66.95*LN(4.75)+110.26)*(-66.95*LN(Table2[[#This Row],[40 Yd Dash]])+110.26))),0)</f>
        <v>10</v>
      </c>
      <c r="AN130">
        <f>ROUND(IF(Table2[[#This Row],[Hand Size]]&gt;10.25,10,IF(Table2[[#This Row],[Hand Size]]&lt;9,0,10/(15.49*LN(10.25)-30.577)*(15.49*LN(Table2[[#This Row],[Hand Size]])-30.577))),0)</f>
        <v>9</v>
      </c>
    </row>
    <row r="131" spans="1:40">
      <c r="A131">
        <v>2021</v>
      </c>
      <c r="B131">
        <v>8</v>
      </c>
      <c r="C131" t="s">
        <v>219</v>
      </c>
      <c r="D131" t="s">
        <v>163</v>
      </c>
      <c r="G131">
        <f>SUMIFS('NFL QB Data By Year'!$Q:$Q,'NFL QB Data By Year'!$D:$D,Table2[[#This Row],[Player Name]],'NFL QB Data By Year'!$B:$B,Table2[[#This Row],[Draft Year]]+G$1)</f>
        <v>0</v>
      </c>
      <c r="H131">
        <f>SUMIFS('NFL QB Data By Year'!$P:$P,'NFL QB Data By Year'!$D:$D,Table2[[#This Row],[Player Name]],'NFL QB Data By Year'!$B:$B,Table2[[#This Row],[Draft Year]]+H$1)</f>
        <v>0</v>
      </c>
      <c r="I131">
        <f>SUMIFS('NFL QB Data By Year'!$Q:$Q,'NFL QB Data By Year'!$D:$D,Table2[[#This Row],[Player Name]],'NFL QB Data By Year'!$B:$B,Table2[[#This Row],[Draft Year]]+I$1)</f>
        <v>0</v>
      </c>
      <c r="J131">
        <f>SUMIFS('NFL QB Data By Year'!$P:$P,'NFL QB Data By Year'!$D:$D,Table2[[#This Row],[Player Name]],'NFL QB Data By Year'!$B:$B,Table2[[#This Row],[Draft Year]]+J$1)</f>
        <v>0</v>
      </c>
      <c r="K131">
        <f>SUMIFS('NFL QB Data By Year'!$Q:$Q,'NFL QB Data By Year'!$D:$D,Table2[[#This Row],[Player Name]],'NFL QB Data By Year'!$B:$B,Table2[[#This Row],[Draft Year]]+K$1)</f>
        <v>0</v>
      </c>
      <c r="L131">
        <f>SUMIFS('NFL QB Data By Year'!$P:$P,'NFL QB Data By Year'!$D:$D,Table2[[#This Row],[Player Name]],'NFL QB Data By Year'!$B:$B,Table2[[#This Row],[Draft Year]]+L$1)</f>
        <v>0</v>
      </c>
      <c r="M131">
        <f>Table2[[#This Row],[Year 1 G]]+Table2[[#This Row],[Year 2 G]]+Table2[[#This Row],[Year 3 G]]</f>
        <v>0</v>
      </c>
      <c r="N131">
        <f>Table2[[#This Row],[Year 1 FPTs]]+Table2[[#This Row],[Year 2 FPTs]]+Table2[[#This Row],[Year 3 FPTs]]</f>
        <v>0</v>
      </c>
      <c r="O131" s="14">
        <f>IFERROR(Table2[[#This Row],[Total FPTs]]/Table2[[#This Row],[Total G]],0)</f>
        <v>0</v>
      </c>
      <c r="Q131" s="8">
        <f>1301/(2907+3125+3240+3179)</f>
        <v>0.10448959922897759</v>
      </c>
      <c r="R131" s="11">
        <f>69/914</f>
        <v>7.5492341356673959E-2</v>
      </c>
      <c r="S131">
        <f>147</f>
        <v>147</v>
      </c>
      <c r="T131" s="7">
        <f>69/23</f>
        <v>3</v>
      </c>
      <c r="U131" s="7">
        <f>914/294</f>
        <v>3.1088435374149661</v>
      </c>
      <c r="V131">
        <v>7.6</v>
      </c>
      <c r="W131">
        <v>8</v>
      </c>
      <c r="X131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1">
        <v>4.59</v>
      </c>
      <c r="Z131">
        <v>8.75</v>
      </c>
      <c r="AD131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31">
        <f>ROUND(IF(Table2[[#This Row],[Draft Round]]=1,10,IF(Table2[[#This Row],[Draft Round]]=8,0,10/(20.884*EXP(-0.381*1))*(20.884*EXP(-0.381*Table2[[#This Row],[Draft Round]])))),0)</f>
        <v>0</v>
      </c>
      <c r="AF131">
        <f>ROUND(IF(Table2[[#This Row],[College BF Dominator]]&gt;0.3,10,IF(Table2[[#This Row],[College BF Dominator]]&lt;-0.156,0,10/(20.818*0.3+3.2667)*(20.818*Table2[[#This Row],[College BF Dominator]]+3.2667))),0)</f>
        <v>6</v>
      </c>
      <c r="AG131">
        <f>ROUND(IF(Table2[[#This Row],[College PTDR]]&gt;0.085,10,IF(Table2[[#This Row],[College PTDR]]&lt;0.04,0,10/(105.24*0.085-1.7837)*(105.24*Table2[[#This Row],[College PTDR]]-1.7837))),0)</f>
        <v>9</v>
      </c>
      <c r="AH131">
        <f>ROUND(IF(Table2[[#This Row],[College Passer Rating]]&gt;170,10,IF(Table2[[#This Row],[College Passer Rating]]&lt;112.475,0,10/(0.1495*170-16.815)*(0.1495*Table2[[#This Row],[College Passer Rating]]-16.815))),0)</f>
        <v>6</v>
      </c>
      <c r="AI131">
        <f>ROUND(IF(Table2[[#This Row],[PTD:INT]]&gt;4,10,IF(Table2[[#This Row],[PTD:INT]]&lt;1,0,10/(4.7442*LN(4)+0.4256)*(4.7442*LN(Table2[[#This Row],[PTD:INT]])+0.4256))),0)</f>
        <v>8</v>
      </c>
      <c r="AJ131">
        <f>ROUND(IF(Table2[[#This Row],[Patt:Ratt]]&lt;2.5,10,IF(Table2[[#This Row],[Patt:Ratt]]&gt;15,0,10/(-2.684*LN(2.5)+9.0869)*(-2.684*LN(Table2[[#This Row],[Patt:Ratt]])+9.0869))),0)</f>
        <v>9</v>
      </c>
      <c r="AK131">
        <f>ROUND(IF(Table2[[#This Row],[Y/A]]&gt;9.2,10,IF(Table2[[#This Row],[Y/A]]&lt;6.26,0,10/(2.2619*9.2-14.16)*(2.2619*Table2[[#This Row],[Y/A]]-14.16))),0)</f>
        <v>5</v>
      </c>
      <c r="AL131">
        <f>ROUND(IF(Table2[[#This Row],[AY/A]]&gt;10,10,IF(Table2[[#This Row],[AY/A]]&lt;5.51,0,10/(1.6571*10-9.1312)*(1.6571*Table2[[#This Row],[AY/A]]-9.1312))),0)</f>
        <v>6</v>
      </c>
      <c r="AM131">
        <f>ROUND(IF(Table2[[#This Row],[40 Yd Dash]]&lt;4.75,10,IF(Table2[[#This Row],[40 Yd Dash]]&gt;5.191,0,10/(-66.95*LN(4.75)+110.26)*(-66.95*LN(Table2[[#This Row],[40 Yd Dash]])+110.26))),0)</f>
        <v>10</v>
      </c>
      <c r="AN131">
        <f>ROUND(IF(Table2[[#This Row],[Hand Size]]&gt;10.25,10,IF(Table2[[#This Row],[Hand Size]]&lt;9,0,10/(15.49*LN(10.25)-30.577)*(15.49*LN(Table2[[#This Row],[Hand Size]])-30.577))),0)</f>
        <v>0</v>
      </c>
    </row>
    <row r="132" spans="1:40">
      <c r="A132">
        <v>2021</v>
      </c>
      <c r="B132">
        <v>8</v>
      </c>
      <c r="C132" t="s">
        <v>219</v>
      </c>
      <c r="D132" t="s">
        <v>164</v>
      </c>
      <c r="G132">
        <f>SUMIFS('NFL QB Data By Year'!$Q:$Q,'NFL QB Data By Year'!$D:$D,Table2[[#This Row],[Player Name]],'NFL QB Data By Year'!$B:$B,Table2[[#This Row],[Draft Year]]+G$1)</f>
        <v>0</v>
      </c>
      <c r="H132">
        <f>SUMIFS('NFL QB Data By Year'!$P:$P,'NFL QB Data By Year'!$D:$D,Table2[[#This Row],[Player Name]],'NFL QB Data By Year'!$B:$B,Table2[[#This Row],[Draft Year]]+H$1)</f>
        <v>0</v>
      </c>
      <c r="I132">
        <f>SUMIFS('NFL QB Data By Year'!$Q:$Q,'NFL QB Data By Year'!$D:$D,Table2[[#This Row],[Player Name]],'NFL QB Data By Year'!$B:$B,Table2[[#This Row],[Draft Year]]+I$1)</f>
        <v>0</v>
      </c>
      <c r="J132">
        <f>SUMIFS('NFL QB Data By Year'!$P:$P,'NFL QB Data By Year'!$D:$D,Table2[[#This Row],[Player Name]],'NFL QB Data By Year'!$B:$B,Table2[[#This Row],[Draft Year]]+J$1)</f>
        <v>0</v>
      </c>
      <c r="K132">
        <f>SUMIFS('NFL QB Data By Year'!$Q:$Q,'NFL QB Data By Year'!$D:$D,Table2[[#This Row],[Player Name]],'NFL QB Data By Year'!$B:$B,Table2[[#This Row],[Draft Year]]+K$1)</f>
        <v>0</v>
      </c>
      <c r="L132">
        <f>SUMIFS('NFL QB Data By Year'!$P:$P,'NFL QB Data By Year'!$D:$D,Table2[[#This Row],[Player Name]],'NFL QB Data By Year'!$B:$B,Table2[[#This Row],[Draft Year]]+L$1)</f>
        <v>0</v>
      </c>
      <c r="M132">
        <f>Table2[[#This Row],[Year 1 G]]+Table2[[#This Row],[Year 2 G]]+Table2[[#This Row],[Year 3 G]]</f>
        <v>0</v>
      </c>
      <c r="N132">
        <f>Table2[[#This Row],[Year 1 FPTs]]+Table2[[#This Row],[Year 2 FPTs]]+Table2[[#This Row],[Year 3 FPTs]]</f>
        <v>0</v>
      </c>
      <c r="O132" s="14">
        <f>IFERROR(Table2[[#This Row],[Total FPTs]]/Table2[[#This Row],[Total G]],0)</f>
        <v>0</v>
      </c>
      <c r="Q132" s="8">
        <f>-263/(3143+1407+1660+1419)</f>
        <v>-3.4473718704941668E-2</v>
      </c>
      <c r="R132" s="11">
        <f>53/1089</f>
        <v>4.8668503213957756E-2</v>
      </c>
      <c r="S132">
        <v>129.6</v>
      </c>
      <c r="T132" s="7">
        <f>53/34</f>
        <v>1.5588235294117647</v>
      </c>
      <c r="U132" s="7">
        <f>1084/166</f>
        <v>6.5301204819277112</v>
      </c>
      <c r="V132">
        <f>7.6</f>
        <v>7.6</v>
      </c>
      <c r="W132">
        <v>7.1</v>
      </c>
      <c r="X132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2">
        <v>5.23</v>
      </c>
      <c r="Z132">
        <v>9.375</v>
      </c>
      <c r="AD132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32">
        <f>ROUND(IF(Table2[[#This Row],[Draft Round]]=1,10,IF(Table2[[#This Row],[Draft Round]]=8,0,10/(20.884*EXP(-0.381*1))*(20.884*EXP(-0.381*Table2[[#This Row],[Draft Round]])))),0)</f>
        <v>0</v>
      </c>
      <c r="AF132">
        <f>ROUND(IF(Table2[[#This Row],[College BF Dominator]]&gt;0.3,10,IF(Table2[[#This Row],[College BF Dominator]]&lt;-0.156,0,10/(20.818*0.3+3.2667)*(20.818*Table2[[#This Row],[College BF Dominator]]+3.2667))),0)</f>
        <v>3</v>
      </c>
      <c r="AG132">
        <f>ROUND(IF(Table2[[#This Row],[College PTDR]]&gt;0.085,10,IF(Table2[[#This Row],[College PTDR]]&lt;0.04,0,10/(105.24*0.085-1.7837)*(105.24*Table2[[#This Row],[College PTDR]]-1.7837))),0)</f>
        <v>5</v>
      </c>
      <c r="AH132">
        <f>ROUND(IF(Table2[[#This Row],[College Passer Rating]]&gt;170,10,IF(Table2[[#This Row],[College Passer Rating]]&lt;112.475,0,10/(0.1495*170-16.815)*(0.1495*Table2[[#This Row],[College Passer Rating]]-16.815))),0)</f>
        <v>3</v>
      </c>
      <c r="AI132">
        <f>ROUND(IF(Table2[[#This Row],[PTD:INT]]&gt;4,10,IF(Table2[[#This Row],[PTD:INT]]&lt;1,0,10/(4.7442*LN(4)+0.4256)*(4.7442*LN(Table2[[#This Row],[PTD:INT]])+0.4256))),0)</f>
        <v>4</v>
      </c>
      <c r="AJ132">
        <f>ROUND(IF(Table2[[#This Row],[Patt:Ratt]]&lt;2.5,10,IF(Table2[[#This Row],[Patt:Ratt]]&gt;15,0,10/(-2.684*LN(2.5)+9.0869)*(-2.684*LN(Table2[[#This Row],[Patt:Ratt]])+9.0869))),0)</f>
        <v>6</v>
      </c>
      <c r="AK132">
        <f>ROUND(IF(Table2[[#This Row],[Y/A]]&gt;9.2,10,IF(Table2[[#This Row],[Y/A]]&lt;6.26,0,10/(2.2619*9.2-14.16)*(2.2619*Table2[[#This Row],[Y/A]]-14.16))),0)</f>
        <v>5</v>
      </c>
      <c r="AL132">
        <f>ROUND(IF(Table2[[#This Row],[AY/A]]&gt;10,10,IF(Table2[[#This Row],[AY/A]]&lt;5.51,0,10/(1.6571*10-9.1312)*(1.6571*Table2[[#This Row],[AY/A]]-9.1312))),0)</f>
        <v>4</v>
      </c>
      <c r="AM132">
        <f>ROUND(IF(Table2[[#This Row],[40 Yd Dash]]&lt;4.75,10,IF(Table2[[#This Row],[40 Yd Dash]]&gt;5.191,0,10/(-66.95*LN(4.75)+110.26)*(-66.95*LN(Table2[[#This Row],[40 Yd Dash]])+110.26))),0)</f>
        <v>0</v>
      </c>
      <c r="AN132">
        <f>ROUND(IF(Table2[[#This Row],[Hand Size]]&gt;10.25,10,IF(Table2[[#This Row],[Hand Size]]&lt;9,0,10/(15.49*LN(10.25)-30.577)*(15.49*LN(Table2[[#This Row],[Hand Size]])-30.577))),0)</f>
        <v>7</v>
      </c>
    </row>
    <row r="133" spans="1:40">
      <c r="A133">
        <v>2021</v>
      </c>
      <c r="B133">
        <v>8</v>
      </c>
      <c r="C133" t="s">
        <v>219</v>
      </c>
      <c r="D133" t="s">
        <v>165</v>
      </c>
      <c r="G133">
        <f>SUMIFS('NFL QB Data By Year'!$Q:$Q,'NFL QB Data By Year'!$D:$D,Table2[[#This Row],[Player Name]],'NFL QB Data By Year'!$B:$B,Table2[[#This Row],[Draft Year]]+G$1)</f>
        <v>0</v>
      </c>
      <c r="H133">
        <f>SUMIFS('NFL QB Data By Year'!$P:$P,'NFL QB Data By Year'!$D:$D,Table2[[#This Row],[Player Name]],'NFL QB Data By Year'!$B:$B,Table2[[#This Row],[Draft Year]]+H$1)</f>
        <v>0</v>
      </c>
      <c r="I133">
        <f>SUMIFS('NFL QB Data By Year'!$Q:$Q,'NFL QB Data By Year'!$D:$D,Table2[[#This Row],[Player Name]],'NFL QB Data By Year'!$B:$B,Table2[[#This Row],[Draft Year]]+I$1)</f>
        <v>0</v>
      </c>
      <c r="J133">
        <f>SUMIFS('NFL QB Data By Year'!$P:$P,'NFL QB Data By Year'!$D:$D,Table2[[#This Row],[Player Name]],'NFL QB Data By Year'!$B:$B,Table2[[#This Row],[Draft Year]]+J$1)</f>
        <v>0</v>
      </c>
      <c r="K133">
        <f>SUMIFS('NFL QB Data By Year'!$Q:$Q,'NFL QB Data By Year'!$D:$D,Table2[[#This Row],[Player Name]],'NFL QB Data By Year'!$B:$B,Table2[[#This Row],[Draft Year]]+K$1)</f>
        <v>0</v>
      </c>
      <c r="L133">
        <f>SUMIFS('NFL QB Data By Year'!$P:$P,'NFL QB Data By Year'!$D:$D,Table2[[#This Row],[Player Name]],'NFL QB Data By Year'!$B:$B,Table2[[#This Row],[Draft Year]]+L$1)</f>
        <v>0</v>
      </c>
      <c r="M133">
        <f>Table2[[#This Row],[Year 1 G]]+Table2[[#This Row],[Year 2 G]]+Table2[[#This Row],[Year 3 G]]</f>
        <v>0</v>
      </c>
      <c r="N133">
        <f>Table2[[#This Row],[Year 1 FPTs]]+Table2[[#This Row],[Year 2 FPTs]]+Table2[[#This Row],[Year 3 FPTs]]</f>
        <v>0</v>
      </c>
      <c r="O133" s="14">
        <f>IFERROR(Table2[[#This Row],[Total FPTs]]/Table2[[#This Row],[Total G]],0)</f>
        <v>0</v>
      </c>
      <c r="Q133" s="8">
        <f>44/(2562+2539)</f>
        <v>8.6257596549696135E-3</v>
      </c>
      <c r="R133" s="11">
        <f>6/174</f>
        <v>3.4482758620689655E-2</v>
      </c>
      <c r="S133">
        <v>123</v>
      </c>
      <c r="T133" s="7">
        <f>6/4</f>
        <v>1.5</v>
      </c>
      <c r="U133" s="7">
        <f>174/30</f>
        <v>5.8</v>
      </c>
      <c r="V133">
        <v>6.9</v>
      </c>
      <c r="W133">
        <v>6.6</v>
      </c>
      <c r="X133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3">
        <v>4.43</v>
      </c>
      <c r="Z133">
        <v>9.5</v>
      </c>
      <c r="AD133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33">
        <f>ROUND(IF(Table2[[#This Row],[Draft Round]]=1,10,IF(Table2[[#This Row],[Draft Round]]=8,0,10/(20.884*EXP(-0.381*1))*(20.884*EXP(-0.381*Table2[[#This Row],[Draft Round]])))),0)</f>
        <v>0</v>
      </c>
      <c r="AF133">
        <f>ROUND(IF(Table2[[#This Row],[College BF Dominator]]&gt;0.3,10,IF(Table2[[#This Row],[College BF Dominator]]&lt;-0.156,0,10/(20.818*0.3+3.2667)*(20.818*Table2[[#This Row],[College BF Dominator]]+3.2667))),0)</f>
        <v>4</v>
      </c>
      <c r="AG133">
        <f>ROUND(IF(Table2[[#This Row],[College PTDR]]&gt;0.085,10,IF(Table2[[#This Row],[College PTDR]]&lt;0.04,0,10/(105.24*0.085-1.7837)*(105.24*Table2[[#This Row],[College PTDR]]-1.7837))),0)</f>
        <v>0</v>
      </c>
      <c r="AH133">
        <f>ROUND(IF(Table2[[#This Row],[College Passer Rating]]&gt;170,10,IF(Table2[[#This Row],[College Passer Rating]]&lt;112.475,0,10/(0.1495*170-16.815)*(0.1495*Table2[[#This Row],[College Passer Rating]]-16.815))),0)</f>
        <v>2</v>
      </c>
      <c r="AI133">
        <f>ROUND(IF(Table2[[#This Row],[PTD:INT]]&gt;4,10,IF(Table2[[#This Row],[PTD:INT]]&lt;1,0,10/(4.7442*LN(4)+0.4256)*(4.7442*LN(Table2[[#This Row],[PTD:INT]])+0.4256))),0)</f>
        <v>3</v>
      </c>
      <c r="AJ133">
        <f>ROUND(IF(Table2[[#This Row],[Patt:Ratt]]&lt;2.5,10,IF(Table2[[#This Row],[Patt:Ratt]]&gt;15,0,10/(-2.684*LN(2.5)+9.0869)*(-2.684*LN(Table2[[#This Row],[Patt:Ratt]])+9.0869))),0)</f>
        <v>7</v>
      </c>
      <c r="AK133">
        <f>ROUND(IF(Table2[[#This Row],[Y/A]]&gt;9.2,10,IF(Table2[[#This Row],[Y/A]]&lt;6.26,0,10/(2.2619*9.2-14.16)*(2.2619*Table2[[#This Row],[Y/A]]-14.16))),0)</f>
        <v>2</v>
      </c>
      <c r="AL133">
        <f>ROUND(IF(Table2[[#This Row],[AY/A]]&gt;10,10,IF(Table2[[#This Row],[AY/A]]&lt;5.51,0,10/(1.6571*10-9.1312)*(1.6571*Table2[[#This Row],[AY/A]]-9.1312))),0)</f>
        <v>2</v>
      </c>
      <c r="AM133">
        <f>ROUND(IF(Table2[[#This Row],[40 Yd Dash]]&lt;4.75,10,IF(Table2[[#This Row],[40 Yd Dash]]&gt;5.191,0,10/(-66.95*LN(4.75)+110.26)*(-66.95*LN(Table2[[#This Row],[40 Yd Dash]])+110.26))),0)</f>
        <v>10</v>
      </c>
      <c r="AN133">
        <f>ROUND(IF(Table2[[#This Row],[Hand Size]]&gt;10.25,10,IF(Table2[[#This Row],[Hand Size]]&lt;9,0,10/(15.49*LN(10.25)-30.577)*(15.49*LN(Table2[[#This Row],[Hand Size]])-30.577))),0)</f>
        <v>8</v>
      </c>
    </row>
    <row r="134" spans="1:40">
      <c r="A134">
        <v>2021</v>
      </c>
      <c r="B134">
        <v>8</v>
      </c>
      <c r="C134" t="s">
        <v>219</v>
      </c>
      <c r="D134" t="s">
        <v>166</v>
      </c>
      <c r="G134">
        <f>SUMIFS('NFL QB Data By Year'!$Q:$Q,'NFL QB Data By Year'!$D:$D,Table2[[#This Row],[Player Name]],'NFL QB Data By Year'!$B:$B,Table2[[#This Row],[Draft Year]]+G$1)</f>
        <v>0</v>
      </c>
      <c r="H134">
        <f>SUMIFS('NFL QB Data By Year'!$P:$P,'NFL QB Data By Year'!$D:$D,Table2[[#This Row],[Player Name]],'NFL QB Data By Year'!$B:$B,Table2[[#This Row],[Draft Year]]+H$1)</f>
        <v>0</v>
      </c>
      <c r="I134">
        <f>SUMIFS('NFL QB Data By Year'!$Q:$Q,'NFL QB Data By Year'!$D:$D,Table2[[#This Row],[Player Name]],'NFL QB Data By Year'!$B:$B,Table2[[#This Row],[Draft Year]]+I$1)</f>
        <v>0</v>
      </c>
      <c r="J134">
        <f>SUMIFS('NFL QB Data By Year'!$P:$P,'NFL QB Data By Year'!$D:$D,Table2[[#This Row],[Player Name]],'NFL QB Data By Year'!$B:$B,Table2[[#This Row],[Draft Year]]+J$1)</f>
        <v>0</v>
      </c>
      <c r="K134">
        <f>SUMIFS('NFL QB Data By Year'!$Q:$Q,'NFL QB Data By Year'!$D:$D,Table2[[#This Row],[Player Name]],'NFL QB Data By Year'!$B:$B,Table2[[#This Row],[Draft Year]]+K$1)</f>
        <v>0</v>
      </c>
      <c r="L134">
        <f>SUMIFS('NFL QB Data By Year'!$P:$P,'NFL QB Data By Year'!$D:$D,Table2[[#This Row],[Player Name]],'NFL QB Data By Year'!$B:$B,Table2[[#This Row],[Draft Year]]+L$1)</f>
        <v>0</v>
      </c>
      <c r="M134">
        <f>Table2[[#This Row],[Year 1 G]]+Table2[[#This Row],[Year 2 G]]+Table2[[#This Row],[Year 3 G]]</f>
        <v>0</v>
      </c>
      <c r="N134">
        <f>Table2[[#This Row],[Year 1 FPTs]]+Table2[[#This Row],[Year 2 FPTs]]+Table2[[#This Row],[Year 3 FPTs]]</f>
        <v>0</v>
      </c>
      <c r="O134" s="14">
        <f>IFERROR(Table2[[#This Row],[Total FPTs]]/Table2[[#This Row],[Total G]],0)</f>
        <v>0</v>
      </c>
      <c r="Q134" s="8">
        <f>240/(2218+2733)</f>
        <v>4.8475055544334476E-2</v>
      </c>
      <c r="R134" s="11">
        <f>28/472</f>
        <v>5.9322033898305086E-2</v>
      </c>
      <c r="S134">
        <v>130.19999999999999</v>
      </c>
      <c r="T134" s="7">
        <f>28/14</f>
        <v>2</v>
      </c>
      <c r="U134" s="7">
        <f>472/105</f>
        <v>4.4952380952380953</v>
      </c>
      <c r="V134">
        <v>7.4</v>
      </c>
      <c r="W134">
        <v>7.3</v>
      </c>
      <c r="X134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4">
        <v>4.79</v>
      </c>
      <c r="Z134">
        <v>10.375</v>
      </c>
      <c r="AD134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34">
        <f>ROUND(IF(Table2[[#This Row],[Draft Round]]=1,10,IF(Table2[[#This Row],[Draft Round]]=8,0,10/(20.884*EXP(-0.381*1))*(20.884*EXP(-0.381*Table2[[#This Row],[Draft Round]])))),0)</f>
        <v>0</v>
      </c>
      <c r="AF134">
        <f>ROUND(IF(Table2[[#This Row],[College BF Dominator]]&gt;0.3,10,IF(Table2[[#This Row],[College BF Dominator]]&lt;-0.156,0,10/(20.818*0.3+3.2667)*(20.818*Table2[[#This Row],[College BF Dominator]]+3.2667))),0)</f>
        <v>4</v>
      </c>
      <c r="AG134">
        <f>ROUND(IF(Table2[[#This Row],[College PTDR]]&gt;0.085,10,IF(Table2[[#This Row],[College PTDR]]&lt;0.04,0,10/(105.24*0.085-1.7837)*(105.24*Table2[[#This Row],[College PTDR]]-1.7837))),0)</f>
        <v>6</v>
      </c>
      <c r="AH134">
        <f>ROUND(IF(Table2[[#This Row],[College Passer Rating]]&gt;170,10,IF(Table2[[#This Row],[College Passer Rating]]&lt;112.475,0,10/(0.1495*170-16.815)*(0.1495*Table2[[#This Row],[College Passer Rating]]-16.815))),0)</f>
        <v>3</v>
      </c>
      <c r="AI134">
        <f>ROUND(IF(Table2[[#This Row],[PTD:INT]]&gt;4,10,IF(Table2[[#This Row],[PTD:INT]]&lt;1,0,10/(4.7442*LN(4)+0.4256)*(4.7442*LN(Table2[[#This Row],[PTD:INT]])+0.4256))),0)</f>
        <v>5</v>
      </c>
      <c r="AJ134">
        <f>ROUND(IF(Table2[[#This Row],[Patt:Ratt]]&lt;2.5,10,IF(Table2[[#This Row],[Patt:Ratt]]&gt;15,0,10/(-2.684*LN(2.5)+9.0869)*(-2.684*LN(Table2[[#This Row],[Patt:Ratt]])+9.0869))),0)</f>
        <v>8</v>
      </c>
      <c r="AK134">
        <f>ROUND(IF(Table2[[#This Row],[Y/A]]&gt;9.2,10,IF(Table2[[#This Row],[Y/A]]&lt;6.26,0,10/(2.2619*9.2-14.16)*(2.2619*Table2[[#This Row],[Y/A]]-14.16))),0)</f>
        <v>4</v>
      </c>
      <c r="AL134">
        <f>ROUND(IF(Table2[[#This Row],[AY/A]]&gt;10,10,IF(Table2[[#This Row],[AY/A]]&lt;5.51,0,10/(1.6571*10-9.1312)*(1.6571*Table2[[#This Row],[AY/A]]-9.1312))),0)</f>
        <v>4</v>
      </c>
      <c r="AM134">
        <f>ROUND(IF(Table2[[#This Row],[40 Yd Dash]]&lt;4.75,10,IF(Table2[[#This Row],[40 Yd Dash]]&gt;5.191,0,10/(-66.95*LN(4.75)+110.26)*(-66.95*LN(Table2[[#This Row],[40 Yd Dash]])+110.26))),0)</f>
        <v>9</v>
      </c>
      <c r="AN134">
        <f>ROUND(IF(Table2[[#This Row],[Hand Size]]&gt;10.25,10,IF(Table2[[#This Row],[Hand Size]]&lt;9,0,10/(15.49*LN(10.25)-30.577)*(15.49*LN(Table2[[#This Row],[Hand Size]])-30.577))),0)</f>
        <v>10</v>
      </c>
    </row>
    <row r="135" spans="1:40">
      <c r="A135">
        <v>2020</v>
      </c>
      <c r="B135">
        <v>1</v>
      </c>
      <c r="C135" t="s">
        <v>219</v>
      </c>
      <c r="D135" t="s">
        <v>168</v>
      </c>
      <c r="E135">
        <v>6.77</v>
      </c>
      <c r="G135">
        <f>SUMIFS('NFL QB Data By Year'!$Q:$Q,'NFL QB Data By Year'!$D:$D,Table2[[#This Row],[Player Name]],'NFL QB Data By Year'!$B:$B,Table2[[#This Row],[Draft Year]]+G$1)</f>
        <v>10</v>
      </c>
      <c r="H135">
        <f>SUMIFS('NFL QB Data By Year'!$P:$P,'NFL QB Data By Year'!$D:$D,Table2[[#This Row],[Player Name]],'NFL QB Data By Year'!$B:$B,Table2[[#This Row],[Draft Year]]+H$1)</f>
        <v>140.4</v>
      </c>
      <c r="I135">
        <f>SUMIFS('NFL QB Data By Year'!$Q:$Q,'NFL QB Data By Year'!$D:$D,Table2[[#This Row],[Player Name]],'NFL QB Data By Year'!$B:$B,Table2[[#This Row],[Draft Year]]+I$1)</f>
        <v>13</v>
      </c>
      <c r="J135">
        <f>SUMIFS('NFL QB Data By Year'!$P:$P,'NFL QB Data By Year'!$D:$D,Table2[[#This Row],[Player Name]],'NFL QB Data By Year'!$B:$B,Table2[[#This Row],[Draft Year]]+J$1)</f>
        <v>190.9</v>
      </c>
      <c r="K135">
        <f>SUMIFS('NFL QB Data By Year'!$Q:$Q,'NFL QB Data By Year'!$D:$D,Table2[[#This Row],[Player Name]],'NFL QB Data By Year'!$B:$B,Table2[[#This Row],[Draft Year]]+K$1)</f>
        <v>0</v>
      </c>
      <c r="L135">
        <f>SUMIFS('NFL QB Data By Year'!$P:$P,'NFL QB Data By Year'!$D:$D,Table2[[#This Row],[Player Name]],'NFL QB Data By Year'!$B:$B,Table2[[#This Row],[Draft Year]]+L$1)</f>
        <v>0</v>
      </c>
      <c r="M135">
        <f>Table2[[#This Row],[Year 1 G]]+Table2[[#This Row],[Year 2 G]]+Table2[[#This Row],[Year 3 G]]</f>
        <v>23</v>
      </c>
      <c r="N135">
        <f>Table2[[#This Row],[Year 1 FPTs]]+Table2[[#This Row],[Year 2 FPTs]]+Table2[[#This Row],[Year 3 FPTs]]</f>
        <v>331.3</v>
      </c>
      <c r="O135" s="18">
        <f>IFERROR(Table2[[#This Row],[Total FPTs]]/Table2[[#This Row],[Total G]],0)</f>
        <v>14.404347826086957</v>
      </c>
      <c r="Q135" s="8">
        <f>387/(3509+2976+2191)</f>
        <v>4.4605809128630707E-2</v>
      </c>
      <c r="R135" s="11">
        <f>87/684</f>
        <v>0.12719298245614036</v>
      </c>
      <c r="S135">
        <f>199.4</f>
        <v>199.4</v>
      </c>
      <c r="T135" s="7">
        <f>87/11</f>
        <v>7.9090909090909092</v>
      </c>
      <c r="U135" s="7">
        <f>684/107</f>
        <v>6.3925233644859816</v>
      </c>
      <c r="V135">
        <v>10.9</v>
      </c>
      <c r="W135">
        <v>12.7</v>
      </c>
      <c r="X135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5">
        <v>4.6399999999999997</v>
      </c>
      <c r="Z135">
        <v>10</v>
      </c>
      <c r="AD135">
        <f>ROUND(IF(Table2[[#This Row],[LZ Grade]]=0,10/(9.297*7-49.141)*(9.297*5.723-49.141),IF(Table2[[#This Row],[LZ Grade]]&lt;5.285,0,IF(Table2[[#This Row],[LZ Grade]]&gt;=7,10,10/(9.297*7-49.141)*(9.297*Table2[[#This Row],[LZ Grade]]-49.141)))),0)</f>
        <v>9</v>
      </c>
      <c r="AE135">
        <f>ROUND(IF(Table2[[#This Row],[Draft Round]]=1,10,IF(Table2[[#This Row],[Draft Round]]=8,0,10/(20.884*EXP(-0.381*1))*(20.884*EXP(-0.381*Table2[[#This Row],[Draft Round]])))),0)</f>
        <v>10</v>
      </c>
      <c r="AF135">
        <f>ROUND(IF(Table2[[#This Row],[College BF Dominator]]&gt;0.3,10,IF(Table2[[#This Row],[College BF Dominator]]&lt;-0.156,0,10/(20.818*0.3+3.2667)*(20.818*Table2[[#This Row],[College BF Dominator]]+3.2667))),0)</f>
        <v>4</v>
      </c>
      <c r="AG135">
        <f>ROUND(IF(Table2[[#This Row],[College PTDR]]&gt;0.085,10,IF(Table2[[#This Row],[College PTDR]]&lt;0.04,0,10/(105.24*0.085-1.7837)*(105.24*Table2[[#This Row],[College PTDR]]-1.7837))),0)</f>
        <v>10</v>
      </c>
      <c r="AH135">
        <f>ROUND(IF(Table2[[#This Row],[College Passer Rating]]&gt;170,10,IF(Table2[[#This Row],[College Passer Rating]]&lt;112.475,0,10/(0.1495*170-16.815)*(0.1495*Table2[[#This Row],[College Passer Rating]]-16.815))),0)</f>
        <v>10</v>
      </c>
      <c r="AI135">
        <f>ROUND(IF(Table2[[#This Row],[PTD:INT]]&gt;4,10,IF(Table2[[#This Row],[PTD:INT]]&lt;1,0,10/(4.7442*LN(4)+0.4256)*(4.7442*LN(Table2[[#This Row],[PTD:INT]])+0.4256))),0)</f>
        <v>10</v>
      </c>
      <c r="AJ135">
        <f>ROUND(IF(Table2[[#This Row],[Patt:Ratt]]&lt;2.5,10,IF(Table2[[#This Row],[Patt:Ratt]]&gt;15,0,10/(-2.684*LN(2.5)+9.0869)*(-2.684*LN(Table2[[#This Row],[Patt:Ratt]])+9.0869))),0)</f>
        <v>6</v>
      </c>
      <c r="AK135">
        <f>ROUND(IF(Table2[[#This Row],[Y/A]]&gt;9.2,10,IF(Table2[[#This Row],[Y/A]]&lt;6.26,0,10/(2.2619*9.2-14.16)*(2.2619*Table2[[#This Row],[Y/A]]-14.16))),0)</f>
        <v>10</v>
      </c>
      <c r="AL135">
        <f>ROUND(IF(Table2[[#This Row],[AY/A]]&gt;10,10,IF(Table2[[#This Row],[AY/A]]&lt;5.51,0,10/(1.6571*10-9.1312)*(1.6571*Table2[[#This Row],[AY/A]]-9.1312))),0)</f>
        <v>10</v>
      </c>
      <c r="AM135">
        <f>ROUND(IF(Table2[[#This Row],[40 Yd Dash]]&lt;4.75,10,IF(Table2[[#This Row],[40 Yd Dash]]&gt;5.191,0,10/(-66.95*LN(4.75)+110.26)*(-66.95*LN(Table2[[#This Row],[40 Yd Dash]])+110.26))),0)</f>
        <v>10</v>
      </c>
      <c r="AN135">
        <f>ROUND(IF(Table2[[#This Row],[Hand Size]]&gt;10.25,10,IF(Table2[[#This Row],[Hand Size]]&lt;9,0,10/(15.49*LN(10.25)-30.577)*(15.49*LN(Table2[[#This Row],[Hand Size]])-30.577))),0)</f>
        <v>9</v>
      </c>
    </row>
    <row r="136" spans="1:40">
      <c r="A136">
        <v>2020</v>
      </c>
      <c r="B136">
        <v>7</v>
      </c>
      <c r="C136" t="s">
        <v>219</v>
      </c>
      <c r="D136" t="s">
        <v>177</v>
      </c>
      <c r="E136">
        <v>5.93</v>
      </c>
      <c r="G136">
        <f>SUMIFS('NFL QB Data By Year'!$Q:$Q,'NFL QB Data By Year'!$D:$D,Table2[[#This Row],[Player Name]],'NFL QB Data By Year'!$B:$B,Table2[[#This Row],[Draft Year]]+G$1)</f>
        <v>0</v>
      </c>
      <c r="H136">
        <f>SUMIFS('NFL QB Data By Year'!$P:$P,'NFL QB Data By Year'!$D:$D,Table2[[#This Row],[Player Name]],'NFL QB Data By Year'!$B:$B,Table2[[#This Row],[Draft Year]]+H$1)</f>
        <v>0</v>
      </c>
      <c r="I136">
        <f>SUMIFS('NFL QB Data By Year'!$Q:$Q,'NFL QB Data By Year'!$D:$D,Table2[[#This Row],[Player Name]],'NFL QB Data By Year'!$B:$B,Table2[[#This Row],[Draft Year]]+I$1)</f>
        <v>0</v>
      </c>
      <c r="J136">
        <f>SUMIFS('NFL QB Data By Year'!$P:$P,'NFL QB Data By Year'!$D:$D,Table2[[#This Row],[Player Name]],'NFL QB Data By Year'!$B:$B,Table2[[#This Row],[Draft Year]]+J$1)</f>
        <v>0</v>
      </c>
      <c r="K136">
        <f>SUMIFS('NFL QB Data By Year'!$Q:$Q,'NFL QB Data By Year'!$D:$D,Table2[[#This Row],[Player Name]],'NFL QB Data By Year'!$B:$B,Table2[[#This Row],[Draft Year]]+K$1)</f>
        <v>0</v>
      </c>
      <c r="L136">
        <f>SUMIFS('NFL QB Data By Year'!$P:$P,'NFL QB Data By Year'!$D:$D,Table2[[#This Row],[Player Name]],'NFL QB Data By Year'!$B:$B,Table2[[#This Row],[Draft Year]]+L$1)</f>
        <v>0</v>
      </c>
      <c r="M136">
        <f>Table2[[#This Row],[Year 1 G]]+Table2[[#This Row],[Year 2 G]]+Table2[[#This Row],[Year 3 G]]</f>
        <v>0</v>
      </c>
      <c r="N136">
        <f>Table2[[#This Row],[Year 1 FPTs]]+Table2[[#This Row],[Year 2 FPTs]]+Table2[[#This Row],[Year 3 FPTs]]</f>
        <v>0</v>
      </c>
      <c r="O136" s="18">
        <f>IFERROR(Table2[[#This Row],[Total FPTs]]/Table2[[#This Row],[Total G]],0)</f>
        <v>0</v>
      </c>
      <c r="Q136" s="8">
        <f>-104/7762</f>
        <v>-1.3398608606029374E-2</v>
      </c>
      <c r="R136" s="11">
        <f>68/1155</f>
        <v>5.8874458874458878E-2</v>
      </c>
      <c r="S136">
        <f>134.1</f>
        <v>134.1</v>
      </c>
      <c r="T136" s="7">
        <f>68/23</f>
        <v>2.9565217391304346</v>
      </c>
      <c r="U136" s="7">
        <f>1155/161</f>
        <v>7.1739130434782608</v>
      </c>
      <c r="V136">
        <f>7.2</f>
        <v>7.2</v>
      </c>
      <c r="W136">
        <f>7.5</f>
        <v>7.5</v>
      </c>
      <c r="X136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6">
        <v>4.8099999999999996</v>
      </c>
      <c r="Z136">
        <v>10</v>
      </c>
      <c r="AD136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136">
        <f>ROUND(IF(Table2[[#This Row],[Draft Round]]=1,10,IF(Table2[[#This Row],[Draft Round]]=8,0,10/(20.884*EXP(-0.381*1))*(20.884*EXP(-0.381*Table2[[#This Row],[Draft Round]])))),0)</f>
        <v>1</v>
      </c>
      <c r="AF136">
        <f>ROUND(IF(Table2[[#This Row],[College BF Dominator]]&gt;0.3,10,IF(Table2[[#This Row],[College BF Dominator]]&lt;-0.156,0,10/(20.818*0.3+3.2667)*(20.818*Table2[[#This Row],[College BF Dominator]]+3.2667))),0)</f>
        <v>3</v>
      </c>
      <c r="AG136">
        <f>ROUND(IF(Table2[[#This Row],[College PTDR]]&gt;0.085,10,IF(Table2[[#This Row],[College PTDR]]&lt;0.04,0,10/(105.24*0.085-1.7837)*(105.24*Table2[[#This Row],[College PTDR]]-1.7837))),0)</f>
        <v>6</v>
      </c>
      <c r="AH136">
        <f>ROUND(IF(Table2[[#This Row],[College Passer Rating]]&gt;170,10,IF(Table2[[#This Row],[College Passer Rating]]&lt;112.475,0,10/(0.1495*170-16.815)*(0.1495*Table2[[#This Row],[College Passer Rating]]-16.815))),0)</f>
        <v>4</v>
      </c>
      <c r="AI136">
        <f>ROUND(IF(Table2[[#This Row],[PTD:INT]]&gt;4,10,IF(Table2[[#This Row],[PTD:INT]]&lt;1,0,10/(4.7442*LN(4)+0.4256)*(4.7442*LN(Table2[[#This Row],[PTD:INT]])+0.4256))),0)</f>
        <v>8</v>
      </c>
      <c r="AJ136">
        <f>ROUND(IF(Table2[[#This Row],[Patt:Ratt]]&lt;2.5,10,IF(Table2[[#This Row],[Patt:Ratt]]&gt;15,0,10/(-2.684*LN(2.5)+9.0869)*(-2.684*LN(Table2[[#This Row],[Patt:Ratt]])+9.0869))),0)</f>
        <v>6</v>
      </c>
      <c r="AK136">
        <f>ROUND(IF(Table2[[#This Row],[Y/A]]&gt;9.2,10,IF(Table2[[#This Row],[Y/A]]&lt;6.26,0,10/(2.2619*9.2-14.16)*(2.2619*Table2[[#This Row],[Y/A]]-14.16))),0)</f>
        <v>3</v>
      </c>
      <c r="AL136">
        <f>ROUND(IF(Table2[[#This Row],[AY/A]]&gt;10,10,IF(Table2[[#This Row],[AY/A]]&lt;5.51,0,10/(1.6571*10-9.1312)*(1.6571*Table2[[#This Row],[AY/A]]-9.1312))),0)</f>
        <v>4</v>
      </c>
      <c r="AM136">
        <f>ROUND(IF(Table2[[#This Row],[40 Yd Dash]]&lt;4.75,10,IF(Table2[[#This Row],[40 Yd Dash]]&gt;5.191,0,10/(-66.95*LN(4.75)+110.26)*(-66.95*LN(Table2[[#This Row],[40 Yd Dash]])+110.26))),0)</f>
        <v>9</v>
      </c>
      <c r="AN136">
        <f>ROUND(IF(Table2[[#This Row],[Hand Size]]&gt;10.25,10,IF(Table2[[#This Row],[Hand Size]]&lt;9,0,10/(15.49*LN(10.25)-30.577)*(15.49*LN(Table2[[#This Row],[Hand Size]])-30.577))),0)</f>
        <v>9</v>
      </c>
    </row>
    <row r="137" spans="1:40">
      <c r="A137">
        <v>2020</v>
      </c>
      <c r="B137">
        <v>8</v>
      </c>
      <c r="C137" t="s">
        <v>219</v>
      </c>
      <c r="D137" t="s">
        <v>185</v>
      </c>
      <c r="E137">
        <v>5.5</v>
      </c>
      <c r="G137">
        <f>SUMIFS('NFL QB Data By Year'!$Q:$Q,'NFL QB Data By Year'!$D:$D,Table2[[#This Row],[Player Name]],'NFL QB Data By Year'!$B:$B,Table2[[#This Row],[Draft Year]]+G$1)</f>
        <v>0</v>
      </c>
      <c r="H137">
        <f>SUMIFS('NFL QB Data By Year'!$P:$P,'NFL QB Data By Year'!$D:$D,Table2[[#This Row],[Player Name]],'NFL QB Data By Year'!$B:$B,Table2[[#This Row],[Draft Year]]+H$1)</f>
        <v>0</v>
      </c>
      <c r="I137">
        <f>SUMIFS('NFL QB Data By Year'!$Q:$Q,'NFL QB Data By Year'!$D:$D,Table2[[#This Row],[Player Name]],'NFL QB Data By Year'!$B:$B,Table2[[#This Row],[Draft Year]]+I$1)</f>
        <v>0</v>
      </c>
      <c r="J137">
        <f>SUMIFS('NFL QB Data By Year'!$P:$P,'NFL QB Data By Year'!$D:$D,Table2[[#This Row],[Player Name]],'NFL QB Data By Year'!$B:$B,Table2[[#This Row],[Draft Year]]+J$1)</f>
        <v>0</v>
      </c>
      <c r="K137">
        <f>SUMIFS('NFL QB Data By Year'!$Q:$Q,'NFL QB Data By Year'!$D:$D,Table2[[#This Row],[Player Name]],'NFL QB Data By Year'!$B:$B,Table2[[#This Row],[Draft Year]]+K$1)</f>
        <v>0</v>
      </c>
      <c r="L137">
        <f>SUMIFS('NFL QB Data By Year'!$P:$P,'NFL QB Data By Year'!$D:$D,Table2[[#This Row],[Player Name]],'NFL QB Data By Year'!$B:$B,Table2[[#This Row],[Draft Year]]+L$1)</f>
        <v>0</v>
      </c>
      <c r="M137">
        <f>Table2[[#This Row],[Year 1 G]]+Table2[[#This Row],[Year 2 G]]+Table2[[#This Row],[Year 3 G]]</f>
        <v>0</v>
      </c>
      <c r="N137">
        <f>Table2[[#This Row],[Year 1 FPTs]]+Table2[[#This Row],[Year 2 FPTs]]+Table2[[#This Row],[Year 3 FPTs]]</f>
        <v>0</v>
      </c>
      <c r="O137" s="18">
        <f>IFERROR(Table2[[#This Row],[Total FPTs]]/Table2[[#This Row],[Total G]],0)</f>
        <v>0</v>
      </c>
      <c r="Q137" s="8">
        <f>476/8008</f>
        <v>5.944055944055944E-2</v>
      </c>
      <c r="R137" s="11">
        <f>68/1098</f>
        <v>6.1930783242258654E-2</v>
      </c>
      <c r="S137">
        <f>143.1</f>
        <v>143.1</v>
      </c>
      <c r="T137" s="7">
        <f>68/27</f>
        <v>2.5185185185185186</v>
      </c>
      <c r="U137" s="7">
        <f>1098/251</f>
        <v>4.3745019920318722</v>
      </c>
      <c r="V137">
        <f>8</f>
        <v>8</v>
      </c>
      <c r="W137">
        <v>8.1</v>
      </c>
      <c r="X137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7">
        <v>4.71</v>
      </c>
      <c r="Z137">
        <v>9.375</v>
      </c>
      <c r="AD137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37">
        <f>ROUND(IF(Table2[[#This Row],[Draft Round]]=1,10,IF(Table2[[#This Row],[Draft Round]]=8,0,10/(20.884*EXP(-0.381*1))*(20.884*EXP(-0.381*Table2[[#This Row],[Draft Round]])))),0)</f>
        <v>0</v>
      </c>
      <c r="AF137">
        <f>ROUND(IF(Table2[[#This Row],[College BF Dominator]]&gt;0.3,10,IF(Table2[[#This Row],[College BF Dominator]]&lt;-0.156,0,10/(20.818*0.3+3.2667)*(20.818*Table2[[#This Row],[College BF Dominator]]+3.2667))),0)</f>
        <v>5</v>
      </c>
      <c r="AG137">
        <f>ROUND(IF(Table2[[#This Row],[College PTDR]]&gt;0.085,10,IF(Table2[[#This Row],[College PTDR]]&lt;0.04,0,10/(105.24*0.085-1.7837)*(105.24*Table2[[#This Row],[College PTDR]]-1.7837))),0)</f>
        <v>7</v>
      </c>
      <c r="AH137">
        <f>ROUND(IF(Table2[[#This Row],[College Passer Rating]]&gt;170,10,IF(Table2[[#This Row],[College Passer Rating]]&lt;112.475,0,10/(0.1495*170-16.815)*(0.1495*Table2[[#This Row],[College Passer Rating]]-16.815))),0)</f>
        <v>5</v>
      </c>
      <c r="AI137">
        <f>ROUND(IF(Table2[[#This Row],[PTD:INT]]&gt;4,10,IF(Table2[[#This Row],[PTD:INT]]&lt;1,0,10/(4.7442*LN(4)+0.4256)*(4.7442*LN(Table2[[#This Row],[PTD:INT]])+0.4256))),0)</f>
        <v>7</v>
      </c>
      <c r="AJ137">
        <f>ROUND(IF(Table2[[#This Row],[Patt:Ratt]]&lt;2.5,10,IF(Table2[[#This Row],[Patt:Ratt]]&gt;15,0,10/(-2.684*LN(2.5)+9.0869)*(-2.684*LN(Table2[[#This Row],[Patt:Ratt]])+9.0869))),0)</f>
        <v>8</v>
      </c>
      <c r="AK137">
        <f>ROUND(IF(Table2[[#This Row],[Y/A]]&gt;9.2,10,IF(Table2[[#This Row],[Y/A]]&lt;6.26,0,10/(2.2619*9.2-14.16)*(2.2619*Table2[[#This Row],[Y/A]]-14.16))),0)</f>
        <v>6</v>
      </c>
      <c r="AL137">
        <f>ROUND(IF(Table2[[#This Row],[AY/A]]&gt;10,10,IF(Table2[[#This Row],[AY/A]]&lt;5.51,0,10/(1.6571*10-9.1312)*(1.6571*Table2[[#This Row],[AY/A]]-9.1312))),0)</f>
        <v>6</v>
      </c>
      <c r="AM137">
        <f>ROUND(IF(Table2[[#This Row],[40 Yd Dash]]&lt;4.75,10,IF(Table2[[#This Row],[40 Yd Dash]]&gt;5.191,0,10/(-66.95*LN(4.75)+110.26)*(-66.95*LN(Table2[[#This Row],[40 Yd Dash]])+110.26))),0)</f>
        <v>10</v>
      </c>
      <c r="AN137">
        <f>ROUND(IF(Table2[[#This Row],[Hand Size]]&gt;10.25,10,IF(Table2[[#This Row],[Hand Size]]&lt;9,0,10/(15.49*LN(10.25)-30.577)*(15.49*LN(Table2[[#This Row],[Hand Size]])-30.577))),0)</f>
        <v>7</v>
      </c>
    </row>
    <row r="138" spans="1:40">
      <c r="A138">
        <v>2020</v>
      </c>
      <c r="B138">
        <v>4</v>
      </c>
      <c r="C138" t="s">
        <v>219</v>
      </c>
      <c r="D138" t="s">
        <v>175</v>
      </c>
      <c r="E138">
        <v>5.96</v>
      </c>
      <c r="G138">
        <f>SUMIFS('NFL QB Data By Year'!$Q:$Q,'NFL QB Data By Year'!$D:$D,Table2[[#This Row],[Player Name]],'NFL QB Data By Year'!$B:$B,Table2[[#This Row],[Draft Year]]+G$1)</f>
        <v>0</v>
      </c>
      <c r="H138">
        <f>SUMIFS('NFL QB Data By Year'!$P:$P,'NFL QB Data By Year'!$D:$D,Table2[[#This Row],[Player Name]],'NFL QB Data By Year'!$B:$B,Table2[[#This Row],[Draft Year]]+H$1)</f>
        <v>0</v>
      </c>
      <c r="I138">
        <f>SUMIFS('NFL QB Data By Year'!$Q:$Q,'NFL QB Data By Year'!$D:$D,Table2[[#This Row],[Player Name]],'NFL QB Data By Year'!$B:$B,Table2[[#This Row],[Draft Year]]+I$1)</f>
        <v>0</v>
      </c>
      <c r="J138">
        <f>SUMIFS('NFL QB Data By Year'!$P:$P,'NFL QB Data By Year'!$D:$D,Table2[[#This Row],[Player Name]],'NFL QB Data By Year'!$B:$B,Table2[[#This Row],[Draft Year]]+J$1)</f>
        <v>0</v>
      </c>
      <c r="K138">
        <f>SUMIFS('NFL QB Data By Year'!$Q:$Q,'NFL QB Data By Year'!$D:$D,Table2[[#This Row],[Player Name]],'NFL QB Data By Year'!$B:$B,Table2[[#This Row],[Draft Year]]+K$1)</f>
        <v>0</v>
      </c>
      <c r="L138">
        <f>SUMIFS('NFL QB Data By Year'!$P:$P,'NFL QB Data By Year'!$D:$D,Table2[[#This Row],[Player Name]],'NFL QB Data By Year'!$B:$B,Table2[[#This Row],[Draft Year]]+L$1)</f>
        <v>0</v>
      </c>
      <c r="M138">
        <f>Table2[[#This Row],[Year 1 G]]+Table2[[#This Row],[Year 2 G]]+Table2[[#This Row],[Year 3 G]]</f>
        <v>0</v>
      </c>
      <c r="N138">
        <f>Table2[[#This Row],[Year 1 FPTs]]+Table2[[#This Row],[Year 2 FPTs]]+Table2[[#This Row],[Year 3 FPTs]]</f>
        <v>0</v>
      </c>
      <c r="O138" s="18">
        <f>IFERROR(Table2[[#This Row],[Total FPTs]]/Table2[[#This Row],[Total G]],0)</f>
        <v>0</v>
      </c>
      <c r="Q138" s="8">
        <f>-168/(2170+1820+2276+2148)</f>
        <v>-1.9966722129783693E-2</v>
      </c>
      <c r="R138" s="11">
        <f>65/1221</f>
        <v>5.3235053235053238E-2</v>
      </c>
      <c r="S138">
        <f>128.8</f>
        <v>128.80000000000001</v>
      </c>
      <c r="T138" s="7">
        <f>65/34</f>
        <v>1.911764705882353</v>
      </c>
      <c r="U138" s="7">
        <f>1221/130</f>
        <v>9.3923076923076927</v>
      </c>
      <c r="V138">
        <f>7.1</f>
        <v>7.1</v>
      </c>
      <c r="W138">
        <v>6.9</v>
      </c>
      <c r="X138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8">
        <v>4.8899999999999997</v>
      </c>
      <c r="Z138">
        <v>9.75</v>
      </c>
      <c r="AD138">
        <f>ROUND(IF(Table2[[#This Row],[LZ Grade]]=0,10/(9.297*7-49.141)*(9.297*5.723-49.141),IF(Table2[[#This Row],[LZ Grade]]&lt;5.285,0,IF(Table2[[#This Row],[LZ Grade]]&gt;=7,10,10/(9.297*7-49.141)*(9.297*Table2[[#This Row],[LZ Grade]]-49.141)))),0)</f>
        <v>4</v>
      </c>
      <c r="AE138">
        <f>ROUND(IF(Table2[[#This Row],[Draft Round]]=1,10,IF(Table2[[#This Row],[Draft Round]]=8,0,10/(20.884*EXP(-0.381*1))*(20.884*EXP(-0.381*Table2[[#This Row],[Draft Round]])))),0)</f>
        <v>3</v>
      </c>
      <c r="AF138">
        <f>ROUND(IF(Table2[[#This Row],[College BF Dominator]]&gt;0.3,10,IF(Table2[[#This Row],[College BF Dominator]]&lt;-0.156,0,10/(20.818*0.3+3.2667)*(20.818*Table2[[#This Row],[College BF Dominator]]+3.2667))),0)</f>
        <v>3</v>
      </c>
      <c r="AG138">
        <f>ROUND(IF(Table2[[#This Row],[College PTDR]]&gt;0.085,10,IF(Table2[[#This Row],[College PTDR]]&lt;0.04,0,10/(105.24*0.085-1.7837)*(105.24*Table2[[#This Row],[College PTDR]]-1.7837))),0)</f>
        <v>5</v>
      </c>
      <c r="AH138">
        <f>ROUND(IF(Table2[[#This Row],[College Passer Rating]]&gt;170,10,IF(Table2[[#This Row],[College Passer Rating]]&lt;112.475,0,10/(0.1495*170-16.815)*(0.1495*Table2[[#This Row],[College Passer Rating]]-16.815))),0)</f>
        <v>3</v>
      </c>
      <c r="AI138">
        <f>ROUND(IF(Table2[[#This Row],[PTD:INT]]&gt;4,10,IF(Table2[[#This Row],[PTD:INT]]&lt;1,0,10/(4.7442*LN(4)+0.4256)*(4.7442*LN(Table2[[#This Row],[PTD:INT]])+0.4256))),0)</f>
        <v>5</v>
      </c>
      <c r="AJ138">
        <f>ROUND(IF(Table2[[#This Row],[Patt:Ratt]]&lt;2.5,10,IF(Table2[[#This Row],[Patt:Ratt]]&gt;15,0,10/(-2.684*LN(2.5)+9.0869)*(-2.684*LN(Table2[[#This Row],[Patt:Ratt]])+9.0869))),0)</f>
        <v>5</v>
      </c>
      <c r="AK138">
        <f>ROUND(IF(Table2[[#This Row],[Y/A]]&gt;9.2,10,IF(Table2[[#This Row],[Y/A]]&lt;6.26,0,10/(2.2619*9.2-14.16)*(2.2619*Table2[[#This Row],[Y/A]]-14.16))),0)</f>
        <v>3</v>
      </c>
      <c r="AL138">
        <f>ROUND(IF(Table2[[#This Row],[AY/A]]&gt;10,10,IF(Table2[[#This Row],[AY/A]]&lt;5.51,0,10/(1.6571*10-9.1312)*(1.6571*Table2[[#This Row],[AY/A]]-9.1312))),0)</f>
        <v>3</v>
      </c>
      <c r="AM138">
        <f>ROUND(IF(Table2[[#This Row],[40 Yd Dash]]&lt;4.75,10,IF(Table2[[#This Row],[40 Yd Dash]]&gt;5.191,0,10/(-66.95*LN(4.75)+110.26)*(-66.95*LN(Table2[[#This Row],[40 Yd Dash]])+110.26))),0)</f>
        <v>7</v>
      </c>
      <c r="AN138">
        <f>ROUND(IF(Table2[[#This Row],[Hand Size]]&gt;10.25,10,IF(Table2[[#This Row],[Hand Size]]&lt;9,0,10/(15.49*LN(10.25)-30.577)*(15.49*LN(Table2[[#This Row],[Hand Size]])-30.577))),0)</f>
        <v>9</v>
      </c>
    </row>
    <row r="139" spans="1:40">
      <c r="A139">
        <v>2020</v>
      </c>
      <c r="B139">
        <v>8</v>
      </c>
      <c r="C139" t="s">
        <v>219</v>
      </c>
      <c r="D139" t="s">
        <v>188</v>
      </c>
      <c r="E139">
        <v>5.48</v>
      </c>
      <c r="G139">
        <f>SUMIFS('NFL QB Data By Year'!$Q:$Q,'NFL QB Data By Year'!$D:$D,Table2[[#This Row],[Player Name]],'NFL QB Data By Year'!$B:$B,Table2[[#This Row],[Draft Year]]+G$1)</f>
        <v>0</v>
      </c>
      <c r="H139">
        <f>SUMIFS('NFL QB Data By Year'!$P:$P,'NFL QB Data By Year'!$D:$D,Table2[[#This Row],[Player Name]],'NFL QB Data By Year'!$B:$B,Table2[[#This Row],[Draft Year]]+H$1)</f>
        <v>0</v>
      </c>
      <c r="I139">
        <f>SUMIFS('NFL QB Data By Year'!$Q:$Q,'NFL QB Data By Year'!$D:$D,Table2[[#This Row],[Player Name]],'NFL QB Data By Year'!$B:$B,Table2[[#This Row],[Draft Year]]+I$1)</f>
        <v>0</v>
      </c>
      <c r="J139">
        <f>SUMIFS('NFL QB Data By Year'!$P:$P,'NFL QB Data By Year'!$D:$D,Table2[[#This Row],[Player Name]],'NFL QB Data By Year'!$B:$B,Table2[[#This Row],[Draft Year]]+J$1)</f>
        <v>0</v>
      </c>
      <c r="K139">
        <f>SUMIFS('NFL QB Data By Year'!$Q:$Q,'NFL QB Data By Year'!$D:$D,Table2[[#This Row],[Player Name]],'NFL QB Data By Year'!$B:$B,Table2[[#This Row],[Draft Year]]+K$1)</f>
        <v>0</v>
      </c>
      <c r="L139">
        <f>SUMIFS('NFL QB Data By Year'!$P:$P,'NFL QB Data By Year'!$D:$D,Table2[[#This Row],[Player Name]],'NFL QB Data By Year'!$B:$B,Table2[[#This Row],[Draft Year]]+L$1)</f>
        <v>0</v>
      </c>
      <c r="M139">
        <f>Table2[[#This Row],[Year 1 G]]+Table2[[#This Row],[Year 2 G]]+Table2[[#This Row],[Year 3 G]]</f>
        <v>0</v>
      </c>
      <c r="N139">
        <f>Table2[[#This Row],[Year 1 FPTs]]+Table2[[#This Row],[Year 2 FPTs]]+Table2[[#This Row],[Year 3 FPTs]]</f>
        <v>0</v>
      </c>
      <c r="O139" s="18">
        <f>IFERROR(Table2[[#This Row],[Total FPTs]]/Table2[[#This Row],[Total G]],0)</f>
        <v>0</v>
      </c>
      <c r="Q139" s="8">
        <f>960/7963</f>
        <v>0.12055757880195907</v>
      </c>
      <c r="R139" s="11">
        <f>63/1321</f>
        <v>4.7691143073429219E-2</v>
      </c>
      <c r="S139">
        <v>134.9</v>
      </c>
      <c r="T139" s="7">
        <f>63/33</f>
        <v>1.9090909090909092</v>
      </c>
      <c r="U139" s="7">
        <f>1321/343</f>
        <v>3.8513119533527695</v>
      </c>
      <c r="V139">
        <f>7.4</f>
        <v>7.4</v>
      </c>
      <c r="W139">
        <v>7.2</v>
      </c>
      <c r="X139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39">
        <v>4.68</v>
      </c>
      <c r="Z139">
        <v>9.375</v>
      </c>
      <c r="AD139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39">
        <f>ROUND(IF(Table2[[#This Row],[Draft Round]]=1,10,IF(Table2[[#This Row],[Draft Round]]=8,0,10/(20.884*EXP(-0.381*1))*(20.884*EXP(-0.381*Table2[[#This Row],[Draft Round]])))),0)</f>
        <v>0</v>
      </c>
      <c r="AF139">
        <f>ROUND(IF(Table2[[#This Row],[College BF Dominator]]&gt;0.3,10,IF(Table2[[#This Row],[College BF Dominator]]&lt;-0.156,0,10/(20.818*0.3+3.2667)*(20.818*Table2[[#This Row],[College BF Dominator]]+3.2667))),0)</f>
        <v>6</v>
      </c>
      <c r="AG139">
        <f>ROUND(IF(Table2[[#This Row],[College PTDR]]&gt;0.085,10,IF(Table2[[#This Row],[College PTDR]]&lt;0.04,0,10/(105.24*0.085-1.7837)*(105.24*Table2[[#This Row],[College PTDR]]-1.7837))),0)</f>
        <v>5</v>
      </c>
      <c r="AH139">
        <f>ROUND(IF(Table2[[#This Row],[College Passer Rating]]&gt;170,10,IF(Table2[[#This Row],[College Passer Rating]]&lt;112.475,0,10/(0.1495*170-16.815)*(0.1495*Table2[[#This Row],[College Passer Rating]]-16.815))),0)</f>
        <v>4</v>
      </c>
      <c r="AI139">
        <f>ROUND(IF(Table2[[#This Row],[PTD:INT]]&gt;4,10,IF(Table2[[#This Row],[PTD:INT]]&lt;1,0,10/(4.7442*LN(4)+0.4256)*(4.7442*LN(Table2[[#This Row],[PTD:INT]])+0.4256))),0)</f>
        <v>5</v>
      </c>
      <c r="AJ139">
        <f>ROUND(IF(Table2[[#This Row],[Patt:Ratt]]&lt;2.5,10,IF(Table2[[#This Row],[Patt:Ratt]]&gt;15,0,10/(-2.684*LN(2.5)+9.0869)*(-2.684*LN(Table2[[#This Row],[Patt:Ratt]])+9.0869))),0)</f>
        <v>8</v>
      </c>
      <c r="AK139">
        <f>ROUND(IF(Table2[[#This Row],[Y/A]]&gt;9.2,10,IF(Table2[[#This Row],[Y/A]]&lt;6.26,0,10/(2.2619*9.2-14.16)*(2.2619*Table2[[#This Row],[Y/A]]-14.16))),0)</f>
        <v>4</v>
      </c>
      <c r="AL139">
        <f>ROUND(IF(Table2[[#This Row],[AY/A]]&gt;10,10,IF(Table2[[#This Row],[AY/A]]&lt;5.51,0,10/(1.6571*10-9.1312)*(1.6571*Table2[[#This Row],[AY/A]]-9.1312))),0)</f>
        <v>4</v>
      </c>
      <c r="AM139">
        <f>ROUND(IF(Table2[[#This Row],[40 Yd Dash]]&lt;4.75,10,IF(Table2[[#This Row],[40 Yd Dash]]&gt;5.191,0,10/(-66.95*LN(4.75)+110.26)*(-66.95*LN(Table2[[#This Row],[40 Yd Dash]])+110.26))),0)</f>
        <v>10</v>
      </c>
      <c r="AN139">
        <f>ROUND(IF(Table2[[#This Row],[Hand Size]]&gt;10.25,10,IF(Table2[[#This Row],[Hand Size]]&lt;9,0,10/(15.49*LN(10.25)-30.577)*(15.49*LN(Table2[[#This Row],[Hand Size]])-30.577))),0)</f>
        <v>7</v>
      </c>
    </row>
    <row r="140" spans="1:40">
      <c r="A140">
        <v>2020</v>
      </c>
      <c r="B140">
        <v>7</v>
      </c>
      <c r="C140" t="s">
        <v>219</v>
      </c>
      <c r="D140" t="s">
        <v>174</v>
      </c>
      <c r="G140">
        <f>SUMIFS('NFL QB Data By Year'!$Q:$Q,'NFL QB Data By Year'!$D:$D,Table2[[#This Row],[Player Name]],'NFL QB Data By Year'!$B:$B,Table2[[#This Row],[Draft Year]]+G$1)</f>
        <v>0</v>
      </c>
      <c r="H140">
        <f>SUMIFS('NFL QB Data By Year'!$P:$P,'NFL QB Data By Year'!$D:$D,Table2[[#This Row],[Player Name]],'NFL QB Data By Year'!$B:$B,Table2[[#This Row],[Draft Year]]+H$1)</f>
        <v>0</v>
      </c>
      <c r="I140">
        <f>SUMIFS('NFL QB Data By Year'!$Q:$Q,'NFL QB Data By Year'!$D:$D,Table2[[#This Row],[Player Name]],'NFL QB Data By Year'!$B:$B,Table2[[#This Row],[Draft Year]]+I$1)</f>
        <v>0</v>
      </c>
      <c r="J140">
        <f>SUMIFS('NFL QB Data By Year'!$P:$P,'NFL QB Data By Year'!$D:$D,Table2[[#This Row],[Player Name]],'NFL QB Data By Year'!$B:$B,Table2[[#This Row],[Draft Year]]+J$1)</f>
        <v>0</v>
      </c>
      <c r="K140">
        <f>SUMIFS('NFL QB Data By Year'!$Q:$Q,'NFL QB Data By Year'!$D:$D,Table2[[#This Row],[Player Name]],'NFL QB Data By Year'!$B:$B,Table2[[#This Row],[Draft Year]]+K$1)</f>
        <v>0</v>
      </c>
      <c r="L140">
        <f>SUMIFS('NFL QB Data By Year'!$P:$P,'NFL QB Data By Year'!$D:$D,Table2[[#This Row],[Player Name]],'NFL QB Data By Year'!$B:$B,Table2[[#This Row],[Draft Year]]+L$1)</f>
        <v>0</v>
      </c>
      <c r="M140">
        <f>Table2[[#This Row],[Year 1 G]]+Table2[[#This Row],[Year 2 G]]+Table2[[#This Row],[Year 3 G]]</f>
        <v>0</v>
      </c>
      <c r="N140">
        <f>Table2[[#This Row],[Year 1 FPTs]]+Table2[[#This Row],[Year 2 FPTs]]+Table2[[#This Row],[Year 3 FPTs]]</f>
        <v>0</v>
      </c>
      <c r="O140" s="18">
        <f>IFERROR(Table2[[#This Row],[Total FPTs]]/Table2[[#This Row],[Total G]],0)</f>
        <v>0</v>
      </c>
      <c r="Q140" s="8">
        <f>880/5561</f>
        <v>0.15824491997842113</v>
      </c>
      <c r="R140" s="11">
        <f>70/1004</f>
        <v>6.9721115537848599E-2</v>
      </c>
      <c r="S140">
        <f>146.8</f>
        <v>146.80000000000001</v>
      </c>
      <c r="T140" s="7">
        <f>70/24</f>
        <v>2.9166666666666665</v>
      </c>
      <c r="U140" s="7">
        <f>1004/251</f>
        <v>4</v>
      </c>
      <c r="V140">
        <f>8</f>
        <v>8</v>
      </c>
      <c r="W140">
        <v>8.3000000000000007</v>
      </c>
      <c r="X140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0">
        <v>4.58</v>
      </c>
      <c r="Z140">
        <v>9.75</v>
      </c>
      <c r="AD140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40">
        <f>ROUND(IF(Table2[[#This Row],[Draft Round]]=1,10,IF(Table2[[#This Row],[Draft Round]]=8,0,10/(20.884*EXP(-0.381*1))*(20.884*EXP(-0.381*Table2[[#This Row],[Draft Round]])))),0)</f>
        <v>1</v>
      </c>
      <c r="AF140">
        <f>ROUND(IF(Table2[[#This Row],[College BF Dominator]]&gt;0.3,10,IF(Table2[[#This Row],[College BF Dominator]]&lt;-0.156,0,10/(20.818*0.3+3.2667)*(20.818*Table2[[#This Row],[College BF Dominator]]+3.2667))),0)</f>
        <v>7</v>
      </c>
      <c r="AG140">
        <f>ROUND(IF(Table2[[#This Row],[College PTDR]]&gt;0.085,10,IF(Table2[[#This Row],[College PTDR]]&lt;0.04,0,10/(105.24*0.085-1.7837)*(105.24*Table2[[#This Row],[College PTDR]]-1.7837))),0)</f>
        <v>8</v>
      </c>
      <c r="AH140">
        <f>ROUND(IF(Table2[[#This Row],[College Passer Rating]]&gt;170,10,IF(Table2[[#This Row],[College Passer Rating]]&lt;112.475,0,10/(0.1495*170-16.815)*(0.1495*Table2[[#This Row],[College Passer Rating]]-16.815))),0)</f>
        <v>6</v>
      </c>
      <c r="AI140">
        <f>ROUND(IF(Table2[[#This Row],[PTD:INT]]&gt;4,10,IF(Table2[[#This Row],[PTD:INT]]&lt;1,0,10/(4.7442*LN(4)+0.4256)*(4.7442*LN(Table2[[#This Row],[PTD:INT]])+0.4256))),0)</f>
        <v>8</v>
      </c>
      <c r="AJ140">
        <f>ROUND(IF(Table2[[#This Row],[Patt:Ratt]]&lt;2.5,10,IF(Table2[[#This Row],[Patt:Ratt]]&gt;15,0,10/(-2.684*LN(2.5)+9.0869)*(-2.684*LN(Table2[[#This Row],[Patt:Ratt]])+9.0869))),0)</f>
        <v>8</v>
      </c>
      <c r="AK140">
        <f>ROUND(IF(Table2[[#This Row],[Y/A]]&gt;9.2,10,IF(Table2[[#This Row],[Y/A]]&lt;6.26,0,10/(2.2619*9.2-14.16)*(2.2619*Table2[[#This Row],[Y/A]]-14.16))),0)</f>
        <v>6</v>
      </c>
      <c r="AL140">
        <f>ROUND(IF(Table2[[#This Row],[AY/A]]&gt;10,10,IF(Table2[[#This Row],[AY/A]]&lt;5.51,0,10/(1.6571*10-9.1312)*(1.6571*Table2[[#This Row],[AY/A]]-9.1312))),0)</f>
        <v>6</v>
      </c>
      <c r="AM140">
        <f>ROUND(IF(Table2[[#This Row],[40 Yd Dash]]&lt;4.75,10,IF(Table2[[#This Row],[40 Yd Dash]]&gt;5.191,0,10/(-66.95*LN(4.75)+110.26)*(-66.95*LN(Table2[[#This Row],[40 Yd Dash]])+110.26))),0)</f>
        <v>10</v>
      </c>
      <c r="AN140">
        <f>ROUND(IF(Table2[[#This Row],[Hand Size]]&gt;10.25,10,IF(Table2[[#This Row],[Hand Size]]&lt;9,0,10/(15.49*LN(10.25)-30.577)*(15.49*LN(Table2[[#This Row],[Hand Size]])-30.577))),0)</f>
        <v>9</v>
      </c>
    </row>
    <row r="141" spans="1:40">
      <c r="A141">
        <v>2020</v>
      </c>
      <c r="B141">
        <v>6</v>
      </c>
      <c r="C141" t="s">
        <v>219</v>
      </c>
      <c r="D141" t="s">
        <v>187</v>
      </c>
      <c r="E141">
        <v>5.68</v>
      </c>
      <c r="G141">
        <f>SUMIFS('NFL QB Data By Year'!$Q:$Q,'NFL QB Data By Year'!$D:$D,Table2[[#This Row],[Player Name]],'NFL QB Data By Year'!$B:$B,Table2[[#This Row],[Draft Year]]+G$1)</f>
        <v>3</v>
      </c>
      <c r="H141">
        <f>SUMIFS('NFL QB Data By Year'!$P:$P,'NFL QB Data By Year'!$D:$D,Table2[[#This Row],[Player Name]],'NFL QB Data By Year'!$B:$B,Table2[[#This Row],[Draft Year]]+H$1)</f>
        <v>34.299999999999997</v>
      </c>
      <c r="I141">
        <f>SUMIFS('NFL QB Data By Year'!$Q:$Q,'NFL QB Data By Year'!$D:$D,Table2[[#This Row],[Player Name]],'NFL QB Data By Year'!$B:$B,Table2[[#This Row],[Draft Year]]+I$1)</f>
        <v>0</v>
      </c>
      <c r="J141">
        <f>SUMIFS('NFL QB Data By Year'!$P:$P,'NFL QB Data By Year'!$D:$D,Table2[[#This Row],[Player Name]],'NFL QB Data By Year'!$B:$B,Table2[[#This Row],[Draft Year]]+J$1)</f>
        <v>0</v>
      </c>
      <c r="K141">
        <f>SUMIFS('NFL QB Data By Year'!$Q:$Q,'NFL QB Data By Year'!$D:$D,Table2[[#This Row],[Player Name]],'NFL QB Data By Year'!$B:$B,Table2[[#This Row],[Draft Year]]+K$1)</f>
        <v>0</v>
      </c>
      <c r="L141">
        <f>SUMIFS('NFL QB Data By Year'!$P:$P,'NFL QB Data By Year'!$D:$D,Table2[[#This Row],[Player Name]],'NFL QB Data By Year'!$B:$B,Table2[[#This Row],[Draft Year]]+L$1)</f>
        <v>0</v>
      </c>
      <c r="M141">
        <f>Table2[[#This Row],[Year 1 G]]+Table2[[#This Row],[Year 2 G]]+Table2[[#This Row],[Year 3 G]]</f>
        <v>3</v>
      </c>
      <c r="N141">
        <f>Table2[[#This Row],[Year 1 FPTs]]+Table2[[#This Row],[Year 2 FPTs]]+Table2[[#This Row],[Year 3 FPTs]]</f>
        <v>34.299999999999997</v>
      </c>
      <c r="O141" s="18">
        <f>IFERROR(Table2[[#This Row],[Total FPTs]]/Table2[[#This Row],[Total G]],0)</f>
        <v>11.433333333333332</v>
      </c>
      <c r="Q141" s="8">
        <f>-131/(1777+1650+1867+1880)</f>
        <v>-1.8260384722609421E-2</v>
      </c>
      <c r="R141" s="11">
        <f>43/797</f>
        <v>5.3952321204516936E-2</v>
      </c>
      <c r="S141">
        <f>135.6</f>
        <v>135.6</v>
      </c>
      <c r="T141" s="7">
        <f>43/15</f>
        <v>2.8666666666666667</v>
      </c>
      <c r="U141" s="7">
        <f>797/116</f>
        <v>6.8706896551724137</v>
      </c>
      <c r="V141">
        <f>7.1</f>
        <v>7.1</v>
      </c>
      <c r="W141">
        <v>7.3</v>
      </c>
      <c r="X141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1">
        <v>5.07</v>
      </c>
      <c r="Z141">
        <v>10.375</v>
      </c>
      <c r="AD141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41">
        <f>ROUND(IF(Table2[[#This Row],[Draft Round]]=1,10,IF(Table2[[#This Row],[Draft Round]]=8,0,10/(20.884*EXP(-0.381*1))*(20.884*EXP(-0.381*Table2[[#This Row],[Draft Round]])))),0)</f>
        <v>1</v>
      </c>
      <c r="AF141">
        <f>ROUND(IF(Table2[[#This Row],[College BF Dominator]]&gt;0.3,10,IF(Table2[[#This Row],[College BF Dominator]]&lt;-0.156,0,10/(20.818*0.3+3.2667)*(20.818*Table2[[#This Row],[College BF Dominator]]+3.2667))),0)</f>
        <v>3</v>
      </c>
      <c r="AG141">
        <f>ROUND(IF(Table2[[#This Row],[College PTDR]]&gt;0.085,10,IF(Table2[[#This Row],[College PTDR]]&lt;0.04,0,10/(105.24*0.085-1.7837)*(105.24*Table2[[#This Row],[College PTDR]]-1.7837))),0)</f>
        <v>5</v>
      </c>
      <c r="AH141">
        <f>ROUND(IF(Table2[[#This Row],[College Passer Rating]]&gt;170,10,IF(Table2[[#This Row],[College Passer Rating]]&lt;112.475,0,10/(0.1495*170-16.815)*(0.1495*Table2[[#This Row],[College Passer Rating]]-16.815))),0)</f>
        <v>4</v>
      </c>
      <c r="AI141">
        <f>ROUND(IF(Table2[[#This Row],[PTD:INT]]&gt;4,10,IF(Table2[[#This Row],[PTD:INT]]&lt;1,0,10/(4.7442*LN(4)+0.4256)*(4.7442*LN(Table2[[#This Row],[PTD:INT]])+0.4256))),0)</f>
        <v>8</v>
      </c>
      <c r="AJ141">
        <f>ROUND(IF(Table2[[#This Row],[Patt:Ratt]]&lt;2.5,10,IF(Table2[[#This Row],[Patt:Ratt]]&gt;15,0,10/(-2.684*LN(2.5)+9.0869)*(-2.684*LN(Table2[[#This Row],[Patt:Ratt]])+9.0869))),0)</f>
        <v>6</v>
      </c>
      <c r="AK141">
        <f>ROUND(IF(Table2[[#This Row],[Y/A]]&gt;9.2,10,IF(Table2[[#This Row],[Y/A]]&lt;6.26,0,10/(2.2619*9.2-14.16)*(2.2619*Table2[[#This Row],[Y/A]]-14.16))),0)</f>
        <v>3</v>
      </c>
      <c r="AL141">
        <f>ROUND(IF(Table2[[#This Row],[AY/A]]&gt;10,10,IF(Table2[[#This Row],[AY/A]]&lt;5.51,0,10/(1.6571*10-9.1312)*(1.6571*Table2[[#This Row],[AY/A]]-9.1312))),0)</f>
        <v>4</v>
      </c>
      <c r="AM141">
        <f>ROUND(IF(Table2[[#This Row],[40 Yd Dash]]&lt;4.75,10,IF(Table2[[#This Row],[40 Yd Dash]]&gt;5.191,0,10/(-66.95*LN(4.75)+110.26)*(-66.95*LN(Table2[[#This Row],[40 Yd Dash]])+110.26))),0)</f>
        <v>3</v>
      </c>
      <c r="AN141">
        <f>ROUND(IF(Table2[[#This Row],[Hand Size]]&gt;10.25,10,IF(Table2[[#This Row],[Hand Size]]&lt;9,0,10/(15.49*LN(10.25)-30.577)*(15.49*LN(Table2[[#This Row],[Hand Size]])-30.577))),0)</f>
        <v>10</v>
      </c>
    </row>
    <row r="142" spans="1:40">
      <c r="A142">
        <v>2020</v>
      </c>
      <c r="B142">
        <v>1</v>
      </c>
      <c r="C142" t="s">
        <v>219</v>
      </c>
      <c r="D142" t="s">
        <v>170</v>
      </c>
      <c r="E142">
        <v>6.36</v>
      </c>
      <c r="G142">
        <f>SUMIFS('NFL QB Data By Year'!$Q:$Q,'NFL QB Data By Year'!$D:$D,Table2[[#This Row],[Player Name]],'NFL QB Data By Year'!$B:$B,Table2[[#This Row],[Draft Year]]+G$1)</f>
        <v>0</v>
      </c>
      <c r="H142">
        <f>SUMIFS('NFL QB Data By Year'!$P:$P,'NFL QB Data By Year'!$D:$D,Table2[[#This Row],[Player Name]],'NFL QB Data By Year'!$B:$B,Table2[[#This Row],[Draft Year]]+H$1)</f>
        <v>0</v>
      </c>
      <c r="I142">
        <f>SUMIFS('NFL QB Data By Year'!$Q:$Q,'NFL QB Data By Year'!$D:$D,Table2[[#This Row],[Player Name]],'NFL QB Data By Year'!$B:$B,Table2[[#This Row],[Draft Year]]+I$1)</f>
        <v>6</v>
      </c>
      <c r="J142">
        <f>SUMIFS('NFL QB Data By Year'!$P:$P,'NFL QB Data By Year'!$D:$D,Table2[[#This Row],[Player Name]],'NFL QB Data By Year'!$B:$B,Table2[[#This Row],[Draft Year]]+J$1)</f>
        <v>24.2</v>
      </c>
      <c r="K142">
        <f>SUMIFS('NFL QB Data By Year'!$Q:$Q,'NFL QB Data By Year'!$D:$D,Table2[[#This Row],[Player Name]],'NFL QB Data By Year'!$B:$B,Table2[[#This Row],[Draft Year]]+K$1)</f>
        <v>0</v>
      </c>
      <c r="L142">
        <f>SUMIFS('NFL QB Data By Year'!$P:$P,'NFL QB Data By Year'!$D:$D,Table2[[#This Row],[Player Name]],'NFL QB Data By Year'!$B:$B,Table2[[#This Row],[Draft Year]]+L$1)</f>
        <v>0</v>
      </c>
      <c r="M142">
        <f>Table2[[#This Row],[Year 1 G]]+Table2[[#This Row],[Year 2 G]]+Table2[[#This Row],[Year 3 G]]</f>
        <v>6</v>
      </c>
      <c r="N142">
        <f>Table2[[#This Row],[Year 1 FPTs]]+Table2[[#This Row],[Year 2 FPTs]]+Table2[[#This Row],[Year 3 FPTs]]</f>
        <v>24.2</v>
      </c>
      <c r="O142" s="18">
        <f>IFERROR(Table2[[#This Row],[Total FPTs]]/Table2[[#This Row],[Total G]],0)</f>
        <v>4.0333333333333332</v>
      </c>
      <c r="Q142" s="8">
        <f>403/(2228+2641+1979)</f>
        <v>5.8849299065420559E-2</v>
      </c>
      <c r="R142" s="11">
        <f>60/1125</f>
        <v>5.3333333333333337E-2</v>
      </c>
      <c r="S142">
        <v>137.9</v>
      </c>
      <c r="T142" s="7">
        <f>60/29</f>
        <v>2.0689655172413794</v>
      </c>
      <c r="U142" s="7">
        <f>1125/170</f>
        <v>6.617647058823529</v>
      </c>
      <c r="V142">
        <f>7.6</f>
        <v>7.6</v>
      </c>
      <c r="W142">
        <v>7.6</v>
      </c>
      <c r="X142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2">
        <v>4.74</v>
      </c>
      <c r="Z142">
        <v>10.5</v>
      </c>
      <c r="AD142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142">
        <f>ROUND(IF(Table2[[#This Row],[Draft Round]]=1,10,IF(Table2[[#This Row],[Draft Round]]=8,0,10/(20.884*EXP(-0.381*1))*(20.884*EXP(-0.381*Table2[[#This Row],[Draft Round]])))),0)</f>
        <v>10</v>
      </c>
      <c r="AF142">
        <f>ROUND(IF(Table2[[#This Row],[College BF Dominator]]&gt;0.3,10,IF(Table2[[#This Row],[College BF Dominator]]&lt;-0.156,0,10/(20.818*0.3+3.2667)*(20.818*Table2[[#This Row],[College BF Dominator]]+3.2667))),0)</f>
        <v>5</v>
      </c>
      <c r="AG142">
        <f>ROUND(IF(Table2[[#This Row],[College PTDR]]&gt;0.085,10,IF(Table2[[#This Row],[College PTDR]]&lt;0.04,0,10/(105.24*0.085-1.7837)*(105.24*Table2[[#This Row],[College PTDR]]-1.7837))),0)</f>
        <v>5</v>
      </c>
      <c r="AH142">
        <f>ROUND(IF(Table2[[#This Row],[College Passer Rating]]&gt;170,10,IF(Table2[[#This Row],[College Passer Rating]]&lt;112.475,0,10/(0.1495*170-16.815)*(0.1495*Table2[[#This Row],[College Passer Rating]]-16.815))),0)</f>
        <v>4</v>
      </c>
      <c r="AI142">
        <f>ROUND(IF(Table2[[#This Row],[PTD:INT]]&gt;4,10,IF(Table2[[#This Row],[PTD:INT]]&lt;1,0,10/(4.7442*LN(4)+0.4256)*(4.7442*LN(Table2[[#This Row],[PTD:INT]])+0.4256))),0)</f>
        <v>6</v>
      </c>
      <c r="AJ142">
        <f>ROUND(IF(Table2[[#This Row],[Patt:Ratt]]&lt;2.5,10,IF(Table2[[#This Row],[Patt:Ratt]]&gt;15,0,10/(-2.684*LN(2.5)+9.0869)*(-2.684*LN(Table2[[#This Row],[Patt:Ratt]])+9.0869))),0)</f>
        <v>6</v>
      </c>
      <c r="AK142">
        <f>ROUND(IF(Table2[[#This Row],[Y/A]]&gt;9.2,10,IF(Table2[[#This Row],[Y/A]]&lt;6.26,0,10/(2.2619*9.2-14.16)*(2.2619*Table2[[#This Row],[Y/A]]-14.16))),0)</f>
        <v>5</v>
      </c>
      <c r="AL142">
        <f>ROUND(IF(Table2[[#This Row],[AY/A]]&gt;10,10,IF(Table2[[#This Row],[AY/A]]&lt;5.51,0,10/(1.6571*10-9.1312)*(1.6571*Table2[[#This Row],[AY/A]]-9.1312))),0)</f>
        <v>5</v>
      </c>
      <c r="AM142">
        <f>ROUND(IF(Table2[[#This Row],[40 Yd Dash]]&lt;4.75,10,IF(Table2[[#This Row],[40 Yd Dash]]&gt;5.191,0,10/(-66.95*LN(4.75)+110.26)*(-66.95*LN(Table2[[#This Row],[40 Yd Dash]])+110.26))),0)</f>
        <v>10</v>
      </c>
      <c r="AN142">
        <f>ROUND(IF(Table2[[#This Row],[Hand Size]]&gt;10.25,10,IF(Table2[[#This Row],[Hand Size]]&lt;9,0,10/(15.49*LN(10.25)-30.577)*(15.49*LN(Table2[[#This Row],[Hand Size]])-30.577))),0)</f>
        <v>10</v>
      </c>
    </row>
    <row r="143" spans="1:40">
      <c r="A143">
        <v>2020</v>
      </c>
      <c r="B143">
        <v>8</v>
      </c>
      <c r="C143" t="s">
        <v>219</v>
      </c>
      <c r="D143" t="s">
        <v>190</v>
      </c>
      <c r="G143">
        <f>SUMIFS('NFL QB Data By Year'!$Q:$Q,'NFL QB Data By Year'!$D:$D,Table2[[#This Row],[Player Name]],'NFL QB Data By Year'!$B:$B,Table2[[#This Row],[Draft Year]]+G$1)</f>
        <v>0</v>
      </c>
      <c r="H143">
        <f>SUMIFS('NFL QB Data By Year'!$P:$P,'NFL QB Data By Year'!$D:$D,Table2[[#This Row],[Player Name]],'NFL QB Data By Year'!$B:$B,Table2[[#This Row],[Draft Year]]+H$1)</f>
        <v>0</v>
      </c>
      <c r="I143">
        <f>SUMIFS('NFL QB Data By Year'!$Q:$Q,'NFL QB Data By Year'!$D:$D,Table2[[#This Row],[Player Name]],'NFL QB Data By Year'!$B:$B,Table2[[#This Row],[Draft Year]]+I$1)</f>
        <v>0</v>
      </c>
      <c r="J143">
        <f>SUMIFS('NFL QB Data By Year'!$P:$P,'NFL QB Data By Year'!$D:$D,Table2[[#This Row],[Player Name]],'NFL QB Data By Year'!$B:$B,Table2[[#This Row],[Draft Year]]+J$1)</f>
        <v>0</v>
      </c>
      <c r="K143">
        <f>SUMIFS('NFL QB Data By Year'!$Q:$Q,'NFL QB Data By Year'!$D:$D,Table2[[#This Row],[Player Name]],'NFL QB Data By Year'!$B:$B,Table2[[#This Row],[Draft Year]]+K$1)</f>
        <v>0</v>
      </c>
      <c r="L143">
        <f>SUMIFS('NFL QB Data By Year'!$P:$P,'NFL QB Data By Year'!$D:$D,Table2[[#This Row],[Player Name]],'NFL QB Data By Year'!$B:$B,Table2[[#This Row],[Draft Year]]+L$1)</f>
        <v>0</v>
      </c>
      <c r="M143">
        <f>Table2[[#This Row],[Year 1 G]]+Table2[[#This Row],[Year 2 G]]+Table2[[#This Row],[Year 3 G]]</f>
        <v>0</v>
      </c>
      <c r="N143">
        <f>Table2[[#This Row],[Year 1 FPTs]]+Table2[[#This Row],[Year 2 FPTs]]+Table2[[#This Row],[Year 3 FPTs]]</f>
        <v>0</v>
      </c>
      <c r="O143" s="18">
        <f>IFERROR(Table2[[#This Row],[Total FPTs]]/Table2[[#This Row],[Total G]],0)</f>
        <v>0</v>
      </c>
      <c r="Q143" s="8">
        <f>1249/7530</f>
        <v>0.16586985391766268</v>
      </c>
      <c r="R143" s="11">
        <f>47/1249</f>
        <v>3.7630104083266613E-2</v>
      </c>
      <c r="S143">
        <f>120.8</f>
        <v>120.8</v>
      </c>
      <c r="T143" s="7">
        <f>47/32</f>
        <v>1.46875</v>
      </c>
      <c r="U143" s="7">
        <f>1249/346</f>
        <v>3.6098265895953756</v>
      </c>
      <c r="V143">
        <v>6.6</v>
      </c>
      <c r="W143">
        <v>6.2</v>
      </c>
      <c r="X143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3">
        <v>4.95</v>
      </c>
      <c r="Z143">
        <v>10.625</v>
      </c>
      <c r="AD143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43">
        <f>ROUND(IF(Table2[[#This Row],[Draft Round]]=1,10,IF(Table2[[#This Row],[Draft Round]]=8,0,10/(20.884*EXP(-0.381*1))*(20.884*EXP(-0.381*Table2[[#This Row],[Draft Round]])))),0)</f>
        <v>0</v>
      </c>
      <c r="AF143">
        <f>ROUND(IF(Table2[[#This Row],[College BF Dominator]]&gt;0.3,10,IF(Table2[[#This Row],[College BF Dominator]]&lt;-0.156,0,10/(20.818*0.3+3.2667)*(20.818*Table2[[#This Row],[College BF Dominator]]+3.2667))),0)</f>
        <v>7</v>
      </c>
      <c r="AG143">
        <f>ROUND(IF(Table2[[#This Row],[College PTDR]]&gt;0.085,10,IF(Table2[[#This Row],[College PTDR]]&lt;0.04,0,10/(105.24*0.085-1.7837)*(105.24*Table2[[#This Row],[College PTDR]]-1.7837))),0)</f>
        <v>0</v>
      </c>
      <c r="AH143">
        <f>ROUND(IF(Table2[[#This Row],[College Passer Rating]]&gt;170,10,IF(Table2[[#This Row],[College Passer Rating]]&lt;112.475,0,10/(0.1495*170-16.815)*(0.1495*Table2[[#This Row],[College Passer Rating]]-16.815))),0)</f>
        <v>1</v>
      </c>
      <c r="AI143">
        <f>ROUND(IF(Table2[[#This Row],[PTD:INT]]&gt;4,10,IF(Table2[[#This Row],[PTD:INT]]&lt;1,0,10/(4.7442*LN(4)+0.4256)*(4.7442*LN(Table2[[#This Row],[PTD:INT]])+0.4256))),0)</f>
        <v>3</v>
      </c>
      <c r="AJ143">
        <f>ROUND(IF(Table2[[#This Row],[Patt:Ratt]]&lt;2.5,10,IF(Table2[[#This Row],[Patt:Ratt]]&gt;15,0,10/(-2.684*LN(2.5)+9.0869)*(-2.684*LN(Table2[[#This Row],[Patt:Ratt]])+9.0869))),0)</f>
        <v>9</v>
      </c>
      <c r="AK143">
        <f>ROUND(IF(Table2[[#This Row],[Y/A]]&gt;9.2,10,IF(Table2[[#This Row],[Y/A]]&lt;6.26,0,10/(2.2619*9.2-14.16)*(2.2619*Table2[[#This Row],[Y/A]]-14.16))),0)</f>
        <v>1</v>
      </c>
      <c r="AL143">
        <f>ROUND(IF(Table2[[#This Row],[AY/A]]&gt;10,10,IF(Table2[[#This Row],[AY/A]]&lt;5.51,0,10/(1.6571*10-9.1312)*(1.6571*Table2[[#This Row],[AY/A]]-9.1312))),0)</f>
        <v>2</v>
      </c>
      <c r="AM143">
        <f>ROUND(IF(Table2[[#This Row],[40 Yd Dash]]&lt;4.75,10,IF(Table2[[#This Row],[40 Yd Dash]]&gt;5.191,0,10/(-66.95*LN(4.75)+110.26)*(-66.95*LN(Table2[[#This Row],[40 Yd Dash]])+110.26))),0)</f>
        <v>5</v>
      </c>
      <c r="AN143">
        <f>ROUND(IF(Table2[[#This Row],[Hand Size]]&gt;10.25,10,IF(Table2[[#This Row],[Hand Size]]&lt;9,0,10/(15.49*LN(10.25)-30.577)*(15.49*LN(Table2[[#This Row],[Hand Size]])-30.577))),0)</f>
        <v>10</v>
      </c>
    </row>
    <row r="144" spans="1:40">
      <c r="A144">
        <v>2020</v>
      </c>
      <c r="B144">
        <v>2</v>
      </c>
      <c r="C144" t="s">
        <v>219</v>
      </c>
      <c r="D144" t="s">
        <v>171</v>
      </c>
      <c r="E144">
        <v>6.14</v>
      </c>
      <c r="G144">
        <f>SUMIFS('NFL QB Data By Year'!$Q:$Q,'NFL QB Data By Year'!$D:$D,Table2[[#This Row],[Player Name]],'NFL QB Data By Year'!$B:$B,Table2[[#This Row],[Draft Year]]+G$1)</f>
        <v>15</v>
      </c>
      <c r="H144">
        <f>SUMIFS('NFL QB Data By Year'!$P:$P,'NFL QB Data By Year'!$D:$D,Table2[[#This Row],[Player Name]],'NFL QB Data By Year'!$B:$B,Table2[[#This Row],[Draft Year]]+H$1)</f>
        <v>113</v>
      </c>
      <c r="I144">
        <f>SUMIFS('NFL QB Data By Year'!$Q:$Q,'NFL QB Data By Year'!$D:$D,Table2[[#This Row],[Player Name]],'NFL QB Data By Year'!$B:$B,Table2[[#This Row],[Draft Year]]+I$1)</f>
        <v>15</v>
      </c>
      <c r="J144">
        <f>SUMIFS('NFL QB Data By Year'!$P:$P,'NFL QB Data By Year'!$D:$D,Table2[[#This Row],[Player Name]],'NFL QB Data By Year'!$B:$B,Table2[[#This Row],[Draft Year]]+J$1)</f>
        <v>321.2</v>
      </c>
      <c r="K144">
        <f>SUMIFS('NFL QB Data By Year'!$Q:$Q,'NFL QB Data By Year'!$D:$D,Table2[[#This Row],[Player Name]],'NFL QB Data By Year'!$B:$B,Table2[[#This Row],[Draft Year]]+K$1)</f>
        <v>0</v>
      </c>
      <c r="L144">
        <f>SUMIFS('NFL QB Data By Year'!$P:$P,'NFL QB Data By Year'!$D:$D,Table2[[#This Row],[Player Name]],'NFL QB Data By Year'!$B:$B,Table2[[#This Row],[Draft Year]]+L$1)</f>
        <v>0</v>
      </c>
      <c r="M144">
        <f>Table2[[#This Row],[Year 1 G]]+Table2[[#This Row],[Year 2 G]]+Table2[[#This Row],[Year 3 G]]</f>
        <v>30</v>
      </c>
      <c r="N144">
        <f>Table2[[#This Row],[Year 1 FPTs]]+Table2[[#This Row],[Year 2 FPTs]]+Table2[[#This Row],[Year 3 FPTs]]</f>
        <v>434.2</v>
      </c>
      <c r="O144" s="18">
        <f>IFERROR(Table2[[#This Row],[Total FPTs]]/Table2[[#This Row],[Total G]],0)</f>
        <v>14.473333333333333</v>
      </c>
      <c r="Q144" s="8">
        <f>3274/(3675+3509+2976+3363)</f>
        <v>0.2421060415588257</v>
      </c>
      <c r="R144" s="11">
        <f>80/1047</f>
        <v>7.6408787010506213E-2</v>
      </c>
      <c r="S144">
        <f>162.6</f>
        <v>162.6</v>
      </c>
      <c r="T144" s="7">
        <f>80/20</f>
        <v>4</v>
      </c>
      <c r="U144" s="7">
        <f>1047/614</f>
        <v>1.7052117263843649</v>
      </c>
      <c r="V144">
        <f>9.1</f>
        <v>9.1</v>
      </c>
      <c r="W144">
        <v>9.6999999999999993</v>
      </c>
      <c r="X144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4">
        <v>4.59</v>
      </c>
      <c r="Z144">
        <v>9.75</v>
      </c>
      <c r="AD144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44">
        <f>ROUND(IF(Table2[[#This Row],[Draft Round]]=1,10,IF(Table2[[#This Row],[Draft Round]]=8,0,10/(20.884*EXP(-0.381*1))*(20.884*EXP(-0.381*Table2[[#This Row],[Draft Round]])))),0)</f>
        <v>7</v>
      </c>
      <c r="AF144">
        <f>ROUND(IF(Table2[[#This Row],[College BF Dominator]]&gt;0.3,10,IF(Table2[[#This Row],[College BF Dominator]]&lt;-0.156,0,10/(20.818*0.3+3.2667)*(20.818*Table2[[#This Row],[College BF Dominator]]+3.2667))),0)</f>
        <v>9</v>
      </c>
      <c r="AG144">
        <f>ROUND(IF(Table2[[#This Row],[College PTDR]]&gt;0.085,10,IF(Table2[[#This Row],[College PTDR]]&lt;0.04,0,10/(105.24*0.085-1.7837)*(105.24*Table2[[#This Row],[College PTDR]]-1.7837))),0)</f>
        <v>9</v>
      </c>
      <c r="AH144">
        <f>ROUND(IF(Table2[[#This Row],[College Passer Rating]]&gt;170,10,IF(Table2[[#This Row],[College Passer Rating]]&lt;112.475,0,10/(0.1495*170-16.815)*(0.1495*Table2[[#This Row],[College Passer Rating]]-16.815))),0)</f>
        <v>9</v>
      </c>
      <c r="AI144">
        <f>ROUND(IF(Table2[[#This Row],[PTD:INT]]&gt;4,10,IF(Table2[[#This Row],[PTD:INT]]&lt;1,0,10/(4.7442*LN(4)+0.4256)*(4.7442*LN(Table2[[#This Row],[PTD:INT]])+0.4256))),0)</f>
        <v>10</v>
      </c>
      <c r="AJ144">
        <f>ROUND(IF(Table2[[#This Row],[Patt:Ratt]]&lt;2.5,10,IF(Table2[[#This Row],[Patt:Ratt]]&gt;15,0,10/(-2.684*LN(2.5)+9.0869)*(-2.684*LN(Table2[[#This Row],[Patt:Ratt]])+9.0869))),0)</f>
        <v>10</v>
      </c>
      <c r="AK144">
        <f>ROUND(IF(Table2[[#This Row],[Y/A]]&gt;9.2,10,IF(Table2[[#This Row],[Y/A]]&lt;6.26,0,10/(2.2619*9.2-14.16)*(2.2619*Table2[[#This Row],[Y/A]]-14.16))),0)</f>
        <v>10</v>
      </c>
      <c r="AL144">
        <f>ROUND(IF(Table2[[#This Row],[AY/A]]&gt;10,10,IF(Table2[[#This Row],[AY/A]]&lt;5.51,0,10/(1.6571*10-9.1312)*(1.6571*Table2[[#This Row],[AY/A]]-9.1312))),0)</f>
        <v>9</v>
      </c>
      <c r="AM144">
        <f>ROUND(IF(Table2[[#This Row],[40 Yd Dash]]&lt;4.75,10,IF(Table2[[#This Row],[40 Yd Dash]]&gt;5.191,0,10/(-66.95*LN(4.75)+110.26)*(-66.95*LN(Table2[[#This Row],[40 Yd Dash]])+110.26))),0)</f>
        <v>10</v>
      </c>
      <c r="AN144">
        <f>ROUND(IF(Table2[[#This Row],[Hand Size]]&gt;10.25,10,IF(Table2[[#This Row],[Hand Size]]&lt;9,0,10/(15.49*LN(10.25)-30.577)*(15.49*LN(Table2[[#This Row],[Hand Size]])-30.577))),0)</f>
        <v>9</v>
      </c>
    </row>
    <row r="145" spans="1:40">
      <c r="A145">
        <v>2020</v>
      </c>
      <c r="B145">
        <v>1</v>
      </c>
      <c r="C145" t="s">
        <v>219</v>
      </c>
      <c r="D145" t="s">
        <v>169</v>
      </c>
      <c r="E145">
        <v>6.45</v>
      </c>
      <c r="G145">
        <f>SUMIFS('NFL QB Data By Year'!$Q:$Q,'NFL QB Data By Year'!$D:$D,Table2[[#This Row],[Player Name]],'NFL QB Data By Year'!$B:$B,Table2[[#This Row],[Draft Year]]+G$1)</f>
        <v>15</v>
      </c>
      <c r="H145">
        <f>SUMIFS('NFL QB Data By Year'!$P:$P,'NFL QB Data By Year'!$D:$D,Table2[[#This Row],[Player Name]],'NFL QB Data By Year'!$B:$B,Table2[[#This Row],[Draft Year]]+H$1)</f>
        <v>342.8</v>
      </c>
      <c r="I145">
        <f>SUMIFS('NFL QB Data By Year'!$Q:$Q,'NFL QB Data By Year'!$D:$D,Table2[[#This Row],[Player Name]],'NFL QB Data By Year'!$B:$B,Table2[[#This Row],[Draft Year]]+I$1)</f>
        <v>17</v>
      </c>
      <c r="J145">
        <f>SUMIFS('NFL QB Data By Year'!$P:$P,'NFL QB Data By Year'!$D:$D,Table2[[#This Row],[Player Name]],'NFL QB Data By Year'!$B:$B,Table2[[#This Row],[Draft Year]]+J$1)</f>
        <v>395.6</v>
      </c>
      <c r="K145">
        <f>SUMIFS('NFL QB Data By Year'!$Q:$Q,'NFL QB Data By Year'!$D:$D,Table2[[#This Row],[Player Name]],'NFL QB Data By Year'!$B:$B,Table2[[#This Row],[Draft Year]]+K$1)</f>
        <v>0</v>
      </c>
      <c r="L145">
        <f>SUMIFS('NFL QB Data By Year'!$P:$P,'NFL QB Data By Year'!$D:$D,Table2[[#This Row],[Player Name]],'NFL QB Data By Year'!$B:$B,Table2[[#This Row],[Draft Year]]+L$1)</f>
        <v>0</v>
      </c>
      <c r="M145">
        <f>Table2[[#This Row],[Year 1 G]]+Table2[[#This Row],[Year 2 G]]+Table2[[#This Row],[Year 3 G]]</f>
        <v>32</v>
      </c>
      <c r="N145">
        <f>Table2[[#This Row],[Year 1 FPTs]]+Table2[[#This Row],[Year 2 FPTs]]+Table2[[#This Row],[Year 3 FPTs]]</f>
        <v>738.40000000000009</v>
      </c>
      <c r="O145" s="18">
        <f>IFERROR(Table2[[#This Row],[Total FPTs]]/Table2[[#This Row],[Total G]],0)</f>
        <v>23.075000000000003</v>
      </c>
      <c r="Q145" s="8">
        <f>560/(2717+3263+2332+2448)</f>
        <v>5.204460966542751E-2</v>
      </c>
      <c r="R145" s="11">
        <f>95/1293</f>
        <v>7.3472544470224291E-2</v>
      </c>
      <c r="S145">
        <f>153.1</f>
        <v>153.1</v>
      </c>
      <c r="T145" s="7">
        <f>95/23</f>
        <v>4.1304347826086953</v>
      </c>
      <c r="U145" s="7">
        <f>1293/231</f>
        <v>5.5974025974025974</v>
      </c>
      <c r="V145">
        <v>8.1999999999999993</v>
      </c>
      <c r="W145">
        <v>8.8000000000000007</v>
      </c>
      <c r="X145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5">
        <v>4.68</v>
      </c>
      <c r="Z145">
        <v>10</v>
      </c>
      <c r="AD145">
        <f>ROUND(IF(Table2[[#This Row],[LZ Grade]]=0,10/(9.297*7-49.141)*(9.297*5.723-49.141),IF(Table2[[#This Row],[LZ Grade]]&lt;5.285,0,IF(Table2[[#This Row],[LZ Grade]]&gt;=7,10,10/(9.297*7-49.141)*(9.297*Table2[[#This Row],[LZ Grade]]-49.141)))),0)</f>
        <v>7</v>
      </c>
      <c r="AE145">
        <f>ROUND(IF(Table2[[#This Row],[Draft Round]]=1,10,IF(Table2[[#This Row],[Draft Round]]=8,0,10/(20.884*EXP(-0.381*1))*(20.884*EXP(-0.381*Table2[[#This Row],[Draft Round]])))),0)</f>
        <v>10</v>
      </c>
      <c r="AF145">
        <f>ROUND(IF(Table2[[#This Row],[College BF Dominator]]&gt;0.3,10,IF(Table2[[#This Row],[College BF Dominator]]&lt;-0.156,0,10/(20.818*0.3+3.2667)*(20.818*Table2[[#This Row],[College BF Dominator]]+3.2667))),0)</f>
        <v>5</v>
      </c>
      <c r="AG145">
        <f>ROUND(IF(Table2[[#This Row],[College PTDR]]&gt;0.085,10,IF(Table2[[#This Row],[College PTDR]]&lt;0.04,0,10/(105.24*0.085-1.7837)*(105.24*Table2[[#This Row],[College PTDR]]-1.7837))),0)</f>
        <v>8</v>
      </c>
      <c r="AH145">
        <f>ROUND(IF(Table2[[#This Row],[College Passer Rating]]&gt;170,10,IF(Table2[[#This Row],[College Passer Rating]]&lt;112.475,0,10/(0.1495*170-16.815)*(0.1495*Table2[[#This Row],[College Passer Rating]]-16.815))),0)</f>
        <v>7</v>
      </c>
      <c r="AI145">
        <f>ROUND(IF(Table2[[#This Row],[PTD:INT]]&gt;4,10,IF(Table2[[#This Row],[PTD:INT]]&lt;1,0,10/(4.7442*LN(4)+0.4256)*(4.7442*LN(Table2[[#This Row],[PTD:INT]])+0.4256))),0)</f>
        <v>10</v>
      </c>
      <c r="AJ145">
        <f>ROUND(IF(Table2[[#This Row],[Patt:Ratt]]&lt;2.5,10,IF(Table2[[#This Row],[Patt:Ratt]]&gt;15,0,10/(-2.684*LN(2.5)+9.0869)*(-2.684*LN(Table2[[#This Row],[Patt:Ratt]])+9.0869))),0)</f>
        <v>7</v>
      </c>
      <c r="AK145">
        <f>ROUND(IF(Table2[[#This Row],[Y/A]]&gt;9.2,10,IF(Table2[[#This Row],[Y/A]]&lt;6.26,0,10/(2.2619*9.2-14.16)*(2.2619*Table2[[#This Row],[Y/A]]-14.16))),0)</f>
        <v>7</v>
      </c>
      <c r="AL145">
        <f>ROUND(IF(Table2[[#This Row],[AY/A]]&gt;10,10,IF(Table2[[#This Row],[AY/A]]&lt;5.51,0,10/(1.6571*10-9.1312)*(1.6571*Table2[[#This Row],[AY/A]]-9.1312))),0)</f>
        <v>7</v>
      </c>
      <c r="AM145">
        <f>ROUND(IF(Table2[[#This Row],[40 Yd Dash]]&lt;4.75,10,IF(Table2[[#This Row],[40 Yd Dash]]&gt;5.191,0,10/(-66.95*LN(4.75)+110.26)*(-66.95*LN(Table2[[#This Row],[40 Yd Dash]])+110.26))),0)</f>
        <v>10</v>
      </c>
      <c r="AN145">
        <f>ROUND(IF(Table2[[#This Row],[Hand Size]]&gt;10.25,10,IF(Table2[[#This Row],[Hand Size]]&lt;9,0,10/(15.49*LN(10.25)-30.577)*(15.49*LN(Table2[[#This Row],[Hand Size]])-30.577))),0)</f>
        <v>9</v>
      </c>
    </row>
    <row r="146" spans="1:40">
      <c r="A146">
        <v>2020</v>
      </c>
      <c r="B146">
        <v>8</v>
      </c>
      <c r="C146" t="s">
        <v>219</v>
      </c>
      <c r="D146" t="s">
        <v>183</v>
      </c>
      <c r="E146">
        <v>5.58</v>
      </c>
      <c r="G146">
        <f>SUMIFS('NFL QB Data By Year'!$Q:$Q,'NFL QB Data By Year'!$D:$D,Table2[[#This Row],[Player Name]],'NFL QB Data By Year'!$B:$B,Table2[[#This Row],[Draft Year]]+G$1)</f>
        <v>0</v>
      </c>
      <c r="H146">
        <f>SUMIFS('NFL QB Data By Year'!$P:$P,'NFL QB Data By Year'!$D:$D,Table2[[#This Row],[Player Name]],'NFL QB Data By Year'!$B:$B,Table2[[#This Row],[Draft Year]]+H$1)</f>
        <v>0</v>
      </c>
      <c r="I146">
        <f>SUMIFS('NFL QB Data By Year'!$Q:$Q,'NFL QB Data By Year'!$D:$D,Table2[[#This Row],[Player Name]],'NFL QB Data By Year'!$B:$B,Table2[[#This Row],[Draft Year]]+I$1)</f>
        <v>0</v>
      </c>
      <c r="J146">
        <f>SUMIFS('NFL QB Data By Year'!$P:$P,'NFL QB Data By Year'!$D:$D,Table2[[#This Row],[Player Name]],'NFL QB Data By Year'!$B:$B,Table2[[#This Row],[Draft Year]]+J$1)</f>
        <v>0</v>
      </c>
      <c r="K146">
        <f>SUMIFS('NFL QB Data By Year'!$Q:$Q,'NFL QB Data By Year'!$D:$D,Table2[[#This Row],[Player Name]],'NFL QB Data By Year'!$B:$B,Table2[[#This Row],[Draft Year]]+K$1)</f>
        <v>0</v>
      </c>
      <c r="L146">
        <f>SUMIFS('NFL QB Data By Year'!$P:$P,'NFL QB Data By Year'!$D:$D,Table2[[#This Row],[Player Name]],'NFL QB Data By Year'!$B:$B,Table2[[#This Row],[Draft Year]]+L$1)</f>
        <v>0</v>
      </c>
      <c r="M146">
        <f>Table2[[#This Row],[Year 1 G]]+Table2[[#This Row],[Year 2 G]]+Table2[[#This Row],[Year 3 G]]</f>
        <v>0</v>
      </c>
      <c r="N146">
        <f>Table2[[#This Row],[Year 1 FPTs]]+Table2[[#This Row],[Year 2 FPTs]]+Table2[[#This Row],[Year 3 FPTs]]</f>
        <v>0</v>
      </c>
      <c r="O146" s="18">
        <f>IFERROR(Table2[[#This Row],[Total FPTs]]/Table2[[#This Row],[Total G]],0)</f>
        <v>0</v>
      </c>
      <c r="Q146" s="8">
        <f>-20/1895</f>
        <v>-1.0554089709762533E-2</v>
      </c>
      <c r="R146" s="11">
        <f>48/694</f>
        <v>6.9164265129683003E-2</v>
      </c>
      <c r="S146">
        <f>157.1</f>
        <v>157.1</v>
      </c>
      <c r="T146" s="7">
        <f>48/17</f>
        <v>2.8235294117647061</v>
      </c>
      <c r="U146" s="7">
        <f>694/51</f>
        <v>13.607843137254902</v>
      </c>
      <c r="V146">
        <f>8.1</f>
        <v>8.1</v>
      </c>
      <c r="W146">
        <v>8.3000000000000007</v>
      </c>
      <c r="X146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6">
        <v>4.8600000000000003</v>
      </c>
      <c r="Z146">
        <v>9.75</v>
      </c>
      <c r="AD146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46">
        <f>ROUND(IF(Table2[[#This Row],[Draft Round]]=1,10,IF(Table2[[#This Row],[Draft Round]]=8,0,10/(20.884*EXP(-0.381*1))*(20.884*EXP(-0.381*Table2[[#This Row],[Draft Round]])))),0)</f>
        <v>0</v>
      </c>
      <c r="AF146">
        <f>ROUND(IF(Table2[[#This Row],[College BF Dominator]]&gt;0.3,10,IF(Table2[[#This Row],[College BF Dominator]]&lt;-0.156,0,10/(20.818*0.3+3.2667)*(20.818*Table2[[#This Row],[College BF Dominator]]+3.2667))),0)</f>
        <v>3</v>
      </c>
      <c r="AG146">
        <f>ROUND(IF(Table2[[#This Row],[College PTDR]]&gt;0.085,10,IF(Table2[[#This Row],[College PTDR]]&lt;0.04,0,10/(105.24*0.085-1.7837)*(105.24*Table2[[#This Row],[College PTDR]]-1.7837))),0)</f>
        <v>8</v>
      </c>
      <c r="AH146">
        <f>ROUND(IF(Table2[[#This Row],[College Passer Rating]]&gt;170,10,IF(Table2[[#This Row],[College Passer Rating]]&lt;112.475,0,10/(0.1495*170-16.815)*(0.1495*Table2[[#This Row],[College Passer Rating]]-16.815))),0)</f>
        <v>8</v>
      </c>
      <c r="AI146">
        <f>ROUND(IF(Table2[[#This Row],[PTD:INT]]&gt;4,10,IF(Table2[[#This Row],[PTD:INT]]&lt;1,0,10/(4.7442*LN(4)+0.4256)*(4.7442*LN(Table2[[#This Row],[PTD:INT]])+0.4256))),0)</f>
        <v>8</v>
      </c>
      <c r="AJ146">
        <f>ROUND(IF(Table2[[#This Row],[Patt:Ratt]]&lt;2.5,10,IF(Table2[[#This Row],[Patt:Ratt]]&gt;15,0,10/(-2.684*LN(2.5)+9.0869)*(-2.684*LN(Table2[[#This Row],[Patt:Ratt]])+9.0869))),0)</f>
        <v>3</v>
      </c>
      <c r="AK146">
        <f>ROUND(IF(Table2[[#This Row],[Y/A]]&gt;9.2,10,IF(Table2[[#This Row],[Y/A]]&lt;6.26,0,10/(2.2619*9.2-14.16)*(2.2619*Table2[[#This Row],[Y/A]]-14.16))),0)</f>
        <v>6</v>
      </c>
      <c r="AL146">
        <f>ROUND(IF(Table2[[#This Row],[AY/A]]&gt;10,10,IF(Table2[[#This Row],[AY/A]]&lt;5.51,0,10/(1.6571*10-9.1312)*(1.6571*Table2[[#This Row],[AY/A]]-9.1312))),0)</f>
        <v>6</v>
      </c>
      <c r="AM146">
        <f>ROUND(IF(Table2[[#This Row],[40 Yd Dash]]&lt;4.75,10,IF(Table2[[#This Row],[40 Yd Dash]]&gt;5.191,0,10/(-66.95*LN(4.75)+110.26)*(-66.95*LN(Table2[[#This Row],[40 Yd Dash]])+110.26))),0)</f>
        <v>7</v>
      </c>
      <c r="AN146">
        <f>ROUND(IF(Table2[[#This Row],[Hand Size]]&gt;10.25,10,IF(Table2[[#This Row],[Hand Size]]&lt;9,0,10/(15.49*LN(10.25)-30.577)*(15.49*LN(Table2[[#This Row],[Hand Size]])-30.577))),0)</f>
        <v>9</v>
      </c>
    </row>
    <row r="147" spans="1:40">
      <c r="A147">
        <v>2020</v>
      </c>
      <c r="B147">
        <v>5</v>
      </c>
      <c r="C147" t="s">
        <v>219</v>
      </c>
      <c r="D147" t="s">
        <v>173</v>
      </c>
      <c r="E147">
        <v>6.16</v>
      </c>
      <c r="G147">
        <f>SUMIFS('NFL QB Data By Year'!$Q:$Q,'NFL QB Data By Year'!$D:$D,Table2[[#This Row],[Player Name]],'NFL QB Data By Year'!$B:$B,Table2[[#This Row],[Draft Year]]+G$1)</f>
        <v>0</v>
      </c>
      <c r="H147">
        <f>SUMIFS('NFL QB Data By Year'!$P:$P,'NFL QB Data By Year'!$D:$D,Table2[[#This Row],[Player Name]],'NFL QB Data By Year'!$B:$B,Table2[[#This Row],[Draft Year]]+H$1)</f>
        <v>0</v>
      </c>
      <c r="I147">
        <f>SUMIFS('NFL QB Data By Year'!$Q:$Q,'NFL QB Data By Year'!$D:$D,Table2[[#This Row],[Player Name]],'NFL QB Data By Year'!$B:$B,Table2[[#This Row],[Draft Year]]+I$1)</f>
        <v>3</v>
      </c>
      <c r="J147">
        <f>SUMIFS('NFL QB Data By Year'!$P:$P,'NFL QB Data By Year'!$D:$D,Table2[[#This Row],[Player Name]],'NFL QB Data By Year'!$B:$B,Table2[[#This Row],[Draft Year]]+J$1)</f>
        <v>13.9</v>
      </c>
      <c r="K147">
        <f>SUMIFS('NFL QB Data By Year'!$Q:$Q,'NFL QB Data By Year'!$D:$D,Table2[[#This Row],[Player Name]],'NFL QB Data By Year'!$B:$B,Table2[[#This Row],[Draft Year]]+K$1)</f>
        <v>0</v>
      </c>
      <c r="L147">
        <f>SUMIFS('NFL QB Data By Year'!$P:$P,'NFL QB Data By Year'!$D:$D,Table2[[#This Row],[Player Name]],'NFL QB Data By Year'!$B:$B,Table2[[#This Row],[Draft Year]]+L$1)</f>
        <v>0</v>
      </c>
      <c r="M147">
        <f>Table2[[#This Row],[Year 1 G]]+Table2[[#This Row],[Year 2 G]]+Table2[[#This Row],[Year 3 G]]</f>
        <v>3</v>
      </c>
      <c r="N147">
        <f>Table2[[#This Row],[Year 1 FPTs]]+Table2[[#This Row],[Year 2 FPTs]]+Table2[[#This Row],[Year 3 FPTs]]</f>
        <v>13.9</v>
      </c>
      <c r="O147" s="18">
        <f>IFERROR(Table2[[#This Row],[Total FPTs]]/Table2[[#This Row],[Total G]],0)</f>
        <v>4.6333333333333337</v>
      </c>
      <c r="Q147" s="8">
        <f>40/(3876+3343+2591)</f>
        <v>4.0774719673802246E-3</v>
      </c>
      <c r="R147" s="11">
        <f>78/982</f>
        <v>7.9429735234215884E-2</v>
      </c>
      <c r="S147">
        <v>156.1</v>
      </c>
      <c r="T147" s="7">
        <f>78/18</f>
        <v>4.333333333333333</v>
      </c>
      <c r="U147" s="7">
        <f>982/134</f>
        <v>7.3283582089552235</v>
      </c>
      <c r="V147">
        <f>8.4</f>
        <v>8.4</v>
      </c>
      <c r="W147">
        <v>9.1</v>
      </c>
      <c r="X147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7">
        <v>5.01</v>
      </c>
      <c r="Z147">
        <v>8.875</v>
      </c>
      <c r="AD147">
        <f>ROUND(IF(Table2[[#This Row],[LZ Grade]]=0,10/(9.297*7-49.141)*(9.297*5.723-49.141),IF(Table2[[#This Row],[LZ Grade]]&lt;5.285,0,IF(Table2[[#This Row],[LZ Grade]]&gt;=7,10,10/(9.297*7-49.141)*(9.297*Table2[[#This Row],[LZ Grade]]-49.141)))),0)</f>
        <v>5</v>
      </c>
      <c r="AE147">
        <f>ROUND(IF(Table2[[#This Row],[Draft Round]]=1,10,IF(Table2[[#This Row],[Draft Round]]=8,0,10/(20.884*EXP(-0.381*1))*(20.884*EXP(-0.381*Table2[[#This Row],[Draft Round]])))),0)</f>
        <v>2</v>
      </c>
      <c r="AF147">
        <f>ROUND(IF(Table2[[#This Row],[College BF Dominator]]&gt;0.3,10,IF(Table2[[#This Row],[College BF Dominator]]&lt;-0.156,0,10/(20.818*0.3+3.2667)*(20.818*Table2[[#This Row],[College BF Dominator]]+3.2667))),0)</f>
        <v>4</v>
      </c>
      <c r="AG147">
        <f>ROUND(IF(Table2[[#This Row],[College PTDR]]&gt;0.085,10,IF(Table2[[#This Row],[College PTDR]]&lt;0.04,0,10/(105.24*0.085-1.7837)*(105.24*Table2[[#This Row],[College PTDR]]-1.7837))),0)</f>
        <v>9</v>
      </c>
      <c r="AH147">
        <f>ROUND(IF(Table2[[#This Row],[College Passer Rating]]&gt;170,10,IF(Table2[[#This Row],[College Passer Rating]]&lt;112.475,0,10/(0.1495*170-16.815)*(0.1495*Table2[[#This Row],[College Passer Rating]]-16.815))),0)</f>
        <v>8</v>
      </c>
      <c r="AI147">
        <f>ROUND(IF(Table2[[#This Row],[PTD:INT]]&gt;4,10,IF(Table2[[#This Row],[PTD:INT]]&lt;1,0,10/(4.7442*LN(4)+0.4256)*(4.7442*LN(Table2[[#This Row],[PTD:INT]])+0.4256))),0)</f>
        <v>10</v>
      </c>
      <c r="AJ147">
        <f>ROUND(IF(Table2[[#This Row],[Patt:Ratt]]&lt;2.5,10,IF(Table2[[#This Row],[Patt:Ratt]]&gt;15,0,10/(-2.684*LN(2.5)+9.0869)*(-2.684*LN(Table2[[#This Row],[Patt:Ratt]])+9.0869))),0)</f>
        <v>6</v>
      </c>
      <c r="AK147">
        <f>ROUND(IF(Table2[[#This Row],[Y/A]]&gt;9.2,10,IF(Table2[[#This Row],[Y/A]]&lt;6.26,0,10/(2.2619*9.2-14.16)*(2.2619*Table2[[#This Row],[Y/A]]-14.16))),0)</f>
        <v>7</v>
      </c>
      <c r="AL147">
        <f>ROUND(IF(Table2[[#This Row],[AY/A]]&gt;10,10,IF(Table2[[#This Row],[AY/A]]&lt;5.51,0,10/(1.6571*10-9.1312)*(1.6571*Table2[[#This Row],[AY/A]]-9.1312))),0)</f>
        <v>8</v>
      </c>
      <c r="AM147">
        <f>ROUND(IF(Table2[[#This Row],[40 Yd Dash]]&lt;4.75,10,IF(Table2[[#This Row],[40 Yd Dash]]&gt;5.191,0,10/(-66.95*LN(4.75)+110.26)*(-66.95*LN(Table2[[#This Row],[40 Yd Dash]])+110.26))),0)</f>
        <v>4</v>
      </c>
      <c r="AN147">
        <f>ROUND(IF(Table2[[#This Row],[Hand Size]]&gt;10.25,10,IF(Table2[[#This Row],[Hand Size]]&lt;9,0,10/(15.49*LN(10.25)-30.577)*(15.49*LN(Table2[[#This Row],[Hand Size]])-30.577))),0)</f>
        <v>0</v>
      </c>
    </row>
    <row r="148" spans="1:40">
      <c r="A148">
        <v>2020</v>
      </c>
      <c r="B148">
        <v>4</v>
      </c>
      <c r="C148" t="s">
        <v>219</v>
      </c>
      <c r="D148" t="s">
        <v>172</v>
      </c>
      <c r="E148">
        <v>6.25</v>
      </c>
      <c r="G148">
        <f>SUMIFS('NFL QB Data By Year'!$Q:$Q,'NFL QB Data By Year'!$D:$D,Table2[[#This Row],[Player Name]],'NFL QB Data By Year'!$B:$B,Table2[[#This Row],[Draft Year]]+G$1)</f>
        <v>0</v>
      </c>
      <c r="H148">
        <f>SUMIFS('NFL QB Data By Year'!$P:$P,'NFL QB Data By Year'!$D:$D,Table2[[#This Row],[Player Name]],'NFL QB Data By Year'!$B:$B,Table2[[#This Row],[Draft Year]]+H$1)</f>
        <v>0</v>
      </c>
      <c r="I148">
        <f>SUMIFS('NFL QB Data By Year'!$Q:$Q,'NFL QB Data By Year'!$D:$D,Table2[[#This Row],[Player Name]],'NFL QB Data By Year'!$B:$B,Table2[[#This Row],[Draft Year]]+I$1)</f>
        <v>1</v>
      </c>
      <c r="J148">
        <f>SUMIFS('NFL QB Data By Year'!$P:$P,'NFL QB Data By Year'!$D:$D,Table2[[#This Row],[Player Name]],'NFL QB Data By Year'!$B:$B,Table2[[#This Row],[Draft Year]]+J$1)</f>
        <v>0</v>
      </c>
      <c r="K148">
        <f>SUMIFS('NFL QB Data By Year'!$Q:$Q,'NFL QB Data By Year'!$D:$D,Table2[[#This Row],[Player Name]],'NFL QB Data By Year'!$B:$B,Table2[[#This Row],[Draft Year]]+K$1)</f>
        <v>0</v>
      </c>
      <c r="L148">
        <f>SUMIFS('NFL QB Data By Year'!$P:$P,'NFL QB Data By Year'!$D:$D,Table2[[#This Row],[Player Name]],'NFL QB Data By Year'!$B:$B,Table2[[#This Row],[Draft Year]]+L$1)</f>
        <v>0</v>
      </c>
      <c r="M148">
        <f>Table2[[#This Row],[Year 1 G]]+Table2[[#This Row],[Year 2 G]]+Table2[[#This Row],[Year 3 G]]</f>
        <v>1</v>
      </c>
      <c r="N148">
        <f>Table2[[#This Row],[Year 1 FPTs]]+Table2[[#This Row],[Year 2 FPTs]]+Table2[[#This Row],[Year 3 FPTs]]</f>
        <v>0</v>
      </c>
      <c r="O148" s="18">
        <f>IFERROR(Table2[[#This Row],[Total FPTs]]/Table2[[#This Row],[Total G]],0)</f>
        <v>0</v>
      </c>
      <c r="Q148" s="8">
        <f>-126/(2486+3876+1922)</f>
        <v>-1.5210043457267021E-2</v>
      </c>
      <c r="R148" s="11">
        <f>39/782</f>
        <v>4.9872122762148335E-2</v>
      </c>
      <c r="S148">
        <f>132.3</f>
        <v>132.30000000000001</v>
      </c>
      <c r="T148" s="7">
        <f>39/16</f>
        <v>2.4375</v>
      </c>
      <c r="U148" s="7">
        <f>782/82</f>
        <v>9.536585365853659</v>
      </c>
      <c r="V148">
        <v>7.1</v>
      </c>
      <c r="W148">
        <v>7.2</v>
      </c>
      <c r="X148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8">
        <v>4.8899999999999997</v>
      </c>
      <c r="Z148">
        <v>9.5</v>
      </c>
      <c r="AD148">
        <f>ROUND(IF(Table2[[#This Row],[LZ Grade]]=0,10/(9.297*7-49.141)*(9.297*5.723-49.141),IF(Table2[[#This Row],[LZ Grade]]&lt;5.285,0,IF(Table2[[#This Row],[LZ Grade]]&gt;=7,10,10/(9.297*7-49.141)*(9.297*Table2[[#This Row],[LZ Grade]]-49.141)))),0)</f>
        <v>6</v>
      </c>
      <c r="AE148">
        <f>ROUND(IF(Table2[[#This Row],[Draft Round]]=1,10,IF(Table2[[#This Row],[Draft Round]]=8,0,10/(20.884*EXP(-0.381*1))*(20.884*EXP(-0.381*Table2[[#This Row],[Draft Round]])))),0)</f>
        <v>3</v>
      </c>
      <c r="AF148">
        <f>ROUND(IF(Table2[[#This Row],[College BF Dominator]]&gt;0.3,10,IF(Table2[[#This Row],[College BF Dominator]]&lt;-0.156,0,10/(20.818*0.3+3.2667)*(20.818*Table2[[#This Row],[College BF Dominator]]+3.2667))),0)</f>
        <v>3</v>
      </c>
      <c r="AG148">
        <f>ROUND(IF(Table2[[#This Row],[College PTDR]]&gt;0.085,10,IF(Table2[[#This Row],[College PTDR]]&lt;0.04,0,10/(105.24*0.085-1.7837)*(105.24*Table2[[#This Row],[College PTDR]]-1.7837))),0)</f>
        <v>5</v>
      </c>
      <c r="AH148">
        <f>ROUND(IF(Table2[[#This Row],[College Passer Rating]]&gt;170,10,IF(Table2[[#This Row],[College Passer Rating]]&lt;112.475,0,10/(0.1495*170-16.815)*(0.1495*Table2[[#This Row],[College Passer Rating]]-16.815))),0)</f>
        <v>3</v>
      </c>
      <c r="AI148">
        <f>ROUND(IF(Table2[[#This Row],[PTD:INT]]&gt;4,10,IF(Table2[[#This Row],[PTD:INT]]&lt;1,0,10/(4.7442*LN(4)+0.4256)*(4.7442*LN(Table2[[#This Row],[PTD:INT]])+0.4256))),0)</f>
        <v>7</v>
      </c>
      <c r="AJ148">
        <f>ROUND(IF(Table2[[#This Row],[Patt:Ratt]]&lt;2.5,10,IF(Table2[[#This Row],[Patt:Ratt]]&gt;15,0,10/(-2.684*LN(2.5)+9.0869)*(-2.684*LN(Table2[[#This Row],[Patt:Ratt]])+9.0869))),0)</f>
        <v>5</v>
      </c>
      <c r="AK148">
        <f>ROUND(IF(Table2[[#This Row],[Y/A]]&gt;9.2,10,IF(Table2[[#This Row],[Y/A]]&lt;6.26,0,10/(2.2619*9.2-14.16)*(2.2619*Table2[[#This Row],[Y/A]]-14.16))),0)</f>
        <v>3</v>
      </c>
      <c r="AL148">
        <f>ROUND(IF(Table2[[#This Row],[AY/A]]&gt;10,10,IF(Table2[[#This Row],[AY/A]]&lt;5.51,0,10/(1.6571*10-9.1312)*(1.6571*Table2[[#This Row],[AY/A]]-9.1312))),0)</f>
        <v>4</v>
      </c>
      <c r="AM148">
        <f>ROUND(IF(Table2[[#This Row],[40 Yd Dash]]&lt;4.75,10,IF(Table2[[#This Row],[40 Yd Dash]]&gt;5.191,0,10/(-66.95*LN(4.75)+110.26)*(-66.95*LN(Table2[[#This Row],[40 Yd Dash]])+110.26))),0)</f>
        <v>7</v>
      </c>
      <c r="AN148">
        <f>ROUND(IF(Table2[[#This Row],[Hand Size]]&gt;10.25,10,IF(Table2[[#This Row],[Hand Size]]&lt;9,0,10/(15.49*LN(10.25)-30.577)*(15.49*LN(Table2[[#This Row],[Hand Size]])-30.577))),0)</f>
        <v>8</v>
      </c>
    </row>
    <row r="149" spans="1:40">
      <c r="A149">
        <v>2020</v>
      </c>
      <c r="B149">
        <v>8</v>
      </c>
      <c r="C149" t="s">
        <v>219</v>
      </c>
      <c r="D149" t="s">
        <v>176</v>
      </c>
      <c r="G149">
        <f>SUMIFS('NFL QB Data By Year'!$Q:$Q,'NFL QB Data By Year'!$D:$D,Table2[[#This Row],[Player Name]],'NFL QB Data By Year'!$B:$B,Table2[[#This Row],[Draft Year]]+G$1)</f>
        <v>0</v>
      </c>
      <c r="H149">
        <f>SUMIFS('NFL QB Data By Year'!$P:$P,'NFL QB Data By Year'!$D:$D,Table2[[#This Row],[Player Name]],'NFL QB Data By Year'!$B:$B,Table2[[#This Row],[Draft Year]]+H$1)</f>
        <v>0</v>
      </c>
      <c r="I149">
        <f>SUMIFS('NFL QB Data By Year'!$Q:$Q,'NFL QB Data By Year'!$D:$D,Table2[[#This Row],[Player Name]],'NFL QB Data By Year'!$B:$B,Table2[[#This Row],[Draft Year]]+I$1)</f>
        <v>0</v>
      </c>
      <c r="J149">
        <f>SUMIFS('NFL QB Data By Year'!$P:$P,'NFL QB Data By Year'!$D:$D,Table2[[#This Row],[Player Name]],'NFL QB Data By Year'!$B:$B,Table2[[#This Row],[Draft Year]]+J$1)</f>
        <v>0</v>
      </c>
      <c r="K149">
        <f>SUMIFS('NFL QB Data By Year'!$Q:$Q,'NFL QB Data By Year'!$D:$D,Table2[[#This Row],[Player Name]],'NFL QB Data By Year'!$B:$B,Table2[[#This Row],[Draft Year]]+K$1)</f>
        <v>0</v>
      </c>
      <c r="L149">
        <f>SUMIFS('NFL QB Data By Year'!$P:$P,'NFL QB Data By Year'!$D:$D,Table2[[#This Row],[Player Name]],'NFL QB Data By Year'!$B:$B,Table2[[#This Row],[Draft Year]]+L$1)</f>
        <v>0</v>
      </c>
      <c r="M149">
        <f>Table2[[#This Row],[Year 1 G]]+Table2[[#This Row],[Year 2 G]]+Table2[[#This Row],[Year 3 G]]</f>
        <v>0</v>
      </c>
      <c r="N149">
        <f>Table2[[#This Row],[Year 1 FPTs]]+Table2[[#This Row],[Year 2 FPTs]]+Table2[[#This Row],[Year 3 FPTs]]</f>
        <v>0</v>
      </c>
      <c r="O149" s="18">
        <f>IFERROR(Table2[[#This Row],[Total FPTs]]/Table2[[#This Row],[Total G]],0)</f>
        <v>0</v>
      </c>
      <c r="Q149" s="8" t="str">
        <f xml:space="preserve"> IFERROR(SUMIFS('College Data By Year'!J:J,'College Data By Year'!A:A,Table2[[#This Row],[Player Name]])/SUMIFS('College Data By Year'!L:L,'College Data By Year'!A:A,Table2[[#This Row],[Player Name]]),"")</f>
        <v/>
      </c>
      <c r="R149" s="11" t="str">
        <f xml:space="preserve"> IFERROR(SUMIFS('College Data By Year'!D:D,'College Data By Year'!A:A,Table2[[#This Row],[Player Name]])/SUMIFS('College Data By Year'!B:B,'College Data By Year'!A:A,Table2[[#This Row],[Player Name]]),"")</f>
        <v/>
      </c>
      <c r="S149" t="str">
        <f>IF(SUMIFS('College Data By Year'!H:H,'College Data By Year'!A:A,Table2[[#This Row],[Player Name]])=0,"",SUMIFS('College Data By Year'!H:H,'College Data By Year'!A:A,Table2[[#This Row],[Player Name]]))</f>
        <v/>
      </c>
      <c r="T149" s="7" t="str">
        <f>IFERROR(SUMIFS('College Data By Year'!D:D,'College Data By Year'!A:A,Table2[[#This Row],[Player Name]])/SUMIFS('College Data By Year'!E:E,'College Data By Year'!A:A,Table2[[#This Row],[Player Name]]),"")</f>
        <v/>
      </c>
      <c r="U149" s="7" t="str">
        <f>IFERROR(SUMIFS('College Data By Year'!B:B,'College Data By Year'!A:A,Table2[[#This Row],[Player Name]])/SUMIFS('College Data By Year'!I:I,'College Data By Year'!A:A,Table2[[#This Row],[Player Name]]),"")</f>
        <v/>
      </c>
      <c r="V149" t="str">
        <f>IF(SUMIFS('College Data By Year'!F:F,'College Data By Year'!A:A,Table2[[#This Row],[Player Name]])=0,"",SUMIFS('College Data By Year'!F:F,'College Data By Year'!A:A,Table2[[#This Row],[Player Name]]))</f>
        <v/>
      </c>
      <c r="W149" t="str">
        <f>IF(SUMIFS('College Data By Year'!G:G,'College Data By Year'!A:A,Table2[[#This Row],[Player Name]])=0,"",SUMIFS('College Data By Year'!G:G,'College Data By Year'!A:A,Table2[[#This Row],[Player Name]]))</f>
        <v/>
      </c>
      <c r="X149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49">
        <v>5</v>
      </c>
      <c r="Z149">
        <v>8.25</v>
      </c>
      <c r="AD149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49">
        <f>ROUND(IF(Table2[[#This Row],[Draft Round]]=1,10,IF(Table2[[#This Row],[Draft Round]]=8,0,10/(20.884*EXP(-0.381*1))*(20.884*EXP(-0.381*Table2[[#This Row],[Draft Round]])))),0)</f>
        <v>0</v>
      </c>
      <c r="AF149">
        <f>ROUND(IF(Table2[[#This Row],[College BF Dominator]]&gt;0.3,10,IF(Table2[[#This Row],[College BF Dominator]]&lt;-0.156,0,10/(20.818*0.3+3.2667)*(20.818*Table2[[#This Row],[College BF Dominator]]+3.2667))),0)</f>
        <v>10</v>
      </c>
      <c r="AG149">
        <f>ROUND(IF(Table2[[#This Row],[College PTDR]]&gt;0.085,10,IF(Table2[[#This Row],[College PTDR]]&lt;0.04,0,10/(105.24*0.085-1.7837)*(105.24*Table2[[#This Row],[College PTDR]]-1.7837))),0)</f>
        <v>10</v>
      </c>
      <c r="AH149">
        <f>ROUND(IF(Table2[[#This Row],[College Passer Rating]]&gt;170,10,IF(Table2[[#This Row],[College Passer Rating]]&lt;112.475,0,10/(0.1495*170-16.815)*(0.1495*Table2[[#This Row],[College Passer Rating]]-16.815))),0)</f>
        <v>10</v>
      </c>
      <c r="AI149">
        <f>ROUND(IF(Table2[[#This Row],[PTD:INT]]&gt;4,10,IF(Table2[[#This Row],[PTD:INT]]&lt;1,0,10/(4.7442*LN(4)+0.4256)*(4.7442*LN(Table2[[#This Row],[PTD:INT]])+0.4256))),0)</f>
        <v>10</v>
      </c>
      <c r="AJ149">
        <f>ROUND(IF(Table2[[#This Row],[Patt:Ratt]]&lt;2.5,10,IF(Table2[[#This Row],[Patt:Ratt]]&gt;15,0,10/(-2.684*LN(2.5)+9.0869)*(-2.684*LN(Table2[[#This Row],[Patt:Ratt]])+9.0869))),0)</f>
        <v>0</v>
      </c>
      <c r="AK149">
        <f>ROUND(IF(Table2[[#This Row],[Y/A]]&gt;9.2,10,IF(Table2[[#This Row],[Y/A]]&lt;6.26,0,10/(2.2619*9.2-14.16)*(2.2619*Table2[[#This Row],[Y/A]]-14.16))),0)</f>
        <v>10</v>
      </c>
      <c r="AL149">
        <f>ROUND(IF(Table2[[#This Row],[AY/A]]&gt;10,10,IF(Table2[[#This Row],[AY/A]]&lt;5.51,0,10/(1.6571*10-9.1312)*(1.6571*Table2[[#This Row],[AY/A]]-9.1312))),0)</f>
        <v>10</v>
      </c>
      <c r="AM149">
        <f>ROUND(IF(Table2[[#This Row],[40 Yd Dash]]&lt;4.75,10,IF(Table2[[#This Row],[40 Yd Dash]]&gt;5.191,0,10/(-66.95*LN(4.75)+110.26)*(-66.95*LN(Table2[[#This Row],[40 Yd Dash]])+110.26))),0)</f>
        <v>4</v>
      </c>
      <c r="AN149">
        <f>ROUND(IF(Table2[[#This Row],[Hand Size]]&gt;10.25,10,IF(Table2[[#This Row],[Hand Size]]&lt;9,0,10/(15.49*LN(10.25)-30.577)*(15.49*LN(Table2[[#This Row],[Hand Size]])-30.577))),0)</f>
        <v>0</v>
      </c>
    </row>
    <row r="150" spans="1:40">
      <c r="A150">
        <v>2020</v>
      </c>
      <c r="B150">
        <v>1</v>
      </c>
      <c r="C150" t="s">
        <v>219</v>
      </c>
      <c r="D150" t="s">
        <v>167</v>
      </c>
      <c r="E150">
        <v>7.07</v>
      </c>
      <c r="G150">
        <f>SUMIFS('NFL QB Data By Year'!$Q:$Q,'NFL QB Data By Year'!$D:$D,Table2[[#This Row],[Player Name]],'NFL QB Data By Year'!$B:$B,Table2[[#This Row],[Draft Year]]+G$1)</f>
        <v>10</v>
      </c>
      <c r="H150">
        <f>SUMIFS('NFL QB Data By Year'!$P:$P,'NFL QB Data By Year'!$D:$D,Table2[[#This Row],[Player Name]],'NFL QB Data By Year'!$B:$B,Table2[[#This Row],[Draft Year]]+H$1)</f>
        <v>178.6</v>
      </c>
      <c r="I150">
        <f>SUMIFS('NFL QB Data By Year'!$Q:$Q,'NFL QB Data By Year'!$D:$D,Table2[[#This Row],[Player Name]],'NFL QB Data By Year'!$B:$B,Table2[[#This Row],[Draft Year]]+I$1)</f>
        <v>16</v>
      </c>
      <c r="J150">
        <f>SUMIFS('NFL QB Data By Year'!$P:$P,'NFL QB Data By Year'!$D:$D,Table2[[#This Row],[Player Name]],'NFL QB Data By Year'!$B:$B,Table2[[#This Row],[Draft Year]]+J$1)</f>
        <v>328.1</v>
      </c>
      <c r="K150">
        <f>SUMIFS('NFL QB Data By Year'!$Q:$Q,'NFL QB Data By Year'!$D:$D,Table2[[#This Row],[Player Name]],'NFL QB Data By Year'!$B:$B,Table2[[#This Row],[Draft Year]]+K$1)</f>
        <v>0</v>
      </c>
      <c r="L150">
        <f>SUMIFS('NFL QB Data By Year'!$P:$P,'NFL QB Data By Year'!$D:$D,Table2[[#This Row],[Player Name]],'NFL QB Data By Year'!$B:$B,Table2[[#This Row],[Draft Year]]+L$1)</f>
        <v>0</v>
      </c>
      <c r="M150">
        <f>Table2[[#This Row],[Year 1 G]]+Table2[[#This Row],[Year 2 G]]+Table2[[#This Row],[Year 3 G]]</f>
        <v>26</v>
      </c>
      <c r="N150">
        <f>Table2[[#This Row],[Year 1 FPTs]]+Table2[[#This Row],[Year 2 FPTs]]+Table2[[#This Row],[Year 3 FPTs]]</f>
        <v>506.70000000000005</v>
      </c>
      <c r="O150" s="18">
        <f>IFERROR(Table2[[#This Row],[Total FPTs]]/Table2[[#This Row],[Total G]],0)</f>
        <v>19.488461538461539</v>
      </c>
      <c r="Q150" s="8">
        <f>820/(3188+3405+2257+2502)</f>
        <v>7.2233967582804787E-2</v>
      </c>
      <c r="R150" s="11">
        <f>78/945</f>
        <v>8.2539682539682538E-2</v>
      </c>
      <c r="S150">
        <f>172.4</f>
        <v>172.4</v>
      </c>
      <c r="T150" s="7">
        <f>78/11</f>
        <v>7.0909090909090908</v>
      </c>
      <c r="U150" s="7">
        <f>945/258</f>
        <v>3.6627906976744184</v>
      </c>
      <c r="V150">
        <v>9.4</v>
      </c>
      <c r="W150">
        <v>10.5</v>
      </c>
      <c r="X150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0">
        <v>4.76</v>
      </c>
      <c r="Z150">
        <v>9</v>
      </c>
      <c r="AD150">
        <f>ROUND(IF(Table2[[#This Row],[LZ Grade]]=0,10/(9.297*7-49.141)*(9.297*5.723-49.141),IF(Table2[[#This Row],[LZ Grade]]&lt;5.285,0,IF(Table2[[#This Row],[LZ Grade]]&gt;=7,10,10/(9.297*7-49.141)*(9.297*Table2[[#This Row],[LZ Grade]]-49.141)))),0)</f>
        <v>10</v>
      </c>
      <c r="AE150">
        <f>ROUND(IF(Table2[[#This Row],[Draft Round]]=1,10,IF(Table2[[#This Row],[Draft Round]]=8,0,10/(20.884*EXP(-0.381*1))*(20.884*EXP(-0.381*Table2[[#This Row],[Draft Round]])))),0)</f>
        <v>10</v>
      </c>
      <c r="AF150">
        <f>ROUND(IF(Table2[[#This Row],[College BF Dominator]]&gt;0.3,10,IF(Table2[[#This Row],[College BF Dominator]]&lt;-0.156,0,10/(20.818*0.3+3.2667)*(20.818*Table2[[#This Row],[College BF Dominator]]+3.2667))),0)</f>
        <v>5</v>
      </c>
      <c r="AG150">
        <f>ROUND(IF(Table2[[#This Row],[College PTDR]]&gt;0.085,10,IF(Table2[[#This Row],[College PTDR]]&lt;0.04,0,10/(105.24*0.085-1.7837)*(105.24*Table2[[#This Row],[College PTDR]]-1.7837))),0)</f>
        <v>10</v>
      </c>
      <c r="AH150">
        <f>ROUND(IF(Table2[[#This Row],[College Passer Rating]]&gt;170,10,IF(Table2[[#This Row],[College Passer Rating]]&lt;112.475,0,10/(0.1495*170-16.815)*(0.1495*Table2[[#This Row],[College Passer Rating]]-16.815))),0)</f>
        <v>10</v>
      </c>
      <c r="AI150">
        <f>ROUND(IF(Table2[[#This Row],[PTD:INT]]&gt;4,10,IF(Table2[[#This Row],[PTD:INT]]&lt;1,0,10/(4.7442*LN(4)+0.4256)*(4.7442*LN(Table2[[#This Row],[PTD:INT]])+0.4256))),0)</f>
        <v>10</v>
      </c>
      <c r="AJ150">
        <f>ROUND(IF(Table2[[#This Row],[Patt:Ratt]]&lt;2.5,10,IF(Table2[[#This Row],[Patt:Ratt]]&gt;15,0,10/(-2.684*LN(2.5)+9.0869)*(-2.684*LN(Table2[[#This Row],[Patt:Ratt]])+9.0869))),0)</f>
        <v>8</v>
      </c>
      <c r="AK150">
        <f>ROUND(IF(Table2[[#This Row],[Y/A]]&gt;9.2,10,IF(Table2[[#This Row],[Y/A]]&lt;6.26,0,10/(2.2619*9.2-14.16)*(2.2619*Table2[[#This Row],[Y/A]]-14.16))),0)</f>
        <v>10</v>
      </c>
      <c r="AL150">
        <f>ROUND(IF(Table2[[#This Row],[AY/A]]&gt;10,10,IF(Table2[[#This Row],[AY/A]]&lt;5.51,0,10/(1.6571*10-9.1312)*(1.6571*Table2[[#This Row],[AY/A]]-9.1312))),0)</f>
        <v>10</v>
      </c>
      <c r="AM150">
        <f>ROUND(IF(Table2[[#This Row],[40 Yd Dash]]&lt;4.75,10,IF(Table2[[#This Row],[40 Yd Dash]]&gt;5.191,0,10/(-66.95*LN(4.75)+110.26)*(-66.95*LN(Table2[[#This Row],[40 Yd Dash]])+110.26))),0)</f>
        <v>10</v>
      </c>
      <c r="AN150">
        <f>ROUND(IF(Table2[[#This Row],[Hand Size]]&gt;10.25,10,IF(Table2[[#This Row],[Hand Size]]&lt;9,0,10/(15.49*LN(10.25)-30.577)*(15.49*LN(Table2[[#This Row],[Hand Size]])-30.577))),0)</f>
        <v>6</v>
      </c>
    </row>
    <row r="151" spans="1:40">
      <c r="A151">
        <v>2020</v>
      </c>
      <c r="B151">
        <v>8</v>
      </c>
      <c r="C151" t="s">
        <v>219</v>
      </c>
      <c r="D151" t="s">
        <v>182</v>
      </c>
      <c r="G151">
        <f>SUMIFS('NFL QB Data By Year'!$Q:$Q,'NFL QB Data By Year'!$D:$D,Table2[[#This Row],[Player Name]],'NFL QB Data By Year'!$B:$B,Table2[[#This Row],[Draft Year]]+G$1)</f>
        <v>0</v>
      </c>
      <c r="H151">
        <f>SUMIFS('NFL QB Data By Year'!$P:$P,'NFL QB Data By Year'!$D:$D,Table2[[#This Row],[Player Name]],'NFL QB Data By Year'!$B:$B,Table2[[#This Row],[Draft Year]]+H$1)</f>
        <v>0</v>
      </c>
      <c r="I151">
        <f>SUMIFS('NFL QB Data By Year'!$Q:$Q,'NFL QB Data By Year'!$D:$D,Table2[[#This Row],[Player Name]],'NFL QB Data By Year'!$B:$B,Table2[[#This Row],[Draft Year]]+I$1)</f>
        <v>0</v>
      </c>
      <c r="J151">
        <f>SUMIFS('NFL QB Data By Year'!$P:$P,'NFL QB Data By Year'!$D:$D,Table2[[#This Row],[Player Name]],'NFL QB Data By Year'!$B:$B,Table2[[#This Row],[Draft Year]]+J$1)</f>
        <v>0</v>
      </c>
      <c r="K151">
        <f>SUMIFS('NFL QB Data By Year'!$Q:$Q,'NFL QB Data By Year'!$D:$D,Table2[[#This Row],[Player Name]],'NFL QB Data By Year'!$B:$B,Table2[[#This Row],[Draft Year]]+K$1)</f>
        <v>0</v>
      </c>
      <c r="L151">
        <f>SUMIFS('NFL QB Data By Year'!$P:$P,'NFL QB Data By Year'!$D:$D,Table2[[#This Row],[Player Name]],'NFL QB Data By Year'!$B:$B,Table2[[#This Row],[Draft Year]]+L$1)</f>
        <v>0</v>
      </c>
      <c r="M151">
        <f>Table2[[#This Row],[Year 1 G]]+Table2[[#This Row],[Year 2 G]]+Table2[[#This Row],[Year 3 G]]</f>
        <v>0</v>
      </c>
      <c r="N151">
        <f>Table2[[#This Row],[Year 1 FPTs]]+Table2[[#This Row],[Year 2 FPTs]]+Table2[[#This Row],[Year 3 FPTs]]</f>
        <v>0</v>
      </c>
      <c r="O151" s="18">
        <f>IFERROR(Table2[[#This Row],[Total FPTs]]/Table2[[#This Row],[Total G]],0)</f>
        <v>0</v>
      </c>
      <c r="Q151" s="8">
        <f>1215/14151</f>
        <v>8.5859656561373759E-2</v>
      </c>
      <c r="R151" s="11">
        <f>31/762</f>
        <v>4.0682414698162729E-2</v>
      </c>
      <c r="S151">
        <f>135</f>
        <v>135</v>
      </c>
      <c r="T151" s="7">
        <f>31/16</f>
        <v>1.9375</v>
      </c>
      <c r="U151" s="7">
        <f>762/363</f>
        <v>2.0991735537190084</v>
      </c>
      <c r="V151">
        <f>7.3</f>
        <v>7.3</v>
      </c>
      <c r="W151">
        <v>7.2</v>
      </c>
      <c r="X151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1">
        <v>4.6900000000000004</v>
      </c>
      <c r="Z151">
        <v>9.5</v>
      </c>
      <c r="AD151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51">
        <f>ROUND(IF(Table2[[#This Row],[Draft Round]]=1,10,IF(Table2[[#This Row],[Draft Round]]=8,0,10/(20.884*EXP(-0.381*1))*(20.884*EXP(-0.381*Table2[[#This Row],[Draft Round]])))),0)</f>
        <v>0</v>
      </c>
      <c r="AF151">
        <f>ROUND(IF(Table2[[#This Row],[College BF Dominator]]&gt;0.3,10,IF(Table2[[#This Row],[College BF Dominator]]&lt;-0.156,0,10/(20.818*0.3+3.2667)*(20.818*Table2[[#This Row],[College BF Dominator]]+3.2667))),0)</f>
        <v>5</v>
      </c>
      <c r="AG151">
        <f>ROUND(IF(Table2[[#This Row],[College PTDR]]&gt;0.085,10,IF(Table2[[#This Row],[College PTDR]]&lt;0.04,0,10/(105.24*0.085-1.7837)*(105.24*Table2[[#This Row],[College PTDR]]-1.7837))),0)</f>
        <v>3</v>
      </c>
      <c r="AH151">
        <f>ROUND(IF(Table2[[#This Row],[College Passer Rating]]&gt;170,10,IF(Table2[[#This Row],[College Passer Rating]]&lt;112.475,0,10/(0.1495*170-16.815)*(0.1495*Table2[[#This Row],[College Passer Rating]]-16.815))),0)</f>
        <v>4</v>
      </c>
      <c r="AI151">
        <f>ROUND(IF(Table2[[#This Row],[PTD:INT]]&gt;4,10,IF(Table2[[#This Row],[PTD:INT]]&lt;1,0,10/(4.7442*LN(4)+0.4256)*(4.7442*LN(Table2[[#This Row],[PTD:INT]])+0.4256))),0)</f>
        <v>5</v>
      </c>
      <c r="AJ151">
        <f>ROUND(IF(Table2[[#This Row],[Patt:Ratt]]&lt;2.5,10,IF(Table2[[#This Row],[Patt:Ratt]]&gt;15,0,10/(-2.684*LN(2.5)+9.0869)*(-2.684*LN(Table2[[#This Row],[Patt:Ratt]])+9.0869))),0)</f>
        <v>10</v>
      </c>
      <c r="AK151">
        <f>ROUND(IF(Table2[[#This Row],[Y/A]]&gt;9.2,10,IF(Table2[[#This Row],[Y/A]]&lt;6.26,0,10/(2.2619*9.2-14.16)*(2.2619*Table2[[#This Row],[Y/A]]-14.16))),0)</f>
        <v>4</v>
      </c>
      <c r="AL151">
        <f>ROUND(IF(Table2[[#This Row],[AY/A]]&gt;10,10,IF(Table2[[#This Row],[AY/A]]&lt;5.51,0,10/(1.6571*10-9.1312)*(1.6571*Table2[[#This Row],[AY/A]]-9.1312))),0)</f>
        <v>4</v>
      </c>
      <c r="AM151">
        <f>ROUND(IF(Table2[[#This Row],[40 Yd Dash]]&lt;4.75,10,IF(Table2[[#This Row],[40 Yd Dash]]&gt;5.191,0,10/(-66.95*LN(4.75)+110.26)*(-66.95*LN(Table2[[#This Row],[40 Yd Dash]])+110.26))),0)</f>
        <v>10</v>
      </c>
      <c r="AN151">
        <f>ROUND(IF(Table2[[#This Row],[Hand Size]]&gt;10.25,10,IF(Table2[[#This Row],[Hand Size]]&lt;9,0,10/(15.49*LN(10.25)-30.577)*(15.49*LN(Table2[[#This Row],[Hand Size]])-30.577))),0)</f>
        <v>8</v>
      </c>
    </row>
    <row r="152" spans="1:40">
      <c r="A152">
        <v>2020</v>
      </c>
      <c r="B152">
        <v>7</v>
      </c>
      <c r="C152" t="s">
        <v>219</v>
      </c>
      <c r="D152" t="s">
        <v>186</v>
      </c>
      <c r="E152">
        <v>5.81</v>
      </c>
      <c r="G152">
        <f>SUMIFS('NFL QB Data By Year'!$Q:$Q,'NFL QB Data By Year'!$D:$D,Table2[[#This Row],[Player Name]],'NFL QB Data By Year'!$B:$B,Table2[[#This Row],[Draft Year]]+G$1)</f>
        <v>3</v>
      </c>
      <c r="H152">
        <f>SUMIFS('NFL QB Data By Year'!$P:$P,'NFL QB Data By Year'!$D:$D,Table2[[#This Row],[Player Name]],'NFL QB Data By Year'!$B:$B,Table2[[#This Row],[Draft Year]]+H$1)</f>
        <v>7</v>
      </c>
      <c r="I152">
        <f>SUMIFS('NFL QB Data By Year'!$Q:$Q,'NFL QB Data By Year'!$D:$D,Table2[[#This Row],[Player Name]],'NFL QB Data By Year'!$B:$B,Table2[[#This Row],[Draft Year]]+I$1)</f>
        <v>0</v>
      </c>
      <c r="J152">
        <f>SUMIFS('NFL QB Data By Year'!$P:$P,'NFL QB Data By Year'!$D:$D,Table2[[#This Row],[Player Name]],'NFL QB Data By Year'!$B:$B,Table2[[#This Row],[Draft Year]]+J$1)</f>
        <v>0</v>
      </c>
      <c r="K152">
        <f>SUMIFS('NFL QB Data By Year'!$Q:$Q,'NFL QB Data By Year'!$D:$D,Table2[[#This Row],[Player Name]],'NFL QB Data By Year'!$B:$B,Table2[[#This Row],[Draft Year]]+K$1)</f>
        <v>0</v>
      </c>
      <c r="L152">
        <f>SUMIFS('NFL QB Data By Year'!$P:$P,'NFL QB Data By Year'!$D:$D,Table2[[#This Row],[Player Name]],'NFL QB Data By Year'!$B:$B,Table2[[#This Row],[Draft Year]]+L$1)</f>
        <v>0</v>
      </c>
      <c r="M152">
        <f>Table2[[#This Row],[Year 1 G]]+Table2[[#This Row],[Year 2 G]]+Table2[[#This Row],[Year 3 G]]</f>
        <v>3</v>
      </c>
      <c r="N152">
        <f>Table2[[#This Row],[Year 1 FPTs]]+Table2[[#This Row],[Year 2 FPTs]]+Table2[[#This Row],[Year 3 FPTs]]</f>
        <v>7</v>
      </c>
      <c r="O152" s="18">
        <f>IFERROR(Table2[[#This Row],[Total FPTs]]/Table2[[#This Row],[Total G]],0)</f>
        <v>2.3333333333333335</v>
      </c>
      <c r="Q152" s="8">
        <f>144/(2926+1782)</f>
        <v>3.058623619371283E-2</v>
      </c>
      <c r="R152" s="11">
        <f>6/167</f>
        <v>3.5928143712574849E-2</v>
      </c>
      <c r="S152">
        <f>113.6</f>
        <v>113.6</v>
      </c>
      <c r="T152" s="7">
        <f>6/7</f>
        <v>0.8571428571428571</v>
      </c>
      <c r="U152" s="7">
        <f>167/57</f>
        <v>2.9298245614035086</v>
      </c>
      <c r="V152">
        <f>6.6</f>
        <v>6.6</v>
      </c>
      <c r="W152">
        <v>5.5</v>
      </c>
      <c r="X152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2">
        <v>4.79</v>
      </c>
      <c r="Z152">
        <v>9.875</v>
      </c>
      <c r="AD152">
        <f>ROUND(IF(Table2[[#This Row],[LZ Grade]]=0,10/(9.297*7-49.141)*(9.297*5.723-49.141),IF(Table2[[#This Row],[LZ Grade]]&lt;5.285,0,IF(Table2[[#This Row],[LZ Grade]]&gt;=7,10,10/(9.297*7-49.141)*(9.297*Table2[[#This Row],[LZ Grade]]-49.141)))),0)</f>
        <v>3</v>
      </c>
      <c r="AE152">
        <f>ROUND(IF(Table2[[#This Row],[Draft Round]]=1,10,IF(Table2[[#This Row],[Draft Round]]=8,0,10/(20.884*EXP(-0.381*1))*(20.884*EXP(-0.381*Table2[[#This Row],[Draft Round]])))),0)</f>
        <v>1</v>
      </c>
      <c r="AF152">
        <f>ROUND(IF(Table2[[#This Row],[College BF Dominator]]&gt;0.3,10,IF(Table2[[#This Row],[College BF Dominator]]&lt;-0.156,0,10/(20.818*0.3+3.2667)*(20.818*Table2[[#This Row],[College BF Dominator]]+3.2667))),0)</f>
        <v>4</v>
      </c>
      <c r="AG152">
        <f>ROUND(IF(Table2[[#This Row],[College PTDR]]&gt;0.085,10,IF(Table2[[#This Row],[College PTDR]]&lt;0.04,0,10/(105.24*0.085-1.7837)*(105.24*Table2[[#This Row],[College PTDR]]-1.7837))),0)</f>
        <v>0</v>
      </c>
      <c r="AH152">
        <f>ROUND(IF(Table2[[#This Row],[College Passer Rating]]&gt;170,10,IF(Table2[[#This Row],[College Passer Rating]]&lt;112.475,0,10/(0.1495*170-16.815)*(0.1495*Table2[[#This Row],[College Passer Rating]]-16.815))),0)</f>
        <v>0</v>
      </c>
      <c r="AI152">
        <f>ROUND(IF(Table2[[#This Row],[PTD:INT]]&gt;4,10,IF(Table2[[#This Row],[PTD:INT]]&lt;1,0,10/(4.7442*LN(4)+0.4256)*(4.7442*LN(Table2[[#This Row],[PTD:INT]])+0.4256))),0)</f>
        <v>0</v>
      </c>
      <c r="AJ152">
        <f>ROUND(IF(Table2[[#This Row],[Patt:Ratt]]&lt;2.5,10,IF(Table2[[#This Row],[Patt:Ratt]]&gt;15,0,10/(-2.684*LN(2.5)+9.0869)*(-2.684*LN(Table2[[#This Row],[Patt:Ratt]])+9.0869))),0)</f>
        <v>9</v>
      </c>
      <c r="AK152">
        <f>ROUND(IF(Table2[[#This Row],[Y/A]]&gt;9.2,10,IF(Table2[[#This Row],[Y/A]]&lt;6.26,0,10/(2.2619*9.2-14.16)*(2.2619*Table2[[#This Row],[Y/A]]-14.16))),0)</f>
        <v>1</v>
      </c>
      <c r="AL152">
        <f>ROUND(IF(Table2[[#This Row],[AY/A]]&gt;10,10,IF(Table2[[#This Row],[AY/A]]&lt;5.51,0,10/(1.6571*10-9.1312)*(1.6571*Table2[[#This Row],[AY/A]]-9.1312))),0)</f>
        <v>0</v>
      </c>
      <c r="AM152">
        <f>ROUND(IF(Table2[[#This Row],[40 Yd Dash]]&lt;4.75,10,IF(Table2[[#This Row],[40 Yd Dash]]&gt;5.191,0,10/(-66.95*LN(4.75)+110.26)*(-66.95*LN(Table2[[#This Row],[40 Yd Dash]])+110.26))),0)</f>
        <v>9</v>
      </c>
      <c r="AN152">
        <f>ROUND(IF(Table2[[#This Row],[Hand Size]]&gt;10.25,10,IF(Table2[[#This Row],[Hand Size]]&lt;9,0,10/(15.49*LN(10.25)-30.577)*(15.49*LN(Table2[[#This Row],[Hand Size]])-30.577))),0)</f>
        <v>9</v>
      </c>
    </row>
    <row r="153" spans="1:40">
      <c r="A153">
        <v>2020</v>
      </c>
      <c r="B153">
        <v>7</v>
      </c>
      <c r="C153" t="s">
        <v>219</v>
      </c>
      <c r="D153" t="s">
        <v>180</v>
      </c>
      <c r="E153">
        <v>5.68</v>
      </c>
      <c r="G153">
        <f>SUMIFS('NFL QB Data By Year'!$Q:$Q,'NFL QB Data By Year'!$D:$D,Table2[[#This Row],[Player Name]],'NFL QB Data By Year'!$B:$B,Table2[[#This Row],[Draft Year]]+G$1)</f>
        <v>1</v>
      </c>
      <c r="H153">
        <f>SUMIFS('NFL QB Data By Year'!$P:$P,'NFL QB Data By Year'!$D:$D,Table2[[#This Row],[Player Name]],'NFL QB Data By Year'!$B:$B,Table2[[#This Row],[Draft Year]]+H$1)</f>
        <v>2.4</v>
      </c>
      <c r="I153">
        <f>SUMIFS('NFL QB Data By Year'!$Q:$Q,'NFL QB Data By Year'!$D:$D,Table2[[#This Row],[Player Name]],'NFL QB Data By Year'!$B:$B,Table2[[#This Row],[Draft Year]]+I$1)</f>
        <v>0</v>
      </c>
      <c r="J153">
        <f>SUMIFS('NFL QB Data By Year'!$P:$P,'NFL QB Data By Year'!$D:$D,Table2[[#This Row],[Player Name]],'NFL QB Data By Year'!$B:$B,Table2[[#This Row],[Draft Year]]+J$1)</f>
        <v>0</v>
      </c>
      <c r="K153">
        <f>SUMIFS('NFL QB Data By Year'!$Q:$Q,'NFL QB Data By Year'!$D:$D,Table2[[#This Row],[Player Name]],'NFL QB Data By Year'!$B:$B,Table2[[#This Row],[Draft Year]]+K$1)</f>
        <v>0</v>
      </c>
      <c r="L153">
        <f>SUMIFS('NFL QB Data By Year'!$P:$P,'NFL QB Data By Year'!$D:$D,Table2[[#This Row],[Player Name]],'NFL QB Data By Year'!$B:$B,Table2[[#This Row],[Draft Year]]+L$1)</f>
        <v>0</v>
      </c>
      <c r="M153">
        <f>Table2[[#This Row],[Year 1 G]]+Table2[[#This Row],[Year 2 G]]+Table2[[#This Row],[Year 3 G]]</f>
        <v>1</v>
      </c>
      <c r="N153">
        <f>Table2[[#This Row],[Year 1 FPTs]]+Table2[[#This Row],[Year 2 FPTs]]+Table2[[#This Row],[Year 3 FPTs]]</f>
        <v>2.4</v>
      </c>
      <c r="O153" s="18">
        <f>IFERROR(Table2[[#This Row],[Total FPTs]]/Table2[[#This Row],[Total G]],0)</f>
        <v>2.4</v>
      </c>
      <c r="Q153" s="8">
        <f>887/(2406+2212+2664+2868)</f>
        <v>8.7389162561576361E-2</v>
      </c>
      <c r="R153" s="11">
        <f>15/202</f>
        <v>7.4257425742574254E-2</v>
      </c>
      <c r="S153">
        <f>139.1</f>
        <v>139.1</v>
      </c>
      <c r="T153" s="7">
        <f>15/6</f>
        <v>2.5</v>
      </c>
      <c r="U153" s="7">
        <f>202/159</f>
        <v>1.270440251572327</v>
      </c>
      <c r="V153">
        <f>7.2</f>
        <v>7.2</v>
      </c>
      <c r="W153">
        <v>7.4</v>
      </c>
      <c r="X153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3">
        <v>4.62</v>
      </c>
      <c r="Z153">
        <v>9.5</v>
      </c>
      <c r="AD153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53">
        <f>ROUND(IF(Table2[[#This Row],[Draft Round]]=1,10,IF(Table2[[#This Row],[Draft Round]]=8,0,10/(20.884*EXP(-0.381*1))*(20.884*EXP(-0.381*Table2[[#This Row],[Draft Round]])))),0)</f>
        <v>1</v>
      </c>
      <c r="AF153">
        <f>ROUND(IF(Table2[[#This Row],[College BF Dominator]]&gt;0.3,10,IF(Table2[[#This Row],[College BF Dominator]]&lt;-0.156,0,10/(20.818*0.3+3.2667)*(20.818*Table2[[#This Row],[College BF Dominator]]+3.2667))),0)</f>
        <v>5</v>
      </c>
      <c r="AG153">
        <f>ROUND(IF(Table2[[#This Row],[College PTDR]]&gt;0.085,10,IF(Table2[[#This Row],[College PTDR]]&lt;0.04,0,10/(105.24*0.085-1.7837)*(105.24*Table2[[#This Row],[College PTDR]]-1.7837))),0)</f>
        <v>8</v>
      </c>
      <c r="AH153">
        <f>ROUND(IF(Table2[[#This Row],[College Passer Rating]]&gt;170,10,IF(Table2[[#This Row],[College Passer Rating]]&lt;112.475,0,10/(0.1495*170-16.815)*(0.1495*Table2[[#This Row],[College Passer Rating]]-16.815))),0)</f>
        <v>5</v>
      </c>
      <c r="AI153">
        <f>ROUND(IF(Table2[[#This Row],[PTD:INT]]&gt;4,10,IF(Table2[[#This Row],[PTD:INT]]&lt;1,0,10/(4.7442*LN(4)+0.4256)*(4.7442*LN(Table2[[#This Row],[PTD:INT]])+0.4256))),0)</f>
        <v>7</v>
      </c>
      <c r="AJ153">
        <f>ROUND(IF(Table2[[#This Row],[Patt:Ratt]]&lt;2.5,10,IF(Table2[[#This Row],[Patt:Ratt]]&gt;15,0,10/(-2.684*LN(2.5)+9.0869)*(-2.684*LN(Table2[[#This Row],[Patt:Ratt]])+9.0869))),0)</f>
        <v>10</v>
      </c>
      <c r="AK153">
        <f>ROUND(IF(Table2[[#This Row],[Y/A]]&gt;9.2,10,IF(Table2[[#This Row],[Y/A]]&lt;6.26,0,10/(2.2619*9.2-14.16)*(2.2619*Table2[[#This Row],[Y/A]]-14.16))),0)</f>
        <v>3</v>
      </c>
      <c r="AL153">
        <f>ROUND(IF(Table2[[#This Row],[AY/A]]&gt;10,10,IF(Table2[[#This Row],[AY/A]]&lt;5.51,0,10/(1.6571*10-9.1312)*(1.6571*Table2[[#This Row],[AY/A]]-9.1312))),0)</f>
        <v>4</v>
      </c>
      <c r="AM153">
        <f>ROUND(IF(Table2[[#This Row],[40 Yd Dash]]&lt;4.75,10,IF(Table2[[#This Row],[40 Yd Dash]]&gt;5.191,0,10/(-66.95*LN(4.75)+110.26)*(-66.95*LN(Table2[[#This Row],[40 Yd Dash]])+110.26))),0)</f>
        <v>10</v>
      </c>
      <c r="AN153">
        <f>ROUND(IF(Table2[[#This Row],[Hand Size]]&gt;10.25,10,IF(Table2[[#This Row],[Hand Size]]&lt;9,0,10/(15.49*LN(10.25)-30.577)*(15.49*LN(Table2[[#This Row],[Hand Size]])-30.577))),0)</f>
        <v>8</v>
      </c>
    </row>
    <row r="154" spans="1:40" ht="15">
      <c r="A154">
        <v>2020</v>
      </c>
      <c r="B154">
        <v>8</v>
      </c>
      <c r="C154" t="s">
        <v>219</v>
      </c>
      <c r="D154" t="s">
        <v>178</v>
      </c>
      <c r="E154">
        <v>5.6</v>
      </c>
      <c r="G154">
        <f>SUMIFS('NFL QB Data By Year'!$Q:$Q,'NFL QB Data By Year'!$D:$D,Table2[[#This Row],[Player Name]],'NFL QB Data By Year'!$B:$B,Table2[[#This Row],[Draft Year]]+G$1)</f>
        <v>0</v>
      </c>
      <c r="H154">
        <f>SUMIFS('NFL QB Data By Year'!$P:$P,'NFL QB Data By Year'!$D:$D,Table2[[#This Row],[Player Name]],'NFL QB Data By Year'!$B:$B,Table2[[#This Row],[Draft Year]]+H$1)</f>
        <v>0</v>
      </c>
      <c r="I154">
        <f>SUMIFS('NFL QB Data By Year'!$Q:$Q,'NFL QB Data By Year'!$D:$D,Table2[[#This Row],[Player Name]],'NFL QB Data By Year'!$B:$B,Table2[[#This Row],[Draft Year]]+I$1)</f>
        <v>0</v>
      </c>
      <c r="J154">
        <f>SUMIFS('NFL QB Data By Year'!$P:$P,'NFL QB Data By Year'!$D:$D,Table2[[#This Row],[Player Name]],'NFL QB Data By Year'!$B:$B,Table2[[#This Row],[Draft Year]]+J$1)</f>
        <v>0</v>
      </c>
      <c r="K154">
        <f>SUMIFS('NFL QB Data By Year'!$Q:$Q,'NFL QB Data By Year'!$D:$D,Table2[[#This Row],[Player Name]],'NFL QB Data By Year'!$B:$B,Table2[[#This Row],[Draft Year]]+K$1)</f>
        <v>0</v>
      </c>
      <c r="L154">
        <f>SUMIFS('NFL QB Data By Year'!$P:$P,'NFL QB Data By Year'!$D:$D,Table2[[#This Row],[Player Name]],'NFL QB Data By Year'!$B:$B,Table2[[#This Row],[Draft Year]]+L$1)</f>
        <v>0</v>
      </c>
      <c r="M154">
        <f>Table2[[#This Row],[Year 1 G]]+Table2[[#This Row],[Year 2 G]]+Table2[[#This Row],[Year 3 G]]</f>
        <v>0</v>
      </c>
      <c r="N154">
        <f>Table2[[#This Row],[Year 1 FPTs]]+Table2[[#This Row],[Year 2 FPTs]]+Table2[[#This Row],[Year 3 FPTs]]</f>
        <v>0</v>
      </c>
      <c r="O154" s="18">
        <f>IFERROR(Table2[[#This Row],[Total FPTs]]/Table2[[#This Row],[Total G]],0)</f>
        <v>0</v>
      </c>
      <c r="Q154" s="8" t="str">
        <f xml:space="preserve"> IFERROR(SUMIFS('College Data By Year'!J:J,'College Data By Year'!A:A,Table2[[#This Row],[Player Name]])/SUMIFS('College Data By Year'!L:L,'College Data By Year'!A:A,Table2[[#This Row],[Player Name]]),"")</f>
        <v/>
      </c>
      <c r="R154" s="11" t="str">
        <f xml:space="preserve"> IFERROR(SUMIFS('College Data By Year'!D:D,'College Data By Year'!A:A,Table2[[#This Row],[Player Name]])/SUMIFS('College Data By Year'!B:B,'College Data By Year'!A:A,Table2[[#This Row],[Player Name]]),"")</f>
        <v/>
      </c>
      <c r="S154" t="str">
        <f>IF(SUMIFS('College Data By Year'!H:H,'College Data By Year'!A:A,Table2[[#This Row],[Player Name]])=0,"",SUMIFS('College Data By Year'!H:H,'College Data By Year'!A:A,Table2[[#This Row],[Player Name]]))</f>
        <v/>
      </c>
      <c r="T154" s="7" t="str">
        <f>IFERROR(SUMIFS('College Data By Year'!D:D,'College Data By Year'!A:A,Table2[[#This Row],[Player Name]])/SUMIFS('College Data By Year'!E:E,'College Data By Year'!A:A,Table2[[#This Row],[Player Name]]),"")</f>
        <v/>
      </c>
      <c r="U154" s="7" t="str">
        <f>IFERROR(SUMIFS('College Data By Year'!B:B,'College Data By Year'!A:A,Table2[[#This Row],[Player Name]])/SUMIFS('College Data By Year'!I:I,'College Data By Year'!A:A,Table2[[#This Row],[Player Name]]),"")</f>
        <v/>
      </c>
      <c r="V154" t="str">
        <f>IF(SUMIFS('College Data By Year'!F:F,'College Data By Year'!A:A,Table2[[#This Row],[Player Name]])=0,"",SUMIFS('College Data By Year'!F:F,'College Data By Year'!A:A,Table2[[#This Row],[Player Name]]))</f>
        <v/>
      </c>
      <c r="W154" t="str">
        <f>IF(SUMIFS('College Data By Year'!G:G,'College Data By Year'!A:A,Table2[[#This Row],[Player Name]])=0,"",SUMIFS('College Data By Year'!G:G,'College Data By Year'!A:A,Table2[[#This Row],[Player Name]]))</f>
        <v/>
      </c>
      <c r="X154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4">
        <v>4.96</v>
      </c>
      <c r="Z154" s="23">
        <v>9.6999999999999993</v>
      </c>
      <c r="AD154">
        <f>ROUND(IF(Table2[[#This Row],[LZ Grade]]=0,10/(9.297*7-49.141)*(9.297*5.723-49.141),IF(Table2[[#This Row],[LZ Grade]]&lt;5.285,0,IF(Table2[[#This Row],[LZ Grade]]&gt;=7,10,10/(9.297*7-49.141)*(9.297*Table2[[#This Row],[LZ Grade]]-49.141)))),0)</f>
        <v>2</v>
      </c>
      <c r="AE154">
        <f>ROUND(IF(Table2[[#This Row],[Draft Round]]=1,10,IF(Table2[[#This Row],[Draft Round]]=8,0,10/(20.884*EXP(-0.381*1))*(20.884*EXP(-0.381*Table2[[#This Row],[Draft Round]])))),0)</f>
        <v>0</v>
      </c>
      <c r="AF154">
        <f>ROUND(IF(Table2[[#This Row],[College BF Dominator]]&gt;0.3,10,IF(Table2[[#This Row],[College BF Dominator]]&lt;-0.156,0,10/(20.818*0.3+3.2667)*(20.818*Table2[[#This Row],[College BF Dominator]]+3.2667))),0)</f>
        <v>10</v>
      </c>
      <c r="AG154">
        <f>ROUND(IF(Table2[[#This Row],[College PTDR]]&gt;0.085,10,IF(Table2[[#This Row],[College PTDR]]&lt;0.04,0,10/(105.24*0.085-1.7837)*(105.24*Table2[[#This Row],[College PTDR]]-1.7837))),0)</f>
        <v>10</v>
      </c>
      <c r="AH154">
        <f>ROUND(IF(Table2[[#This Row],[College Passer Rating]]&gt;170,10,IF(Table2[[#This Row],[College Passer Rating]]&lt;112.475,0,10/(0.1495*170-16.815)*(0.1495*Table2[[#This Row],[College Passer Rating]]-16.815))),0)</f>
        <v>10</v>
      </c>
      <c r="AI154">
        <f>ROUND(IF(Table2[[#This Row],[PTD:INT]]&gt;4,10,IF(Table2[[#This Row],[PTD:INT]]&lt;1,0,10/(4.7442*LN(4)+0.4256)*(4.7442*LN(Table2[[#This Row],[PTD:INT]])+0.4256))),0)</f>
        <v>10</v>
      </c>
      <c r="AJ154">
        <f>ROUND(IF(Table2[[#This Row],[Patt:Ratt]]&lt;2.5,10,IF(Table2[[#This Row],[Patt:Ratt]]&gt;15,0,10/(-2.684*LN(2.5)+9.0869)*(-2.684*LN(Table2[[#This Row],[Patt:Ratt]])+9.0869))),0)</f>
        <v>0</v>
      </c>
      <c r="AK154">
        <f>ROUND(IF(Table2[[#This Row],[Y/A]]&gt;9.2,10,IF(Table2[[#This Row],[Y/A]]&lt;6.26,0,10/(2.2619*9.2-14.16)*(2.2619*Table2[[#This Row],[Y/A]]-14.16))),0)</f>
        <v>10</v>
      </c>
      <c r="AL154">
        <f>ROUND(IF(Table2[[#This Row],[AY/A]]&gt;10,10,IF(Table2[[#This Row],[AY/A]]&lt;5.51,0,10/(1.6571*10-9.1312)*(1.6571*Table2[[#This Row],[AY/A]]-9.1312))),0)</f>
        <v>10</v>
      </c>
      <c r="AM154">
        <f>ROUND(IF(Table2[[#This Row],[40 Yd Dash]]&lt;4.75,10,IF(Table2[[#This Row],[40 Yd Dash]]&gt;5.191,0,10/(-66.95*LN(4.75)+110.26)*(-66.95*LN(Table2[[#This Row],[40 Yd Dash]])+110.26))),0)</f>
        <v>5</v>
      </c>
      <c r="AN154">
        <f>ROUND(IF(Table2[[#This Row],[Hand Size]]&gt;10.25,10,IF(Table2[[#This Row],[Hand Size]]&lt;9,0,10/(15.49*LN(10.25)-30.577)*(15.49*LN(Table2[[#This Row],[Hand Size]])-30.577))),0)</f>
        <v>8</v>
      </c>
    </row>
    <row r="155" spans="1:40">
      <c r="A155">
        <v>2020</v>
      </c>
      <c r="B155">
        <v>8</v>
      </c>
      <c r="C155" t="s">
        <v>219</v>
      </c>
      <c r="D155" t="s">
        <v>181</v>
      </c>
      <c r="E155">
        <v>5.53</v>
      </c>
      <c r="G155">
        <f>SUMIFS('NFL QB Data By Year'!$Q:$Q,'NFL QB Data By Year'!$D:$D,Table2[[#This Row],[Player Name]],'NFL QB Data By Year'!$B:$B,Table2[[#This Row],[Draft Year]]+G$1)</f>
        <v>2</v>
      </c>
      <c r="H155">
        <f>SUMIFS('NFL QB Data By Year'!$P:$P,'NFL QB Data By Year'!$D:$D,Table2[[#This Row],[Player Name]],'NFL QB Data By Year'!$B:$B,Table2[[#This Row],[Draft Year]]+H$1)</f>
        <v>2.9</v>
      </c>
      <c r="I155">
        <f>SUMIFS('NFL QB Data By Year'!$Q:$Q,'NFL QB Data By Year'!$D:$D,Table2[[#This Row],[Player Name]],'NFL QB Data By Year'!$B:$B,Table2[[#This Row],[Draft Year]]+I$1)</f>
        <v>7</v>
      </c>
      <c r="J155">
        <f>SUMIFS('NFL QB Data By Year'!$P:$P,'NFL QB Data By Year'!$D:$D,Table2[[#This Row],[Player Name]],'NFL QB Data By Year'!$B:$B,Table2[[#This Row],[Draft Year]]+J$1)</f>
        <v>86.7</v>
      </c>
      <c r="K155">
        <f>SUMIFS('NFL QB Data By Year'!$Q:$Q,'NFL QB Data By Year'!$D:$D,Table2[[#This Row],[Player Name]],'NFL QB Data By Year'!$B:$B,Table2[[#This Row],[Draft Year]]+K$1)</f>
        <v>0</v>
      </c>
      <c r="L155">
        <f>SUMIFS('NFL QB Data By Year'!$P:$P,'NFL QB Data By Year'!$D:$D,Table2[[#This Row],[Player Name]],'NFL QB Data By Year'!$B:$B,Table2[[#This Row],[Draft Year]]+L$1)</f>
        <v>0</v>
      </c>
      <c r="M155">
        <f>Table2[[#This Row],[Year 1 G]]+Table2[[#This Row],[Year 2 G]]+Table2[[#This Row],[Year 3 G]]</f>
        <v>9</v>
      </c>
      <c r="N155">
        <f>Table2[[#This Row],[Year 1 FPTs]]+Table2[[#This Row],[Year 2 FPTs]]+Table2[[#This Row],[Year 3 FPTs]]</f>
        <v>89.600000000000009</v>
      </c>
      <c r="O155" s="18">
        <f>IFERROR(Table2[[#This Row],[Total FPTs]]/Table2[[#This Row],[Total G]],0)</f>
        <v>9.9555555555555557</v>
      </c>
      <c r="Q155" s="8">
        <f>1146/(2782+2132+2520+2819)</f>
        <v>0.11177216424461134</v>
      </c>
      <c r="R155" s="11">
        <f>46/854</f>
        <v>5.3864168618266976E-2</v>
      </c>
      <c r="S155">
        <f>152.6</f>
        <v>152.6</v>
      </c>
      <c r="T155" s="7">
        <f>46/20</f>
        <v>2.2999999999999998</v>
      </c>
      <c r="U155" s="7">
        <f>854/389</f>
        <v>2.1953727506426737</v>
      </c>
      <c r="V155">
        <f>8.6</f>
        <v>8.6</v>
      </c>
      <c r="W155">
        <v>8.6</v>
      </c>
      <c r="X155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5">
        <v>4.74</v>
      </c>
      <c r="Z155">
        <v>9.25</v>
      </c>
      <c r="AD155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55">
        <f>ROUND(IF(Table2[[#This Row],[Draft Round]]=1,10,IF(Table2[[#This Row],[Draft Round]]=8,0,10/(20.884*EXP(-0.381*1))*(20.884*EXP(-0.381*Table2[[#This Row],[Draft Round]])))),0)</f>
        <v>0</v>
      </c>
      <c r="AF155">
        <f>ROUND(IF(Table2[[#This Row],[College BF Dominator]]&gt;0.3,10,IF(Table2[[#This Row],[College BF Dominator]]&lt;-0.156,0,10/(20.818*0.3+3.2667)*(20.818*Table2[[#This Row],[College BF Dominator]]+3.2667))),0)</f>
        <v>6</v>
      </c>
      <c r="AG155">
        <f>ROUND(IF(Table2[[#This Row],[College PTDR]]&gt;0.085,10,IF(Table2[[#This Row],[College PTDR]]&lt;0.04,0,10/(105.24*0.085-1.7837)*(105.24*Table2[[#This Row],[College PTDR]]-1.7837))),0)</f>
        <v>5</v>
      </c>
      <c r="AH155">
        <f>ROUND(IF(Table2[[#This Row],[College Passer Rating]]&gt;170,10,IF(Table2[[#This Row],[College Passer Rating]]&lt;112.475,0,10/(0.1495*170-16.815)*(0.1495*Table2[[#This Row],[College Passer Rating]]-16.815))),0)</f>
        <v>7</v>
      </c>
      <c r="AI155">
        <f>ROUND(IF(Table2[[#This Row],[PTD:INT]]&gt;4,10,IF(Table2[[#This Row],[PTD:INT]]&lt;1,0,10/(4.7442*LN(4)+0.4256)*(4.7442*LN(Table2[[#This Row],[PTD:INT]])+0.4256))),0)</f>
        <v>6</v>
      </c>
      <c r="AJ155">
        <f>ROUND(IF(Table2[[#This Row],[Patt:Ratt]]&lt;2.5,10,IF(Table2[[#This Row],[Patt:Ratt]]&gt;15,0,10/(-2.684*LN(2.5)+9.0869)*(-2.684*LN(Table2[[#This Row],[Patt:Ratt]])+9.0869))),0)</f>
        <v>10</v>
      </c>
      <c r="AK155">
        <f>ROUND(IF(Table2[[#This Row],[Y/A]]&gt;9.2,10,IF(Table2[[#This Row],[Y/A]]&lt;6.26,0,10/(2.2619*9.2-14.16)*(2.2619*Table2[[#This Row],[Y/A]]-14.16))),0)</f>
        <v>8</v>
      </c>
      <c r="AL155">
        <f>ROUND(IF(Table2[[#This Row],[AY/A]]&gt;10,10,IF(Table2[[#This Row],[AY/A]]&lt;5.51,0,10/(1.6571*10-9.1312)*(1.6571*Table2[[#This Row],[AY/A]]-9.1312))),0)</f>
        <v>7</v>
      </c>
      <c r="AM155">
        <f>ROUND(IF(Table2[[#This Row],[40 Yd Dash]]&lt;4.75,10,IF(Table2[[#This Row],[40 Yd Dash]]&gt;5.191,0,10/(-66.95*LN(4.75)+110.26)*(-66.95*LN(Table2[[#This Row],[40 Yd Dash]])+110.26))),0)</f>
        <v>10</v>
      </c>
      <c r="AN155">
        <f>ROUND(IF(Table2[[#This Row],[Hand Size]]&gt;10.25,10,IF(Table2[[#This Row],[Hand Size]]&lt;9,0,10/(15.49*LN(10.25)-30.577)*(15.49*LN(Table2[[#This Row],[Hand Size]])-30.577))),0)</f>
        <v>7</v>
      </c>
    </row>
    <row r="156" spans="1:40" ht="15">
      <c r="A156">
        <v>2020</v>
      </c>
      <c r="B156">
        <v>8</v>
      </c>
      <c r="C156" t="s">
        <v>219</v>
      </c>
      <c r="D156" t="s">
        <v>184</v>
      </c>
      <c r="E156">
        <v>5.5</v>
      </c>
      <c r="G156">
        <f>SUMIFS('NFL QB Data By Year'!$Q:$Q,'NFL QB Data By Year'!$D:$D,Table2[[#This Row],[Player Name]],'NFL QB Data By Year'!$B:$B,Table2[[#This Row],[Draft Year]]+G$1)</f>
        <v>0</v>
      </c>
      <c r="H156">
        <f>SUMIFS('NFL QB Data By Year'!$P:$P,'NFL QB Data By Year'!$D:$D,Table2[[#This Row],[Player Name]],'NFL QB Data By Year'!$B:$B,Table2[[#This Row],[Draft Year]]+H$1)</f>
        <v>0</v>
      </c>
      <c r="I156">
        <f>SUMIFS('NFL QB Data By Year'!$Q:$Q,'NFL QB Data By Year'!$D:$D,Table2[[#This Row],[Player Name]],'NFL QB Data By Year'!$B:$B,Table2[[#This Row],[Draft Year]]+I$1)</f>
        <v>0</v>
      </c>
      <c r="J156">
        <f>SUMIFS('NFL QB Data By Year'!$P:$P,'NFL QB Data By Year'!$D:$D,Table2[[#This Row],[Player Name]],'NFL QB Data By Year'!$B:$B,Table2[[#This Row],[Draft Year]]+J$1)</f>
        <v>0</v>
      </c>
      <c r="K156">
        <f>SUMIFS('NFL QB Data By Year'!$Q:$Q,'NFL QB Data By Year'!$D:$D,Table2[[#This Row],[Player Name]],'NFL QB Data By Year'!$B:$B,Table2[[#This Row],[Draft Year]]+K$1)</f>
        <v>0</v>
      </c>
      <c r="L156">
        <f>SUMIFS('NFL QB Data By Year'!$P:$P,'NFL QB Data By Year'!$D:$D,Table2[[#This Row],[Player Name]],'NFL QB Data By Year'!$B:$B,Table2[[#This Row],[Draft Year]]+L$1)</f>
        <v>0</v>
      </c>
      <c r="M156">
        <f>Table2[[#This Row],[Year 1 G]]+Table2[[#This Row],[Year 2 G]]+Table2[[#This Row],[Year 3 G]]</f>
        <v>0</v>
      </c>
      <c r="N156">
        <f>Table2[[#This Row],[Year 1 FPTs]]+Table2[[#This Row],[Year 2 FPTs]]+Table2[[#This Row],[Year 3 FPTs]]</f>
        <v>0</v>
      </c>
      <c r="O156" s="18">
        <f>IFERROR(Table2[[#This Row],[Total FPTs]]/Table2[[#This Row],[Total G]],0)</f>
        <v>0</v>
      </c>
      <c r="Q156" s="8">
        <f>1692/3949</f>
        <v>0.42846290200050646</v>
      </c>
      <c r="R156" s="11">
        <f>47/844</f>
        <v>5.5687203791469193E-2</v>
      </c>
      <c r="S156">
        <f>139.7</f>
        <v>139.69999999999999</v>
      </c>
      <c r="T156" s="7">
        <f>47/21</f>
        <v>2.2380952380952381</v>
      </c>
      <c r="U156" s="7">
        <f>844/439</f>
        <v>1.9225512528473805</v>
      </c>
      <c r="V156">
        <f>7.4</f>
        <v>7.4</v>
      </c>
      <c r="W156">
        <v>7.4</v>
      </c>
      <c r="X156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6">
        <v>4.5199999999999996</v>
      </c>
      <c r="Z156" s="23">
        <v>9.75</v>
      </c>
      <c r="AD156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56">
        <f>ROUND(IF(Table2[[#This Row],[Draft Round]]=1,10,IF(Table2[[#This Row],[Draft Round]]=8,0,10/(20.884*EXP(-0.381*1))*(20.884*EXP(-0.381*Table2[[#This Row],[Draft Round]])))),0)</f>
        <v>0</v>
      </c>
      <c r="AF156">
        <f>ROUND(IF(Table2[[#This Row],[College BF Dominator]]&gt;0.3,10,IF(Table2[[#This Row],[College BF Dominator]]&lt;-0.156,0,10/(20.818*0.3+3.2667)*(20.818*Table2[[#This Row],[College BF Dominator]]+3.2667))),0)</f>
        <v>10</v>
      </c>
      <c r="AG156">
        <f>ROUND(IF(Table2[[#This Row],[College PTDR]]&gt;0.085,10,IF(Table2[[#This Row],[College PTDR]]&lt;0.04,0,10/(105.24*0.085-1.7837)*(105.24*Table2[[#This Row],[College PTDR]]-1.7837))),0)</f>
        <v>6</v>
      </c>
      <c r="AH156">
        <f>ROUND(IF(Table2[[#This Row],[College Passer Rating]]&gt;170,10,IF(Table2[[#This Row],[College Passer Rating]]&lt;112.475,0,10/(0.1495*170-16.815)*(0.1495*Table2[[#This Row],[College Passer Rating]]-16.815))),0)</f>
        <v>5</v>
      </c>
      <c r="AI156">
        <f>ROUND(IF(Table2[[#This Row],[PTD:INT]]&gt;4,10,IF(Table2[[#This Row],[PTD:INT]]&lt;1,0,10/(4.7442*LN(4)+0.4256)*(4.7442*LN(Table2[[#This Row],[PTD:INT]])+0.4256))),0)</f>
        <v>6</v>
      </c>
      <c r="AJ156">
        <f>ROUND(IF(Table2[[#This Row],[Patt:Ratt]]&lt;2.5,10,IF(Table2[[#This Row],[Patt:Ratt]]&gt;15,0,10/(-2.684*LN(2.5)+9.0869)*(-2.684*LN(Table2[[#This Row],[Patt:Ratt]])+9.0869))),0)</f>
        <v>10</v>
      </c>
      <c r="AK156">
        <f>ROUND(IF(Table2[[#This Row],[Y/A]]&gt;9.2,10,IF(Table2[[#This Row],[Y/A]]&lt;6.26,0,10/(2.2619*9.2-14.16)*(2.2619*Table2[[#This Row],[Y/A]]-14.16))),0)</f>
        <v>4</v>
      </c>
      <c r="AL156">
        <f>ROUND(IF(Table2[[#This Row],[AY/A]]&gt;10,10,IF(Table2[[#This Row],[AY/A]]&lt;5.51,0,10/(1.6571*10-9.1312)*(1.6571*Table2[[#This Row],[AY/A]]-9.1312))),0)</f>
        <v>4</v>
      </c>
      <c r="AM156">
        <f>ROUND(IF(Table2[[#This Row],[40 Yd Dash]]&lt;4.75,10,IF(Table2[[#This Row],[40 Yd Dash]]&gt;5.191,0,10/(-66.95*LN(4.75)+110.26)*(-66.95*LN(Table2[[#This Row],[40 Yd Dash]])+110.26))),0)</f>
        <v>10</v>
      </c>
      <c r="AN156">
        <f>ROUND(IF(Table2[[#This Row],[Hand Size]]&gt;10.25,10,IF(Table2[[#This Row],[Hand Size]]&lt;9,0,10/(15.49*LN(10.25)-30.577)*(15.49*LN(Table2[[#This Row],[Hand Size]])-30.577))),0)</f>
        <v>9</v>
      </c>
    </row>
    <row r="157" spans="1:40">
      <c r="A157">
        <v>2020</v>
      </c>
      <c r="B157">
        <v>8</v>
      </c>
      <c r="C157" t="s">
        <v>219</v>
      </c>
      <c r="D157" t="s">
        <v>179</v>
      </c>
      <c r="E157">
        <v>5.5</v>
      </c>
      <c r="G157">
        <f>SUMIFS('NFL QB Data By Year'!$Q:$Q,'NFL QB Data By Year'!$D:$D,Table2[[#This Row],[Player Name]],'NFL QB Data By Year'!$B:$B,Table2[[#This Row],[Draft Year]]+G$1)</f>
        <v>0</v>
      </c>
      <c r="H157">
        <f>SUMIFS('NFL QB Data By Year'!$P:$P,'NFL QB Data By Year'!$D:$D,Table2[[#This Row],[Player Name]],'NFL QB Data By Year'!$B:$B,Table2[[#This Row],[Draft Year]]+H$1)</f>
        <v>0</v>
      </c>
      <c r="I157">
        <f>SUMIFS('NFL QB Data By Year'!$Q:$Q,'NFL QB Data By Year'!$D:$D,Table2[[#This Row],[Player Name]],'NFL QB Data By Year'!$B:$B,Table2[[#This Row],[Draft Year]]+I$1)</f>
        <v>0</v>
      </c>
      <c r="J157">
        <f>SUMIFS('NFL QB Data By Year'!$P:$P,'NFL QB Data By Year'!$D:$D,Table2[[#This Row],[Player Name]],'NFL QB Data By Year'!$B:$B,Table2[[#This Row],[Draft Year]]+J$1)</f>
        <v>0</v>
      </c>
      <c r="K157">
        <f>SUMIFS('NFL QB Data By Year'!$Q:$Q,'NFL QB Data By Year'!$D:$D,Table2[[#This Row],[Player Name]],'NFL QB Data By Year'!$B:$B,Table2[[#This Row],[Draft Year]]+K$1)</f>
        <v>0</v>
      </c>
      <c r="L157">
        <f>SUMIFS('NFL QB Data By Year'!$P:$P,'NFL QB Data By Year'!$D:$D,Table2[[#This Row],[Player Name]],'NFL QB Data By Year'!$B:$B,Table2[[#This Row],[Draft Year]]+L$1)</f>
        <v>0</v>
      </c>
      <c r="M157">
        <f>Table2[[#This Row],[Year 1 G]]+Table2[[#This Row],[Year 2 G]]+Table2[[#This Row],[Year 3 G]]</f>
        <v>0</v>
      </c>
      <c r="N157">
        <f>Table2[[#This Row],[Year 1 FPTs]]+Table2[[#This Row],[Year 2 FPTs]]+Table2[[#This Row],[Year 3 FPTs]]</f>
        <v>0</v>
      </c>
      <c r="O157" s="18">
        <f>IFERROR(Table2[[#This Row],[Total FPTs]]/Table2[[#This Row],[Total G]],0)</f>
        <v>0</v>
      </c>
      <c r="Q157" s="8" t="str">
        <f xml:space="preserve"> IFERROR(SUMIFS('College Data By Year'!J:J,'College Data By Year'!A:A,Table2[[#This Row],[Player Name]])/SUMIFS('College Data By Year'!L:L,'College Data By Year'!A:A,Table2[[#This Row],[Player Name]]),"")</f>
        <v/>
      </c>
      <c r="R157" s="11" t="str">
        <f xml:space="preserve"> IFERROR(SUMIFS('College Data By Year'!D:D,'College Data By Year'!A:A,Table2[[#This Row],[Player Name]])/SUMIFS('College Data By Year'!B:B,'College Data By Year'!A:A,Table2[[#This Row],[Player Name]]),"")</f>
        <v/>
      </c>
      <c r="S157" t="str">
        <f>IF(SUMIFS('College Data By Year'!H:H,'College Data By Year'!A:A,Table2[[#This Row],[Player Name]])=0,"",SUMIFS('College Data By Year'!H:H,'College Data By Year'!A:A,Table2[[#This Row],[Player Name]]))</f>
        <v/>
      </c>
      <c r="T157" s="7" t="str">
        <f>IFERROR(SUMIFS('College Data By Year'!D:D,'College Data By Year'!A:A,Table2[[#This Row],[Player Name]])/SUMIFS('College Data By Year'!E:E,'College Data By Year'!A:A,Table2[[#This Row],[Player Name]]),"")</f>
        <v/>
      </c>
      <c r="U157" s="7" t="str">
        <f>IFERROR(SUMIFS('College Data By Year'!B:B,'College Data By Year'!A:A,Table2[[#This Row],[Player Name]])/SUMIFS('College Data By Year'!I:I,'College Data By Year'!A:A,Table2[[#This Row],[Player Name]]),"")</f>
        <v/>
      </c>
      <c r="V157" t="str">
        <f>IF(SUMIFS('College Data By Year'!F:F,'College Data By Year'!A:A,Table2[[#This Row],[Player Name]])=0,"",SUMIFS('College Data By Year'!F:F,'College Data By Year'!A:A,Table2[[#This Row],[Player Name]]))</f>
        <v/>
      </c>
      <c r="W157" t="str">
        <f>IF(SUMIFS('College Data By Year'!G:G,'College Data By Year'!A:A,Table2[[#This Row],[Player Name]])=0,"",SUMIFS('College Data By Year'!G:G,'College Data By Year'!A:A,Table2[[#This Row],[Player Name]]))</f>
        <v/>
      </c>
      <c r="X157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7">
        <v>4.9400000000000004</v>
      </c>
      <c r="Z157">
        <v>10.375</v>
      </c>
      <c r="AD157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57">
        <f>ROUND(IF(Table2[[#This Row],[Draft Round]]=1,10,IF(Table2[[#This Row],[Draft Round]]=8,0,10/(20.884*EXP(-0.381*1))*(20.884*EXP(-0.381*Table2[[#This Row],[Draft Round]])))),0)</f>
        <v>0</v>
      </c>
      <c r="AF157">
        <f>ROUND(IF(Table2[[#This Row],[College BF Dominator]]&gt;0.3,10,IF(Table2[[#This Row],[College BF Dominator]]&lt;-0.156,0,10/(20.818*0.3+3.2667)*(20.818*Table2[[#This Row],[College BF Dominator]]+3.2667))),0)</f>
        <v>10</v>
      </c>
      <c r="AG157">
        <f>ROUND(IF(Table2[[#This Row],[College PTDR]]&gt;0.085,10,IF(Table2[[#This Row],[College PTDR]]&lt;0.04,0,10/(105.24*0.085-1.7837)*(105.24*Table2[[#This Row],[College PTDR]]-1.7837))),0)</f>
        <v>10</v>
      </c>
      <c r="AH157">
        <f>ROUND(IF(Table2[[#This Row],[College Passer Rating]]&gt;170,10,IF(Table2[[#This Row],[College Passer Rating]]&lt;112.475,0,10/(0.1495*170-16.815)*(0.1495*Table2[[#This Row],[College Passer Rating]]-16.815))),0)</f>
        <v>10</v>
      </c>
      <c r="AI157">
        <f>ROUND(IF(Table2[[#This Row],[PTD:INT]]&gt;4,10,IF(Table2[[#This Row],[PTD:INT]]&lt;1,0,10/(4.7442*LN(4)+0.4256)*(4.7442*LN(Table2[[#This Row],[PTD:INT]])+0.4256))),0)</f>
        <v>10</v>
      </c>
      <c r="AJ157">
        <f>ROUND(IF(Table2[[#This Row],[Patt:Ratt]]&lt;2.5,10,IF(Table2[[#This Row],[Patt:Ratt]]&gt;15,0,10/(-2.684*LN(2.5)+9.0869)*(-2.684*LN(Table2[[#This Row],[Patt:Ratt]])+9.0869))),0)</f>
        <v>0</v>
      </c>
      <c r="AK157">
        <f>ROUND(IF(Table2[[#This Row],[Y/A]]&gt;9.2,10,IF(Table2[[#This Row],[Y/A]]&lt;6.26,0,10/(2.2619*9.2-14.16)*(2.2619*Table2[[#This Row],[Y/A]]-14.16))),0)</f>
        <v>10</v>
      </c>
      <c r="AL157">
        <f>ROUND(IF(Table2[[#This Row],[AY/A]]&gt;10,10,IF(Table2[[#This Row],[AY/A]]&lt;5.51,0,10/(1.6571*10-9.1312)*(1.6571*Table2[[#This Row],[AY/A]]-9.1312))),0)</f>
        <v>10</v>
      </c>
      <c r="AM157">
        <f>ROUND(IF(Table2[[#This Row],[40 Yd Dash]]&lt;4.75,10,IF(Table2[[#This Row],[40 Yd Dash]]&gt;5.191,0,10/(-66.95*LN(4.75)+110.26)*(-66.95*LN(Table2[[#This Row],[40 Yd Dash]])+110.26))),0)</f>
        <v>6</v>
      </c>
      <c r="AN157">
        <f>ROUND(IF(Table2[[#This Row],[Hand Size]]&gt;10.25,10,IF(Table2[[#This Row],[Hand Size]]&lt;9,0,10/(15.49*LN(10.25)-30.577)*(15.49*LN(Table2[[#This Row],[Hand Size]])-30.577))),0)</f>
        <v>10</v>
      </c>
    </row>
    <row r="158" spans="1:40" ht="15">
      <c r="A158">
        <v>2020</v>
      </c>
      <c r="B158">
        <v>8</v>
      </c>
      <c r="C158" t="s">
        <v>219</v>
      </c>
      <c r="D158" t="s">
        <v>189</v>
      </c>
      <c r="E158">
        <v>5.48</v>
      </c>
      <c r="G158">
        <f>SUMIFS('NFL QB Data By Year'!$Q:$Q,'NFL QB Data By Year'!$D:$D,Table2[[#This Row],[Player Name]],'NFL QB Data By Year'!$B:$B,Table2[[#This Row],[Draft Year]]+G$1)</f>
        <v>0</v>
      </c>
      <c r="H158">
        <f>SUMIFS('NFL QB Data By Year'!$P:$P,'NFL QB Data By Year'!$D:$D,Table2[[#This Row],[Player Name]],'NFL QB Data By Year'!$B:$B,Table2[[#This Row],[Draft Year]]+H$1)</f>
        <v>0</v>
      </c>
      <c r="I158">
        <f>SUMIFS('NFL QB Data By Year'!$Q:$Q,'NFL QB Data By Year'!$D:$D,Table2[[#This Row],[Player Name]],'NFL QB Data By Year'!$B:$B,Table2[[#This Row],[Draft Year]]+I$1)</f>
        <v>0</v>
      </c>
      <c r="J158">
        <f>SUMIFS('NFL QB Data By Year'!$P:$P,'NFL QB Data By Year'!$D:$D,Table2[[#This Row],[Player Name]],'NFL QB Data By Year'!$B:$B,Table2[[#This Row],[Draft Year]]+J$1)</f>
        <v>0</v>
      </c>
      <c r="K158">
        <f>SUMIFS('NFL QB Data By Year'!$Q:$Q,'NFL QB Data By Year'!$D:$D,Table2[[#This Row],[Player Name]],'NFL QB Data By Year'!$B:$B,Table2[[#This Row],[Draft Year]]+K$1)</f>
        <v>0</v>
      </c>
      <c r="L158">
        <f>SUMIFS('NFL QB Data By Year'!$P:$P,'NFL QB Data By Year'!$D:$D,Table2[[#This Row],[Player Name]],'NFL QB Data By Year'!$B:$B,Table2[[#This Row],[Draft Year]]+L$1)</f>
        <v>0</v>
      </c>
      <c r="M158">
        <f>Table2[[#This Row],[Year 1 G]]+Table2[[#This Row],[Year 2 G]]+Table2[[#This Row],[Year 3 G]]</f>
        <v>0</v>
      </c>
      <c r="N158">
        <f>Table2[[#This Row],[Year 1 FPTs]]+Table2[[#This Row],[Year 2 FPTs]]+Table2[[#This Row],[Year 3 FPTs]]</f>
        <v>0</v>
      </c>
      <c r="O158" s="18">
        <f>IFERROR(Table2[[#This Row],[Total FPTs]]/Table2[[#This Row],[Total G]],0)</f>
        <v>0</v>
      </c>
      <c r="Q158" s="8">
        <f>856/6528</f>
        <v>0.13112745098039216</v>
      </c>
      <c r="R158" s="11">
        <f>51/1280</f>
        <v>3.9843749999999997E-2</v>
      </c>
      <c r="S158">
        <f>131.7</f>
        <v>131.69999999999999</v>
      </c>
      <c r="T158" s="7">
        <f>51/21</f>
        <v>2.4285714285714284</v>
      </c>
      <c r="U158" s="7">
        <f>1280/326</f>
        <v>3.9263803680981595</v>
      </c>
      <c r="V158">
        <f>7.4</f>
        <v>7.4</v>
      </c>
      <c r="W158">
        <v>7.5</v>
      </c>
      <c r="X158" s="9" t="str">
        <f>IFERROR(SUMIFS('College Data By Year'!M:M,'College Data By Year'!A:A,Table2[[#This Row],[Player Name]])/(SUMIFS('College Data By Year'!B:B,'College Data By Year'!A:A,Table2[[#This Row],[Player Name]])+SUMIFS('College Data By Year'!I:I,'College Data By Year'!A:A,Table2[[#This Row],[Player Name]])),"")</f>
        <v/>
      </c>
      <c r="Y158">
        <v>4.8099999999999996</v>
      </c>
      <c r="Z158" s="23">
        <v>9.6999999999999993</v>
      </c>
      <c r="AD158">
        <f>ROUND(IF(Table2[[#This Row],[LZ Grade]]=0,10/(9.297*7-49.141)*(9.297*5.723-49.141),IF(Table2[[#This Row],[LZ Grade]]&lt;5.285,0,IF(Table2[[#This Row],[LZ Grade]]&gt;=7,10,10/(9.297*7-49.141)*(9.297*Table2[[#This Row],[LZ Grade]]-49.141)))),0)</f>
        <v>1</v>
      </c>
      <c r="AE158">
        <f>ROUND(IF(Table2[[#This Row],[Draft Round]]=1,10,IF(Table2[[#This Row],[Draft Round]]=8,0,10/(20.884*EXP(-0.381*1))*(20.884*EXP(-0.381*Table2[[#This Row],[Draft Round]])))),0)</f>
        <v>0</v>
      </c>
      <c r="AF158">
        <f>ROUND(IF(Table2[[#This Row],[College BF Dominator]]&gt;0.3,10,IF(Table2[[#This Row],[College BF Dominator]]&lt;-0.156,0,10/(20.818*0.3+3.2667)*(20.818*Table2[[#This Row],[College BF Dominator]]+3.2667))),0)</f>
        <v>6</v>
      </c>
      <c r="AG158">
        <f>ROUND(IF(Table2[[#This Row],[College PTDR]]&gt;0.085,10,IF(Table2[[#This Row],[College PTDR]]&lt;0.04,0,10/(105.24*0.085-1.7837)*(105.24*Table2[[#This Row],[College PTDR]]-1.7837))),0)</f>
        <v>0</v>
      </c>
      <c r="AH158">
        <f>ROUND(IF(Table2[[#This Row],[College Passer Rating]]&gt;170,10,IF(Table2[[#This Row],[College Passer Rating]]&lt;112.475,0,10/(0.1495*170-16.815)*(0.1495*Table2[[#This Row],[College Passer Rating]]-16.815))),0)</f>
        <v>3</v>
      </c>
      <c r="AI158">
        <f>ROUND(IF(Table2[[#This Row],[PTD:INT]]&gt;4,10,IF(Table2[[#This Row],[PTD:INT]]&lt;1,0,10/(4.7442*LN(4)+0.4256)*(4.7442*LN(Table2[[#This Row],[PTD:INT]])+0.4256))),0)</f>
        <v>7</v>
      </c>
      <c r="AJ158">
        <f>ROUND(IF(Table2[[#This Row],[Patt:Ratt]]&lt;2.5,10,IF(Table2[[#This Row],[Patt:Ratt]]&gt;15,0,10/(-2.684*LN(2.5)+9.0869)*(-2.684*LN(Table2[[#This Row],[Patt:Ratt]])+9.0869))),0)</f>
        <v>8</v>
      </c>
      <c r="AK158">
        <f>ROUND(IF(Table2[[#This Row],[Y/A]]&gt;9.2,10,IF(Table2[[#This Row],[Y/A]]&lt;6.26,0,10/(2.2619*9.2-14.16)*(2.2619*Table2[[#This Row],[Y/A]]-14.16))),0)</f>
        <v>4</v>
      </c>
      <c r="AL158">
        <f>ROUND(IF(Table2[[#This Row],[AY/A]]&gt;10,10,IF(Table2[[#This Row],[AY/A]]&lt;5.51,0,10/(1.6571*10-9.1312)*(1.6571*Table2[[#This Row],[AY/A]]-9.1312))),0)</f>
        <v>4</v>
      </c>
      <c r="AM158">
        <f>ROUND(IF(Table2[[#This Row],[40 Yd Dash]]&lt;4.75,10,IF(Table2[[#This Row],[40 Yd Dash]]&gt;5.191,0,10/(-66.95*LN(4.75)+110.26)*(-66.95*LN(Table2[[#This Row],[40 Yd Dash]])+110.26))),0)</f>
        <v>9</v>
      </c>
      <c r="AN158">
        <f>ROUND(IF(Table2[[#This Row],[Hand Size]]&gt;10.25,10,IF(Table2[[#This Row],[Hand Size]]&lt;9,0,10/(15.49*LN(10.25)-30.577)*(15.49*LN(Table2[[#This Row],[Hand Size]])-30.577))),0)</f>
        <v>8</v>
      </c>
    </row>
  </sheetData>
  <conditionalFormatting sqref="Y3:Y1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1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29"/>
  <sheetViews>
    <sheetView workbookViewId="0">
      <selection activeCell="T191" sqref="T191"/>
    </sheetView>
  </sheetViews>
  <sheetFormatPr defaultRowHeight="14.45"/>
  <cols>
    <col min="1" max="1" width="5.42578125" customWidth="1"/>
    <col min="3" max="3" width="11.5703125" bestFit="1" customWidth="1"/>
    <col min="4" max="4" width="18.7109375" bestFit="1" customWidth="1"/>
    <col min="5" max="5" width="18.7109375" customWidth="1"/>
    <col min="8" max="8" width="10.7109375" bestFit="1" customWidth="1"/>
    <col min="13" max="13" width="9.42578125" bestFit="1" customWidth="1"/>
  </cols>
  <sheetData>
    <row r="2" spans="2:17">
      <c r="F2" s="30" t="s">
        <v>241</v>
      </c>
      <c r="G2" s="31"/>
      <c r="H2" s="31"/>
      <c r="I2" s="31"/>
      <c r="J2" s="31"/>
      <c r="K2" s="31"/>
      <c r="L2" s="31" t="s">
        <v>242</v>
      </c>
      <c r="M2" s="31"/>
      <c r="N2" s="31"/>
      <c r="O2" s="31" t="s">
        <v>243</v>
      </c>
      <c r="P2" s="31"/>
      <c r="Q2" s="32"/>
    </row>
    <row r="3" spans="2:17">
      <c r="B3" s="1" t="s">
        <v>244</v>
      </c>
      <c r="C3" s="2" t="s">
        <v>245</v>
      </c>
      <c r="D3" s="2" t="s">
        <v>246</v>
      </c>
      <c r="E3" s="2" t="s">
        <v>247</v>
      </c>
      <c r="F3" s="2" t="s">
        <v>248</v>
      </c>
      <c r="G3" s="2" t="s">
        <v>249</v>
      </c>
      <c r="H3" s="2" t="s">
        <v>250</v>
      </c>
      <c r="I3" s="2" t="s">
        <v>251</v>
      </c>
      <c r="J3" s="2" t="s">
        <v>252</v>
      </c>
      <c r="K3" s="2" t="s">
        <v>253</v>
      </c>
      <c r="L3" s="2" t="s">
        <v>254</v>
      </c>
      <c r="M3" s="2" t="s">
        <v>255</v>
      </c>
      <c r="N3" s="2" t="s">
        <v>256</v>
      </c>
      <c r="O3" s="2" t="s">
        <v>257</v>
      </c>
      <c r="P3" s="2" t="s">
        <v>258</v>
      </c>
      <c r="Q3" s="3" t="s">
        <v>259</v>
      </c>
    </row>
    <row r="4" spans="2:17" hidden="1">
      <c r="B4">
        <f>'[1]Processed Data'!B4</f>
        <v>2021</v>
      </c>
      <c r="C4">
        <f>'[1]Processed Data'!C4</f>
        <v>1</v>
      </c>
      <c r="D4" t="str">
        <f>'[1]Processed Data'!D4</f>
        <v>Josh Allen</v>
      </c>
      <c r="E4">
        <f>Table1[[#This Row],[Year]]</f>
        <v>2021</v>
      </c>
      <c r="F4">
        <f>'[1]Processed Data'!F4</f>
        <v>409</v>
      </c>
      <c r="G4">
        <f>'[1]Processed Data'!G4</f>
        <v>646</v>
      </c>
      <c r="H4">
        <f>'[1]Processed Data'!H4</f>
        <v>63.3</v>
      </c>
      <c r="I4">
        <f>'[1]Processed Data'!I4</f>
        <v>36</v>
      </c>
      <c r="J4">
        <f>'[1]Processed Data'!J4</f>
        <v>15</v>
      </c>
      <c r="K4">
        <f>'[1]Processed Data'!K4</f>
        <v>26</v>
      </c>
      <c r="L4">
        <f>'[1]Processed Data'!L4</f>
        <v>122</v>
      </c>
      <c r="M4">
        <f>'[1]Processed Data'!M4</f>
        <v>763</v>
      </c>
      <c r="N4">
        <f>'[1]Processed Data'!N4</f>
        <v>6</v>
      </c>
      <c r="O4">
        <f>'[1]Processed Data'!O4</f>
        <v>3</v>
      </c>
      <c r="P4">
        <f>'[1]Processed Data'!P4</f>
        <v>417.7</v>
      </c>
      <c r="Q4">
        <f>'[1]Processed Data'!Q4</f>
        <v>17</v>
      </c>
    </row>
    <row r="5" spans="2:17" hidden="1">
      <c r="B5">
        <f>'[1]Processed Data'!B5</f>
        <v>2021</v>
      </c>
      <c r="C5">
        <f>'[1]Processed Data'!C5</f>
        <v>2</v>
      </c>
      <c r="D5" t="str">
        <f>'[1]Processed Data'!D5</f>
        <v>Justin Herbert</v>
      </c>
      <c r="E5">
        <f>Table1[[#This Row],[Year]]</f>
        <v>2021</v>
      </c>
      <c r="F5">
        <f>'[1]Processed Data'!F5</f>
        <v>443</v>
      </c>
      <c r="G5">
        <f>'[1]Processed Data'!G5</f>
        <v>672</v>
      </c>
      <c r="H5">
        <f>'[1]Processed Data'!H5</f>
        <v>65.900000000000006</v>
      </c>
      <c r="I5">
        <f>'[1]Processed Data'!I5</f>
        <v>38</v>
      </c>
      <c r="J5">
        <f>'[1]Processed Data'!J5</f>
        <v>15</v>
      </c>
      <c r="K5">
        <f>'[1]Processed Data'!K5</f>
        <v>31</v>
      </c>
      <c r="L5">
        <f>'[1]Processed Data'!L5</f>
        <v>63</v>
      </c>
      <c r="M5">
        <f>'[1]Processed Data'!M5</f>
        <v>302</v>
      </c>
      <c r="N5">
        <f>'[1]Processed Data'!N5</f>
        <v>3</v>
      </c>
      <c r="O5">
        <f>'[1]Processed Data'!O5</f>
        <v>1</v>
      </c>
      <c r="P5">
        <f>'[1]Processed Data'!P5</f>
        <v>395.6</v>
      </c>
      <c r="Q5">
        <f>'[1]Processed Data'!Q5</f>
        <v>17</v>
      </c>
    </row>
    <row r="6" spans="2:17" hidden="1">
      <c r="B6">
        <f>'[1]Processed Data'!B6</f>
        <v>2021</v>
      </c>
      <c r="C6">
        <f>'[1]Processed Data'!C6</f>
        <v>3</v>
      </c>
      <c r="D6" t="str">
        <f>'[1]Processed Data'!D6</f>
        <v>Tom Brady</v>
      </c>
      <c r="E6">
        <f>Table1[[#This Row],[Year]]</f>
        <v>2021</v>
      </c>
      <c r="F6">
        <f>'[1]Processed Data'!F6</f>
        <v>485</v>
      </c>
      <c r="G6">
        <f>'[1]Processed Data'!G6</f>
        <v>719</v>
      </c>
      <c r="H6">
        <f>'[1]Processed Data'!H6</f>
        <v>67.5</v>
      </c>
      <c r="I6">
        <f>'[1]Processed Data'!I6</f>
        <v>43</v>
      </c>
      <c r="J6">
        <f>'[1]Processed Data'!J6</f>
        <v>12</v>
      </c>
      <c r="K6">
        <f>'[1]Processed Data'!K6</f>
        <v>22</v>
      </c>
      <c r="L6">
        <f>'[1]Processed Data'!L6</f>
        <v>28</v>
      </c>
      <c r="M6">
        <f>'[1]Processed Data'!M6</f>
        <v>81</v>
      </c>
      <c r="N6">
        <f>'[1]Processed Data'!N6</f>
        <v>2</v>
      </c>
      <c r="O6">
        <f>'[1]Processed Data'!O6</f>
        <v>3</v>
      </c>
      <c r="P6">
        <f>'[1]Processed Data'!P6</f>
        <v>386.7</v>
      </c>
      <c r="Q6">
        <f>'[1]Processed Data'!Q6</f>
        <v>17</v>
      </c>
    </row>
    <row r="7" spans="2:17" hidden="1">
      <c r="B7">
        <f>'[1]Processed Data'!B7</f>
        <v>2021</v>
      </c>
      <c r="C7">
        <f>'[1]Processed Data'!C7</f>
        <v>4</v>
      </c>
      <c r="D7" t="str">
        <f>'[1]Processed Data'!D7</f>
        <v>Patrick Mahomes II</v>
      </c>
      <c r="E7">
        <f>Table1[[#This Row],[Year]]</f>
        <v>2021</v>
      </c>
      <c r="F7">
        <f>'[1]Processed Data'!F7</f>
        <v>436</v>
      </c>
      <c r="G7">
        <f>'[1]Processed Data'!G7</f>
        <v>658</v>
      </c>
      <c r="H7">
        <f>'[1]Processed Data'!H7</f>
        <v>66.3</v>
      </c>
      <c r="I7">
        <f>'[1]Processed Data'!I7</f>
        <v>37</v>
      </c>
      <c r="J7">
        <f>'[1]Processed Data'!J7</f>
        <v>13</v>
      </c>
      <c r="K7">
        <f>'[1]Processed Data'!K7</f>
        <v>28</v>
      </c>
      <c r="L7">
        <f>'[1]Processed Data'!L7</f>
        <v>66</v>
      </c>
      <c r="M7">
        <f>'[1]Processed Data'!M7</f>
        <v>381</v>
      </c>
      <c r="N7">
        <f>'[1]Processed Data'!N7</f>
        <v>2</v>
      </c>
      <c r="O7">
        <f>'[1]Processed Data'!O7</f>
        <v>4</v>
      </c>
      <c r="P7">
        <f>'[1]Processed Data'!P7</f>
        <v>374.2</v>
      </c>
      <c r="Q7">
        <f>'[1]Processed Data'!Q7</f>
        <v>17</v>
      </c>
    </row>
    <row r="8" spans="2:17" hidden="1">
      <c r="B8">
        <f>'[1]Processed Data'!B8</f>
        <v>2021</v>
      </c>
      <c r="C8">
        <f>'[1]Processed Data'!C8</f>
        <v>5</v>
      </c>
      <c r="D8" t="str">
        <f>'[1]Processed Data'!D8</f>
        <v>Matthew Stafford</v>
      </c>
      <c r="E8">
        <f>Table1[[#This Row],[Year]]</f>
        <v>2021</v>
      </c>
      <c r="F8">
        <f>'[1]Processed Data'!F8</f>
        <v>404</v>
      </c>
      <c r="G8">
        <f>'[1]Processed Data'!G8</f>
        <v>601</v>
      </c>
      <c r="H8">
        <f>'[1]Processed Data'!H8</f>
        <v>67.2</v>
      </c>
      <c r="I8">
        <f>'[1]Processed Data'!I8</f>
        <v>41</v>
      </c>
      <c r="J8">
        <f>'[1]Processed Data'!J8</f>
        <v>17</v>
      </c>
      <c r="K8">
        <f>'[1]Processed Data'!K8</f>
        <v>30</v>
      </c>
      <c r="L8">
        <f>'[1]Processed Data'!L8</f>
        <v>32</v>
      </c>
      <c r="M8">
        <f>'[1]Processed Data'!M8</f>
        <v>43</v>
      </c>
      <c r="N8">
        <f>'[1]Processed Data'!N8</f>
        <v>0</v>
      </c>
      <c r="O8">
        <f>'[1]Processed Data'!O8</f>
        <v>2</v>
      </c>
      <c r="P8">
        <f>'[1]Processed Data'!P8</f>
        <v>346.8</v>
      </c>
      <c r="Q8">
        <f>'[1]Processed Data'!Q8</f>
        <v>17</v>
      </c>
    </row>
    <row r="9" spans="2:17" hidden="1">
      <c r="B9">
        <f>'[1]Processed Data'!B9</f>
        <v>2021</v>
      </c>
      <c r="C9">
        <f>'[1]Processed Data'!C9</f>
        <v>6</v>
      </c>
      <c r="D9" t="str">
        <f>'[1]Processed Data'!D9</f>
        <v>Aaron Rodgers</v>
      </c>
      <c r="E9">
        <f>Table1[[#This Row],[Year]]</f>
        <v>2021</v>
      </c>
      <c r="F9">
        <f>'[1]Processed Data'!F9</f>
        <v>366</v>
      </c>
      <c r="G9">
        <f>'[1]Processed Data'!G9</f>
        <v>531</v>
      </c>
      <c r="H9">
        <f>'[1]Processed Data'!H9</f>
        <v>68.900000000000006</v>
      </c>
      <c r="I9">
        <f>'[1]Processed Data'!I9</f>
        <v>37</v>
      </c>
      <c r="J9">
        <f>'[1]Processed Data'!J9</f>
        <v>4</v>
      </c>
      <c r="K9">
        <f>'[1]Processed Data'!K9</f>
        <v>30</v>
      </c>
      <c r="L9">
        <f>'[1]Processed Data'!L9</f>
        <v>33</v>
      </c>
      <c r="M9">
        <f>'[1]Processed Data'!M9</f>
        <v>101</v>
      </c>
      <c r="N9">
        <f>'[1]Processed Data'!N9</f>
        <v>3</v>
      </c>
      <c r="O9">
        <f>'[1]Processed Data'!O9</f>
        <v>0</v>
      </c>
      <c r="P9">
        <f>'[1]Processed Data'!P9</f>
        <v>336.8</v>
      </c>
      <c r="Q9">
        <f>'[1]Processed Data'!Q9</f>
        <v>16</v>
      </c>
    </row>
    <row r="10" spans="2:17" hidden="1">
      <c r="B10">
        <f>'[1]Processed Data'!B10</f>
        <v>2021</v>
      </c>
      <c r="C10">
        <f>'[1]Processed Data'!C10</f>
        <v>7</v>
      </c>
      <c r="D10" t="str">
        <f>'[1]Processed Data'!D10</f>
        <v>Dak Prescott</v>
      </c>
      <c r="E10">
        <f>Table1[[#This Row],[Year]]</f>
        <v>2021</v>
      </c>
      <c r="F10">
        <f>'[1]Processed Data'!F10</f>
        <v>410</v>
      </c>
      <c r="G10">
        <f>'[1]Processed Data'!G10</f>
        <v>596</v>
      </c>
      <c r="H10">
        <f>'[1]Processed Data'!H10</f>
        <v>68.8</v>
      </c>
      <c r="I10">
        <f>'[1]Processed Data'!I10</f>
        <v>37</v>
      </c>
      <c r="J10">
        <f>'[1]Processed Data'!J10</f>
        <v>10</v>
      </c>
      <c r="K10">
        <f>'[1]Processed Data'!K10</f>
        <v>30</v>
      </c>
      <c r="L10">
        <f>'[1]Processed Data'!L10</f>
        <v>48</v>
      </c>
      <c r="M10">
        <f>'[1]Processed Data'!M10</f>
        <v>146</v>
      </c>
      <c r="N10">
        <f>'[1]Processed Data'!N10</f>
        <v>1</v>
      </c>
      <c r="O10">
        <f>'[1]Processed Data'!O10</f>
        <v>6</v>
      </c>
      <c r="P10">
        <f>'[1]Processed Data'!P10</f>
        <v>330.4</v>
      </c>
      <c r="Q10">
        <f>'[1]Processed Data'!Q10</f>
        <v>16</v>
      </c>
    </row>
    <row r="11" spans="2:17" hidden="1">
      <c r="B11">
        <f>'[1]Processed Data'!B11</f>
        <v>2021</v>
      </c>
      <c r="C11">
        <f>'[1]Processed Data'!C11</f>
        <v>8</v>
      </c>
      <c r="D11" t="str">
        <f>'[1]Processed Data'!D11</f>
        <v>Joe Burrow</v>
      </c>
      <c r="E11">
        <f>Table1[[#This Row],[Year]]</f>
        <v>2021</v>
      </c>
      <c r="F11">
        <f>'[1]Processed Data'!F11</f>
        <v>366</v>
      </c>
      <c r="G11">
        <f>'[1]Processed Data'!G11</f>
        <v>520</v>
      </c>
      <c r="H11">
        <f>'[1]Processed Data'!H11</f>
        <v>70.400000000000006</v>
      </c>
      <c r="I11">
        <f>'[1]Processed Data'!I11</f>
        <v>34</v>
      </c>
      <c r="J11">
        <f>'[1]Processed Data'!J11</f>
        <v>14</v>
      </c>
      <c r="K11">
        <f>'[1]Processed Data'!K11</f>
        <v>51</v>
      </c>
      <c r="L11">
        <f>'[1]Processed Data'!L11</f>
        <v>40</v>
      </c>
      <c r="M11">
        <f>'[1]Processed Data'!M11</f>
        <v>118</v>
      </c>
      <c r="N11">
        <f>'[1]Processed Data'!N11</f>
        <v>2</v>
      </c>
      <c r="O11">
        <f>'[1]Processed Data'!O11</f>
        <v>2</v>
      </c>
      <c r="P11">
        <f>'[1]Processed Data'!P11</f>
        <v>328.1</v>
      </c>
      <c r="Q11">
        <f>'[1]Processed Data'!Q11</f>
        <v>16</v>
      </c>
    </row>
    <row r="12" spans="2:17" hidden="1">
      <c r="B12">
        <f>'[1]Processed Data'!B12</f>
        <v>2021</v>
      </c>
      <c r="C12">
        <f>'[1]Processed Data'!C12</f>
        <v>9</v>
      </c>
      <c r="D12" t="str">
        <f>'[1]Processed Data'!D12</f>
        <v>Jalen Hurts</v>
      </c>
      <c r="E12">
        <f>Table1[[#This Row],[Year]]</f>
        <v>2021</v>
      </c>
      <c r="F12">
        <f>'[1]Processed Data'!F12</f>
        <v>265</v>
      </c>
      <c r="G12">
        <f>'[1]Processed Data'!G12</f>
        <v>432</v>
      </c>
      <c r="H12">
        <f>'[1]Processed Data'!H12</f>
        <v>61.3</v>
      </c>
      <c r="I12">
        <f>'[1]Processed Data'!I12</f>
        <v>16</v>
      </c>
      <c r="J12">
        <f>'[1]Processed Data'!J12</f>
        <v>9</v>
      </c>
      <c r="K12">
        <f>'[1]Processed Data'!K12</f>
        <v>26</v>
      </c>
      <c r="L12">
        <f>'[1]Processed Data'!L12</f>
        <v>139</v>
      </c>
      <c r="M12">
        <f>'[1]Processed Data'!M12</f>
        <v>784</v>
      </c>
      <c r="N12">
        <f>'[1]Processed Data'!N12</f>
        <v>10</v>
      </c>
      <c r="O12">
        <f>'[1]Processed Data'!O12</f>
        <v>2</v>
      </c>
      <c r="P12">
        <f>'[1]Processed Data'!P12</f>
        <v>321.2</v>
      </c>
      <c r="Q12">
        <f>'[1]Processed Data'!Q12</f>
        <v>15</v>
      </c>
    </row>
    <row r="13" spans="2:17" hidden="1">
      <c r="B13">
        <f>'[1]Processed Data'!B13</f>
        <v>2021</v>
      </c>
      <c r="C13">
        <f>'[1]Processed Data'!C13</f>
        <v>10</v>
      </c>
      <c r="D13" t="str">
        <f>'[1]Processed Data'!D13</f>
        <v>Kyler Murray</v>
      </c>
      <c r="E13">
        <f>Table1[[#This Row],[Year]]</f>
        <v>2021</v>
      </c>
      <c r="F13">
        <f>'[1]Processed Data'!F13</f>
        <v>333</v>
      </c>
      <c r="G13">
        <f>'[1]Processed Data'!G13</f>
        <v>481</v>
      </c>
      <c r="H13">
        <f>'[1]Processed Data'!H13</f>
        <v>69.2</v>
      </c>
      <c r="I13">
        <f>'[1]Processed Data'!I13</f>
        <v>24</v>
      </c>
      <c r="J13">
        <f>'[1]Processed Data'!J13</f>
        <v>10</v>
      </c>
      <c r="K13">
        <f>'[1]Processed Data'!K13</f>
        <v>31</v>
      </c>
      <c r="L13">
        <f>'[1]Processed Data'!L13</f>
        <v>88</v>
      </c>
      <c r="M13">
        <f>'[1]Processed Data'!M13</f>
        <v>423</v>
      </c>
      <c r="N13">
        <f>'[1]Processed Data'!N13</f>
        <v>5</v>
      </c>
      <c r="O13">
        <f>'[1]Processed Data'!O13</f>
        <v>0</v>
      </c>
      <c r="P13">
        <f>'[1]Processed Data'!P13</f>
        <v>310.5</v>
      </c>
      <c r="Q13">
        <f>'[1]Processed Data'!Q13</f>
        <v>14</v>
      </c>
    </row>
    <row r="14" spans="2:17" hidden="1">
      <c r="B14">
        <f>'[1]Processed Data'!B14</f>
        <v>2021</v>
      </c>
      <c r="C14">
        <f>'[1]Processed Data'!C14</f>
        <v>11</v>
      </c>
      <c r="D14" t="str">
        <f>'[1]Processed Data'!D14</f>
        <v>Kirk Cousins</v>
      </c>
      <c r="E14">
        <f>Table1[[#This Row],[Year]]</f>
        <v>2021</v>
      </c>
      <c r="F14">
        <f>'[1]Processed Data'!F14</f>
        <v>372</v>
      </c>
      <c r="G14">
        <f>'[1]Processed Data'!G14</f>
        <v>561</v>
      </c>
      <c r="H14">
        <f>'[1]Processed Data'!H14</f>
        <v>66.3</v>
      </c>
      <c r="I14">
        <f>'[1]Processed Data'!I14</f>
        <v>33</v>
      </c>
      <c r="J14">
        <f>'[1]Processed Data'!J14</f>
        <v>7</v>
      </c>
      <c r="K14">
        <f>'[1]Processed Data'!K14</f>
        <v>28</v>
      </c>
      <c r="L14">
        <f>'[1]Processed Data'!L14</f>
        <v>29</v>
      </c>
      <c r="M14">
        <f>'[1]Processed Data'!M14</f>
        <v>115</v>
      </c>
      <c r="N14">
        <f>'[1]Processed Data'!N14</f>
        <v>1</v>
      </c>
      <c r="O14">
        <f>'[1]Processed Data'!O14</f>
        <v>2</v>
      </c>
      <c r="P14">
        <f>'[1]Processed Data'!P14</f>
        <v>307.3</v>
      </c>
      <c r="Q14">
        <f>'[1]Processed Data'!Q14</f>
        <v>16</v>
      </c>
    </row>
    <row r="15" spans="2:17" hidden="1">
      <c r="B15">
        <f>'[1]Processed Data'!B15</f>
        <v>2021</v>
      </c>
      <c r="C15">
        <f>'[1]Processed Data'!C15</f>
        <v>12</v>
      </c>
      <c r="D15" t="str">
        <f>'[1]Processed Data'!D15</f>
        <v>Ryan Tannehill</v>
      </c>
      <c r="E15">
        <f>Table1[[#This Row],[Year]]</f>
        <v>2021</v>
      </c>
      <c r="F15">
        <f>'[1]Processed Data'!F15</f>
        <v>357</v>
      </c>
      <c r="G15">
        <f>'[1]Processed Data'!G15</f>
        <v>531</v>
      </c>
      <c r="H15">
        <f>'[1]Processed Data'!H15</f>
        <v>67.2</v>
      </c>
      <c r="I15">
        <f>'[1]Processed Data'!I15</f>
        <v>21</v>
      </c>
      <c r="J15">
        <f>'[1]Processed Data'!J15</f>
        <v>14</v>
      </c>
      <c r="K15">
        <f>'[1]Processed Data'!K15</f>
        <v>47</v>
      </c>
      <c r="L15">
        <f>'[1]Processed Data'!L15</f>
        <v>55</v>
      </c>
      <c r="M15">
        <f>'[1]Processed Data'!M15</f>
        <v>270</v>
      </c>
      <c r="N15">
        <f>'[1]Processed Data'!N15</f>
        <v>7</v>
      </c>
      <c r="O15">
        <f>'[1]Processed Data'!O15</f>
        <v>4</v>
      </c>
      <c r="P15">
        <f>'[1]Processed Data'!P15</f>
        <v>282.3</v>
      </c>
      <c r="Q15">
        <f>'[1]Processed Data'!Q15</f>
        <v>17</v>
      </c>
    </row>
    <row r="16" spans="2:17" hidden="1">
      <c r="B16">
        <f>'[1]Processed Data'!B16</f>
        <v>2021</v>
      </c>
      <c r="C16">
        <f>'[1]Processed Data'!C16</f>
        <v>13</v>
      </c>
      <c r="D16" t="str">
        <f>'[1]Processed Data'!D16</f>
        <v>Derek Carr</v>
      </c>
      <c r="E16">
        <f>Table1[[#This Row],[Year]]</f>
        <v>2021</v>
      </c>
      <c r="F16">
        <f>'[1]Processed Data'!F16</f>
        <v>428</v>
      </c>
      <c r="G16">
        <f>'[1]Processed Data'!G16</f>
        <v>626</v>
      </c>
      <c r="H16">
        <f>'[1]Processed Data'!H16</f>
        <v>68.400000000000006</v>
      </c>
      <c r="I16">
        <f>'[1]Processed Data'!I16</f>
        <v>23</v>
      </c>
      <c r="J16">
        <f>'[1]Processed Data'!J16</f>
        <v>14</v>
      </c>
      <c r="K16">
        <f>'[1]Processed Data'!K16</f>
        <v>40</v>
      </c>
      <c r="L16">
        <f>'[1]Processed Data'!L16</f>
        <v>40</v>
      </c>
      <c r="M16">
        <f>'[1]Processed Data'!M16</f>
        <v>108</v>
      </c>
      <c r="N16">
        <f>'[1]Processed Data'!N16</f>
        <v>0</v>
      </c>
      <c r="O16">
        <f>'[1]Processed Data'!O16</f>
        <v>5</v>
      </c>
      <c r="P16">
        <f>'[1]Processed Data'!P16</f>
        <v>270.60000000000002</v>
      </c>
      <c r="Q16">
        <f>'[1]Processed Data'!Q16</f>
        <v>17</v>
      </c>
    </row>
    <row r="17" spans="2:17" hidden="1">
      <c r="B17">
        <f>'[1]Processed Data'!B17</f>
        <v>2021</v>
      </c>
      <c r="C17">
        <f>'[1]Processed Data'!C17</f>
        <v>14</v>
      </c>
      <c r="D17" t="str">
        <f>'[1]Processed Data'!D17</f>
        <v>Carson Wentz</v>
      </c>
      <c r="E17">
        <f>Table1[[#This Row],[Year]]</f>
        <v>2021</v>
      </c>
      <c r="F17">
        <f>'[1]Processed Data'!F17</f>
        <v>322</v>
      </c>
      <c r="G17">
        <f>'[1]Processed Data'!G17</f>
        <v>516</v>
      </c>
      <c r="H17">
        <f>'[1]Processed Data'!H17</f>
        <v>62.4</v>
      </c>
      <c r="I17">
        <f>'[1]Processed Data'!I17</f>
        <v>27</v>
      </c>
      <c r="J17">
        <f>'[1]Processed Data'!J17</f>
        <v>7</v>
      </c>
      <c r="K17">
        <f>'[1]Processed Data'!K17</f>
        <v>32</v>
      </c>
      <c r="L17">
        <f>'[1]Processed Data'!L17</f>
        <v>57</v>
      </c>
      <c r="M17">
        <f>'[1]Processed Data'!M17</f>
        <v>215</v>
      </c>
      <c r="N17">
        <f>'[1]Processed Data'!N17</f>
        <v>1</v>
      </c>
      <c r="O17">
        <f>'[1]Processed Data'!O17</f>
        <v>5</v>
      </c>
      <c r="P17">
        <f>'[1]Processed Data'!P17</f>
        <v>264.89999999999998</v>
      </c>
      <c r="Q17">
        <f>'[1]Processed Data'!Q17</f>
        <v>17</v>
      </c>
    </row>
    <row r="18" spans="2:17" hidden="1">
      <c r="B18">
        <f>'[1]Processed Data'!B18</f>
        <v>2021</v>
      </c>
      <c r="C18">
        <f>'[1]Processed Data'!C18</f>
        <v>15</v>
      </c>
      <c r="D18" t="str">
        <f>'[1]Processed Data'!D18</f>
        <v>Lamar Jackson</v>
      </c>
      <c r="E18">
        <f>Table1[[#This Row],[Year]]</f>
        <v>2021</v>
      </c>
      <c r="F18">
        <f>'[1]Processed Data'!F18</f>
        <v>246</v>
      </c>
      <c r="G18">
        <f>'[1]Processed Data'!G18</f>
        <v>382</v>
      </c>
      <c r="H18">
        <f>'[1]Processed Data'!H18</f>
        <v>64.400000000000006</v>
      </c>
      <c r="I18">
        <f>'[1]Processed Data'!I18</f>
        <v>16</v>
      </c>
      <c r="J18">
        <f>'[1]Processed Data'!J18</f>
        <v>13</v>
      </c>
      <c r="K18">
        <f>'[1]Processed Data'!K18</f>
        <v>38</v>
      </c>
      <c r="L18">
        <f>'[1]Processed Data'!L18</f>
        <v>134</v>
      </c>
      <c r="M18">
        <f>'[1]Processed Data'!M18</f>
        <v>767</v>
      </c>
      <c r="N18">
        <f>'[1]Processed Data'!N18</f>
        <v>2</v>
      </c>
      <c r="O18">
        <f>'[1]Processed Data'!O18</f>
        <v>3</v>
      </c>
      <c r="P18">
        <f>'[1]Processed Data'!P18</f>
        <v>253</v>
      </c>
      <c r="Q18">
        <f>'[1]Processed Data'!Q18</f>
        <v>12</v>
      </c>
    </row>
    <row r="19" spans="2:17" hidden="1">
      <c r="B19">
        <f>'[1]Processed Data'!B19</f>
        <v>2021</v>
      </c>
      <c r="C19">
        <f>'[1]Processed Data'!C19</f>
        <v>16</v>
      </c>
      <c r="D19" t="str">
        <f>'[1]Processed Data'!D19</f>
        <v>Russell Wilson</v>
      </c>
      <c r="E19">
        <f>Table1[[#This Row],[Year]]</f>
        <v>2021</v>
      </c>
      <c r="F19">
        <f>'[1]Processed Data'!F19</f>
        <v>259</v>
      </c>
      <c r="G19">
        <f>'[1]Processed Data'!G19</f>
        <v>400</v>
      </c>
      <c r="H19">
        <f>'[1]Processed Data'!H19</f>
        <v>64.8</v>
      </c>
      <c r="I19">
        <f>'[1]Processed Data'!I19</f>
        <v>25</v>
      </c>
      <c r="J19">
        <f>'[1]Processed Data'!J19</f>
        <v>6</v>
      </c>
      <c r="K19">
        <f>'[1]Processed Data'!K19</f>
        <v>33</v>
      </c>
      <c r="L19">
        <f>'[1]Processed Data'!L19</f>
        <v>43</v>
      </c>
      <c r="M19">
        <f>'[1]Processed Data'!M19</f>
        <v>183</v>
      </c>
      <c r="N19">
        <f>'[1]Processed Data'!N19</f>
        <v>2</v>
      </c>
      <c r="O19">
        <f>'[1]Processed Data'!O19</f>
        <v>1</v>
      </c>
      <c r="P19">
        <f>'[1]Processed Data'!P19</f>
        <v>248.7</v>
      </c>
      <c r="Q19">
        <f>'[1]Processed Data'!Q19</f>
        <v>14</v>
      </c>
    </row>
    <row r="20" spans="2:17" hidden="1">
      <c r="B20">
        <f>'[1]Processed Data'!B20</f>
        <v>2021</v>
      </c>
      <c r="C20">
        <f>'[1]Processed Data'!C20</f>
        <v>17</v>
      </c>
      <c r="D20" t="str">
        <f>'[1]Processed Data'!D20</f>
        <v>Jimmy Garoppolo</v>
      </c>
      <c r="E20">
        <f>Table1[[#This Row],[Year]]</f>
        <v>2021</v>
      </c>
      <c r="F20">
        <f>'[1]Processed Data'!F20</f>
        <v>301</v>
      </c>
      <c r="G20">
        <f>'[1]Processed Data'!G20</f>
        <v>441</v>
      </c>
      <c r="H20">
        <f>'[1]Processed Data'!H20</f>
        <v>68.3</v>
      </c>
      <c r="I20">
        <f>'[1]Processed Data'!I20</f>
        <v>20</v>
      </c>
      <c r="J20">
        <f>'[1]Processed Data'!J20</f>
        <v>12</v>
      </c>
      <c r="K20">
        <f>'[1]Processed Data'!K20</f>
        <v>29</v>
      </c>
      <c r="L20">
        <f>'[1]Processed Data'!L20</f>
        <v>38</v>
      </c>
      <c r="M20">
        <f>'[1]Processed Data'!M20</f>
        <v>51</v>
      </c>
      <c r="N20">
        <f>'[1]Processed Data'!N20</f>
        <v>3</v>
      </c>
      <c r="O20">
        <f>'[1]Processed Data'!O20</f>
        <v>3</v>
      </c>
      <c r="P20">
        <f>'[1]Processed Data'!P20</f>
        <v>239.5</v>
      </c>
      <c r="Q20">
        <f>'[1]Processed Data'!Q20</f>
        <v>15</v>
      </c>
    </row>
    <row r="21" spans="2:17" hidden="1">
      <c r="B21">
        <f>'[1]Processed Data'!B21</f>
        <v>2021</v>
      </c>
      <c r="C21">
        <f>'[1]Processed Data'!C21</f>
        <v>18</v>
      </c>
      <c r="D21" t="str">
        <f>'[1]Processed Data'!D21</f>
        <v>Mac Jones</v>
      </c>
      <c r="E21">
        <f>Table1[[#This Row],[Year]]</f>
        <v>2021</v>
      </c>
      <c r="F21">
        <f>'[1]Processed Data'!F21</f>
        <v>352</v>
      </c>
      <c r="G21">
        <f>'[1]Processed Data'!G21</f>
        <v>521</v>
      </c>
      <c r="H21">
        <f>'[1]Processed Data'!H21</f>
        <v>67.599999999999994</v>
      </c>
      <c r="I21">
        <f>'[1]Processed Data'!I21</f>
        <v>22</v>
      </c>
      <c r="J21">
        <f>'[1]Processed Data'!J21</f>
        <v>13</v>
      </c>
      <c r="K21">
        <f>'[1]Processed Data'!K21</f>
        <v>28</v>
      </c>
      <c r="L21">
        <f>'[1]Processed Data'!L21</f>
        <v>44</v>
      </c>
      <c r="M21">
        <f>'[1]Processed Data'!M21</f>
        <v>129</v>
      </c>
      <c r="N21">
        <f>'[1]Processed Data'!N21</f>
        <v>0</v>
      </c>
      <c r="O21">
        <f>'[1]Processed Data'!O21</f>
        <v>3</v>
      </c>
      <c r="P21">
        <f>'[1]Processed Data'!P21</f>
        <v>238</v>
      </c>
      <c r="Q21">
        <f>'[1]Processed Data'!Q21</f>
        <v>17</v>
      </c>
    </row>
    <row r="22" spans="2:17" hidden="1">
      <c r="B22">
        <f>'[1]Processed Data'!B22</f>
        <v>2021</v>
      </c>
      <c r="C22">
        <f>'[1]Processed Data'!C22</f>
        <v>19</v>
      </c>
      <c r="D22" t="str">
        <f>'[1]Processed Data'!D22</f>
        <v>Taylor Heinicke</v>
      </c>
      <c r="E22">
        <f>Table1[[#This Row],[Year]]</f>
        <v>2021</v>
      </c>
      <c r="F22">
        <f>'[1]Processed Data'!F22</f>
        <v>321</v>
      </c>
      <c r="G22">
        <f>'[1]Processed Data'!G22</f>
        <v>494</v>
      </c>
      <c r="H22">
        <f>'[1]Processed Data'!H22</f>
        <v>65</v>
      </c>
      <c r="I22">
        <f>'[1]Processed Data'!I22</f>
        <v>20</v>
      </c>
      <c r="J22">
        <f>'[1]Processed Data'!J22</f>
        <v>15</v>
      </c>
      <c r="K22">
        <f>'[1]Processed Data'!K22</f>
        <v>38</v>
      </c>
      <c r="L22">
        <f>'[1]Processed Data'!L22</f>
        <v>60</v>
      </c>
      <c r="M22">
        <f>'[1]Processed Data'!M22</f>
        <v>313</v>
      </c>
      <c r="N22">
        <f>'[1]Processed Data'!N22</f>
        <v>1</v>
      </c>
      <c r="O22">
        <f>'[1]Processed Data'!O22</f>
        <v>2</v>
      </c>
      <c r="P22">
        <f>'[1]Processed Data'!P22</f>
        <v>237.2</v>
      </c>
      <c r="Q22">
        <f>'[1]Processed Data'!Q22</f>
        <v>16</v>
      </c>
    </row>
    <row r="23" spans="2:17" hidden="1">
      <c r="B23">
        <f>'[1]Processed Data'!B23</f>
        <v>2021</v>
      </c>
      <c r="C23">
        <f>'[1]Processed Data'!C23</f>
        <v>20</v>
      </c>
      <c r="D23" t="str">
        <f>'[1]Processed Data'!D23</f>
        <v>Matt Ryan</v>
      </c>
      <c r="E23">
        <f>Table1[[#This Row],[Year]]</f>
        <v>2021</v>
      </c>
      <c r="F23">
        <f>'[1]Processed Data'!F23</f>
        <v>375</v>
      </c>
      <c r="G23">
        <f>'[1]Processed Data'!G23</f>
        <v>560</v>
      </c>
      <c r="H23">
        <f>'[1]Processed Data'!H23</f>
        <v>67</v>
      </c>
      <c r="I23">
        <f>'[1]Processed Data'!I23</f>
        <v>20</v>
      </c>
      <c r="J23">
        <f>'[1]Processed Data'!J23</f>
        <v>12</v>
      </c>
      <c r="K23">
        <f>'[1]Processed Data'!K23</f>
        <v>40</v>
      </c>
      <c r="L23">
        <f>'[1]Processed Data'!L23</f>
        <v>40</v>
      </c>
      <c r="M23">
        <f>'[1]Processed Data'!M23</f>
        <v>82</v>
      </c>
      <c r="N23">
        <f>'[1]Processed Data'!N23</f>
        <v>1</v>
      </c>
      <c r="O23">
        <f>'[1]Processed Data'!O23</f>
        <v>4</v>
      </c>
      <c r="P23">
        <f>'[1]Processed Data'!P23</f>
        <v>234.8</v>
      </c>
      <c r="Q23">
        <f>'[1]Processed Data'!Q23</f>
        <v>17</v>
      </c>
    </row>
    <row r="24" spans="2:17" hidden="1">
      <c r="B24">
        <f>'[1]Processed Data'!B24</f>
        <v>2021</v>
      </c>
      <c r="C24">
        <f>'[1]Processed Data'!C24</f>
        <v>21</v>
      </c>
      <c r="D24" t="str">
        <f>'[1]Processed Data'!D24</f>
        <v>Ben Roethlisberger</v>
      </c>
      <c r="E24">
        <f>Table1[[#This Row],[Year]]</f>
        <v>2021</v>
      </c>
      <c r="F24">
        <f>'[1]Processed Data'!F24</f>
        <v>390</v>
      </c>
      <c r="G24">
        <f>'[1]Processed Data'!G24</f>
        <v>605</v>
      </c>
      <c r="H24">
        <f>'[1]Processed Data'!H24</f>
        <v>64.5</v>
      </c>
      <c r="I24">
        <f>'[1]Processed Data'!I24</f>
        <v>22</v>
      </c>
      <c r="J24">
        <f>'[1]Processed Data'!J24</f>
        <v>10</v>
      </c>
      <c r="K24">
        <f>'[1]Processed Data'!K24</f>
        <v>38</v>
      </c>
      <c r="L24">
        <f>'[1]Processed Data'!L24</f>
        <v>20</v>
      </c>
      <c r="M24">
        <f>'[1]Processed Data'!M24</f>
        <v>5</v>
      </c>
      <c r="N24">
        <f>'[1]Processed Data'!N24</f>
        <v>1</v>
      </c>
      <c r="O24">
        <f>'[1]Processed Data'!O24</f>
        <v>5</v>
      </c>
      <c r="P24">
        <f>'[1]Processed Data'!P24</f>
        <v>228</v>
      </c>
      <c r="Q24">
        <f>'[1]Processed Data'!Q24</f>
        <v>16</v>
      </c>
    </row>
    <row r="25" spans="2:17" hidden="1">
      <c r="B25">
        <f>'[1]Processed Data'!B25</f>
        <v>2021</v>
      </c>
      <c r="C25">
        <f>'[1]Processed Data'!C25</f>
        <v>22</v>
      </c>
      <c r="D25" t="str">
        <f>'[1]Processed Data'!D25</f>
        <v>Trevor Lawrence</v>
      </c>
      <c r="E25">
        <f>Table1[[#This Row],[Year]]</f>
        <v>2021</v>
      </c>
      <c r="F25">
        <f>'[1]Processed Data'!F25</f>
        <v>359</v>
      </c>
      <c r="G25">
        <f>'[1]Processed Data'!G25</f>
        <v>602</v>
      </c>
      <c r="H25">
        <f>'[1]Processed Data'!H25</f>
        <v>59.6</v>
      </c>
      <c r="I25">
        <f>'[1]Processed Data'!I25</f>
        <v>12</v>
      </c>
      <c r="J25">
        <f>'[1]Processed Data'!J25</f>
        <v>17</v>
      </c>
      <c r="K25">
        <f>'[1]Processed Data'!K25</f>
        <v>32</v>
      </c>
      <c r="L25">
        <f>'[1]Processed Data'!L25</f>
        <v>73</v>
      </c>
      <c r="M25">
        <f>'[1]Processed Data'!M25</f>
        <v>334</v>
      </c>
      <c r="N25">
        <f>'[1]Processed Data'!N25</f>
        <v>2</v>
      </c>
      <c r="O25">
        <f>'[1]Processed Data'!O25</f>
        <v>5</v>
      </c>
      <c r="P25">
        <f>'[1]Processed Data'!P25</f>
        <v>216</v>
      </c>
      <c r="Q25">
        <f>'[1]Processed Data'!Q25</f>
        <v>17</v>
      </c>
    </row>
    <row r="26" spans="2:17" hidden="1">
      <c r="B26">
        <f>'[1]Processed Data'!B26</f>
        <v>2021</v>
      </c>
      <c r="C26">
        <f>'[1]Processed Data'!C26</f>
        <v>23</v>
      </c>
      <c r="D26" t="str">
        <f>'[1]Processed Data'!D26</f>
        <v>Teddy Bridgewater</v>
      </c>
      <c r="E26">
        <f>Table1[[#This Row],[Year]]</f>
        <v>2021</v>
      </c>
      <c r="F26">
        <f>'[1]Processed Data'!F26</f>
        <v>285</v>
      </c>
      <c r="G26">
        <f>'[1]Processed Data'!G26</f>
        <v>426</v>
      </c>
      <c r="H26">
        <f>'[1]Processed Data'!H26</f>
        <v>66.900000000000006</v>
      </c>
      <c r="I26">
        <f>'[1]Processed Data'!I26</f>
        <v>18</v>
      </c>
      <c r="J26">
        <f>'[1]Processed Data'!J26</f>
        <v>7</v>
      </c>
      <c r="K26">
        <f>'[1]Processed Data'!K26</f>
        <v>31</v>
      </c>
      <c r="L26">
        <f>'[1]Processed Data'!L26</f>
        <v>30</v>
      </c>
      <c r="M26">
        <f>'[1]Processed Data'!M26</f>
        <v>106</v>
      </c>
      <c r="N26">
        <f>'[1]Processed Data'!N26</f>
        <v>2</v>
      </c>
      <c r="O26">
        <f>'[1]Processed Data'!O26</f>
        <v>1</v>
      </c>
      <c r="P26">
        <f>'[1]Processed Data'!P26</f>
        <v>209.8</v>
      </c>
      <c r="Q26">
        <f>'[1]Processed Data'!Q26</f>
        <v>14</v>
      </c>
    </row>
    <row r="27" spans="2:17" hidden="1">
      <c r="B27">
        <f>'[1]Processed Data'!B27</f>
        <v>2021</v>
      </c>
      <c r="C27">
        <f>'[1]Processed Data'!C27</f>
        <v>24</v>
      </c>
      <c r="D27" t="str">
        <f>'[1]Processed Data'!D27</f>
        <v>Jared Goff</v>
      </c>
      <c r="E27">
        <f>Table1[[#This Row],[Year]]</f>
        <v>2021</v>
      </c>
      <c r="F27">
        <f>'[1]Processed Data'!F27</f>
        <v>332</v>
      </c>
      <c r="G27">
        <f>'[1]Processed Data'!G27</f>
        <v>494</v>
      </c>
      <c r="H27">
        <f>'[1]Processed Data'!H27</f>
        <v>67.2</v>
      </c>
      <c r="I27">
        <f>'[1]Processed Data'!I27</f>
        <v>19</v>
      </c>
      <c r="J27">
        <f>'[1]Processed Data'!J27</f>
        <v>8</v>
      </c>
      <c r="K27">
        <f>'[1]Processed Data'!K27</f>
        <v>35</v>
      </c>
      <c r="L27">
        <f>'[1]Processed Data'!L27</f>
        <v>17</v>
      </c>
      <c r="M27">
        <f>'[1]Processed Data'!M27</f>
        <v>87</v>
      </c>
      <c r="N27">
        <f>'[1]Processed Data'!N27</f>
        <v>0</v>
      </c>
      <c r="O27">
        <f>'[1]Processed Data'!O27</f>
        <v>6</v>
      </c>
      <c r="P27">
        <f>'[1]Processed Data'!P27</f>
        <v>202.4</v>
      </c>
      <c r="Q27">
        <f>'[1]Processed Data'!Q27</f>
        <v>14</v>
      </c>
    </row>
    <row r="28" spans="2:17" hidden="1">
      <c r="B28">
        <f>'[1]Processed Data'!B28</f>
        <v>2021</v>
      </c>
      <c r="C28">
        <f>'[1]Processed Data'!C28</f>
        <v>25</v>
      </c>
      <c r="D28" t="str">
        <f>'[1]Processed Data'!D28</f>
        <v>Baker Mayfield</v>
      </c>
      <c r="E28">
        <f>Table1[[#This Row],[Year]]</f>
        <v>2021</v>
      </c>
      <c r="F28">
        <f>'[1]Processed Data'!F28</f>
        <v>253</v>
      </c>
      <c r="G28">
        <f>'[1]Processed Data'!G28</f>
        <v>418</v>
      </c>
      <c r="H28">
        <f>'[1]Processed Data'!H28</f>
        <v>60.5</v>
      </c>
      <c r="I28">
        <f>'[1]Processed Data'!I28</f>
        <v>17</v>
      </c>
      <c r="J28">
        <f>'[1]Processed Data'!J28</f>
        <v>13</v>
      </c>
      <c r="K28">
        <f>'[1]Processed Data'!K28</f>
        <v>43</v>
      </c>
      <c r="L28">
        <f>'[1]Processed Data'!L28</f>
        <v>37</v>
      </c>
      <c r="M28">
        <f>'[1]Processed Data'!M28</f>
        <v>134</v>
      </c>
      <c r="N28">
        <f>'[1]Processed Data'!N28</f>
        <v>1</v>
      </c>
      <c r="O28">
        <f>'[1]Processed Data'!O28</f>
        <v>3</v>
      </c>
      <c r="P28">
        <f>'[1]Processed Data'!P28</f>
        <v>193.8</v>
      </c>
      <c r="Q28">
        <f>'[1]Processed Data'!Q28</f>
        <v>14</v>
      </c>
    </row>
    <row r="29" spans="2:17" hidden="1">
      <c r="B29">
        <f>'[1]Processed Data'!B29</f>
        <v>2021</v>
      </c>
      <c r="C29">
        <f>'[1]Processed Data'!C29</f>
        <v>26</v>
      </c>
      <c r="D29" t="str">
        <f>'[1]Processed Data'!D29</f>
        <v>Tua Tagovailoa</v>
      </c>
      <c r="E29">
        <f>Table1[[#This Row],[Year]]</f>
        <v>2021</v>
      </c>
      <c r="F29">
        <f>'[1]Processed Data'!F29</f>
        <v>263</v>
      </c>
      <c r="G29">
        <f>'[1]Processed Data'!G29</f>
        <v>388</v>
      </c>
      <c r="H29">
        <f>'[1]Processed Data'!H29</f>
        <v>67.8</v>
      </c>
      <c r="I29">
        <f>'[1]Processed Data'!I29</f>
        <v>16</v>
      </c>
      <c r="J29">
        <f>'[1]Processed Data'!J29</f>
        <v>10</v>
      </c>
      <c r="K29">
        <f>'[1]Processed Data'!K29</f>
        <v>20</v>
      </c>
      <c r="L29">
        <f>'[1]Processed Data'!L29</f>
        <v>42</v>
      </c>
      <c r="M29">
        <f>'[1]Processed Data'!M29</f>
        <v>128</v>
      </c>
      <c r="N29">
        <f>'[1]Processed Data'!N29</f>
        <v>3</v>
      </c>
      <c r="O29">
        <f>'[1]Processed Data'!O29</f>
        <v>1</v>
      </c>
      <c r="P29">
        <f>'[1]Processed Data'!P29</f>
        <v>190.9</v>
      </c>
      <c r="Q29">
        <f>'[1]Processed Data'!Q29</f>
        <v>13</v>
      </c>
    </row>
    <row r="30" spans="2:17" hidden="1">
      <c r="B30">
        <f>'[1]Processed Data'!B30</f>
        <v>2021</v>
      </c>
      <c r="C30">
        <f>'[1]Processed Data'!C30</f>
        <v>27</v>
      </c>
      <c r="D30" t="str">
        <f>'[1]Processed Data'!D30</f>
        <v>Daniel Jones</v>
      </c>
      <c r="E30">
        <f>Table1[[#This Row],[Year]]</f>
        <v>2021</v>
      </c>
      <c r="F30">
        <f>'[1]Processed Data'!F30</f>
        <v>232</v>
      </c>
      <c r="G30">
        <f>'[1]Processed Data'!G30</f>
        <v>361</v>
      </c>
      <c r="H30">
        <f>'[1]Processed Data'!H30</f>
        <v>64.3</v>
      </c>
      <c r="I30">
        <f>'[1]Processed Data'!I30</f>
        <v>10</v>
      </c>
      <c r="J30">
        <f>'[1]Processed Data'!J30</f>
        <v>7</v>
      </c>
      <c r="K30">
        <f>'[1]Processed Data'!K30</f>
        <v>22</v>
      </c>
      <c r="L30">
        <f>'[1]Processed Data'!L30</f>
        <v>62</v>
      </c>
      <c r="M30">
        <f>'[1]Processed Data'!M30</f>
        <v>298</v>
      </c>
      <c r="N30">
        <f>'[1]Processed Data'!N30</f>
        <v>2</v>
      </c>
      <c r="O30">
        <f>'[1]Processed Data'!O30</f>
        <v>3</v>
      </c>
      <c r="P30">
        <f>'[1]Processed Data'!P30</f>
        <v>174.1</v>
      </c>
      <c r="Q30">
        <f>'[1]Processed Data'!Q30</f>
        <v>11</v>
      </c>
    </row>
    <row r="31" spans="2:17" hidden="1">
      <c r="B31">
        <f>'[1]Processed Data'!B31</f>
        <v>2021</v>
      </c>
      <c r="C31">
        <f>'[1]Processed Data'!C31</f>
        <v>28</v>
      </c>
      <c r="D31" t="str">
        <f>'[1]Processed Data'!D31</f>
        <v>Sam Darnold</v>
      </c>
      <c r="E31">
        <f>Table1[[#This Row],[Year]]</f>
        <v>2021</v>
      </c>
      <c r="F31">
        <f>'[1]Processed Data'!F31</f>
        <v>243</v>
      </c>
      <c r="G31">
        <f>'[1]Processed Data'!G31</f>
        <v>406</v>
      </c>
      <c r="H31">
        <f>'[1]Processed Data'!H31</f>
        <v>59.9</v>
      </c>
      <c r="I31">
        <f>'[1]Processed Data'!I31</f>
        <v>9</v>
      </c>
      <c r="J31">
        <f>'[1]Processed Data'!J31</f>
        <v>13</v>
      </c>
      <c r="K31">
        <f>'[1]Processed Data'!K31</f>
        <v>35</v>
      </c>
      <c r="L31">
        <f>'[1]Processed Data'!L31</f>
        <v>48</v>
      </c>
      <c r="M31">
        <f>'[1]Processed Data'!M31</f>
        <v>222</v>
      </c>
      <c r="N31">
        <f>'[1]Processed Data'!N31</f>
        <v>5</v>
      </c>
      <c r="O31">
        <f>'[1]Processed Data'!O31</f>
        <v>4</v>
      </c>
      <c r="P31">
        <f>'[1]Processed Data'!P31</f>
        <v>170.5</v>
      </c>
      <c r="Q31">
        <f>'[1]Processed Data'!Q31</f>
        <v>12</v>
      </c>
    </row>
    <row r="32" spans="2:17" hidden="1">
      <c r="B32">
        <f>'[1]Processed Data'!B32</f>
        <v>2021</v>
      </c>
      <c r="C32">
        <f>'[1]Processed Data'!C32</f>
        <v>29</v>
      </c>
      <c r="D32" t="str">
        <f>'[1]Processed Data'!D32</f>
        <v>Davis Mills</v>
      </c>
      <c r="E32">
        <f>Table1[[#This Row],[Year]]</f>
        <v>2021</v>
      </c>
      <c r="F32">
        <f>'[1]Processed Data'!F32</f>
        <v>263</v>
      </c>
      <c r="G32">
        <f>'[1]Processed Data'!G32</f>
        <v>394</v>
      </c>
      <c r="H32">
        <f>'[1]Processed Data'!H32</f>
        <v>66.8</v>
      </c>
      <c r="I32">
        <f>'[1]Processed Data'!I32</f>
        <v>16</v>
      </c>
      <c r="J32">
        <f>'[1]Processed Data'!J32</f>
        <v>10</v>
      </c>
      <c r="K32">
        <f>'[1]Processed Data'!K32</f>
        <v>31</v>
      </c>
      <c r="L32">
        <f>'[1]Processed Data'!L32</f>
        <v>18</v>
      </c>
      <c r="M32">
        <f>'[1]Processed Data'!M32</f>
        <v>44</v>
      </c>
      <c r="N32">
        <f>'[1]Processed Data'!N32</f>
        <v>0</v>
      </c>
      <c r="O32">
        <f>'[1]Processed Data'!O32</f>
        <v>1</v>
      </c>
      <c r="P32">
        <f>'[1]Processed Data'!P32</f>
        <v>167</v>
      </c>
      <c r="Q32">
        <f>'[1]Processed Data'!Q32</f>
        <v>13</v>
      </c>
    </row>
    <row r="33" spans="2:17" hidden="1">
      <c r="B33">
        <f>'[1]Processed Data'!B33</f>
        <v>2021</v>
      </c>
      <c r="C33">
        <f>'[1]Processed Data'!C33</f>
        <v>30</v>
      </c>
      <c r="D33" t="str">
        <f>'[1]Processed Data'!D33</f>
        <v>Zach Wilson</v>
      </c>
      <c r="E33">
        <f>Table1[[#This Row],[Year]]</f>
        <v>2021</v>
      </c>
      <c r="F33">
        <f>'[1]Processed Data'!F33</f>
        <v>213</v>
      </c>
      <c r="G33">
        <f>'[1]Processed Data'!G33</f>
        <v>383</v>
      </c>
      <c r="H33">
        <f>'[1]Processed Data'!H33</f>
        <v>55.6</v>
      </c>
      <c r="I33">
        <f>'[1]Processed Data'!I33</f>
        <v>9</v>
      </c>
      <c r="J33">
        <f>'[1]Processed Data'!J33</f>
        <v>11</v>
      </c>
      <c r="K33">
        <f>'[1]Processed Data'!K33</f>
        <v>44</v>
      </c>
      <c r="L33">
        <f>'[1]Processed Data'!L33</f>
        <v>29</v>
      </c>
      <c r="M33">
        <f>'[1]Processed Data'!M33</f>
        <v>185</v>
      </c>
      <c r="N33">
        <f>'[1]Processed Data'!N33</f>
        <v>4</v>
      </c>
      <c r="O33">
        <f>'[1]Processed Data'!O33</f>
        <v>1</v>
      </c>
      <c r="P33">
        <f>'[1]Processed Data'!P33</f>
        <v>162.9</v>
      </c>
      <c r="Q33">
        <f>'[1]Processed Data'!Q33</f>
        <v>13</v>
      </c>
    </row>
    <row r="34" spans="2:17" hidden="1">
      <c r="B34">
        <f>'[1]Processed Data'!B34</f>
        <v>2021</v>
      </c>
      <c r="C34">
        <f>'[1]Processed Data'!C34</f>
        <v>31</v>
      </c>
      <c r="D34" t="str">
        <f>'[1]Processed Data'!D34</f>
        <v>Justin Fields</v>
      </c>
      <c r="E34">
        <f>Table1[[#This Row],[Year]]</f>
        <v>2021</v>
      </c>
      <c r="F34">
        <f>'[1]Processed Data'!F34</f>
        <v>159</v>
      </c>
      <c r="G34">
        <f>'[1]Processed Data'!G34</f>
        <v>270</v>
      </c>
      <c r="H34">
        <f>'[1]Processed Data'!H34</f>
        <v>58.9</v>
      </c>
      <c r="I34">
        <f>'[1]Processed Data'!I34</f>
        <v>7</v>
      </c>
      <c r="J34">
        <f>'[1]Processed Data'!J34</f>
        <v>10</v>
      </c>
      <c r="K34">
        <f>'[1]Processed Data'!K34</f>
        <v>36</v>
      </c>
      <c r="L34">
        <f>'[1]Processed Data'!L34</f>
        <v>72</v>
      </c>
      <c r="M34">
        <f>'[1]Processed Data'!M34</f>
        <v>420</v>
      </c>
      <c r="N34">
        <f>'[1]Processed Data'!N34</f>
        <v>2</v>
      </c>
      <c r="O34">
        <f>'[1]Processed Data'!O34</f>
        <v>5</v>
      </c>
      <c r="P34">
        <f>'[1]Processed Data'!P34</f>
        <v>136.9</v>
      </c>
      <c r="Q34">
        <f>'[1]Processed Data'!Q34</f>
        <v>12</v>
      </c>
    </row>
    <row r="35" spans="2:17" hidden="1">
      <c r="B35">
        <f>'[1]Processed Data'!B35</f>
        <v>2021</v>
      </c>
      <c r="C35">
        <f>'[1]Processed Data'!C35</f>
        <v>32</v>
      </c>
      <c r="D35" t="str">
        <f>'[1]Processed Data'!D35</f>
        <v>Taysom Hill</v>
      </c>
      <c r="E35">
        <f>Table1[[#This Row],[Year]]</f>
        <v>2021</v>
      </c>
      <c r="F35">
        <f>'[1]Processed Data'!F35</f>
        <v>78</v>
      </c>
      <c r="G35">
        <f>'[1]Processed Data'!G35</f>
        <v>134</v>
      </c>
      <c r="H35">
        <f>'[1]Processed Data'!H35</f>
        <v>58.2</v>
      </c>
      <c r="I35">
        <f>'[1]Processed Data'!I35</f>
        <v>4</v>
      </c>
      <c r="J35">
        <f>'[1]Processed Data'!J35</f>
        <v>5</v>
      </c>
      <c r="K35">
        <f>'[1]Processed Data'!K35</f>
        <v>9</v>
      </c>
      <c r="L35">
        <f>'[1]Processed Data'!L35</f>
        <v>70</v>
      </c>
      <c r="M35">
        <f>'[1]Processed Data'!M35</f>
        <v>374</v>
      </c>
      <c r="N35">
        <f>'[1]Processed Data'!N35</f>
        <v>5</v>
      </c>
      <c r="O35">
        <f>'[1]Processed Data'!O35</f>
        <v>0</v>
      </c>
      <c r="P35">
        <f>'[1]Processed Data'!P35</f>
        <v>124.8</v>
      </c>
      <c r="Q35">
        <f>'[1]Processed Data'!Q35</f>
        <v>12</v>
      </c>
    </row>
    <row r="36" spans="2:17" hidden="1">
      <c r="B36">
        <f>'[1]Processed Data'!B36</f>
        <v>2021</v>
      </c>
      <c r="C36">
        <f>'[1]Processed Data'!C36</f>
        <v>33</v>
      </c>
      <c r="D36" t="str">
        <f>'[1]Processed Data'!D36</f>
        <v>Jameis Winston</v>
      </c>
      <c r="E36">
        <f>Table1[[#This Row],[Year]]</f>
        <v>2021</v>
      </c>
      <c r="F36">
        <f>'[1]Processed Data'!F36</f>
        <v>95</v>
      </c>
      <c r="G36">
        <f>'[1]Processed Data'!G36</f>
        <v>161</v>
      </c>
      <c r="H36">
        <f>'[1]Processed Data'!H36</f>
        <v>59</v>
      </c>
      <c r="I36">
        <f>'[1]Processed Data'!I36</f>
        <v>14</v>
      </c>
      <c r="J36">
        <f>'[1]Processed Data'!J36</f>
        <v>3</v>
      </c>
      <c r="K36">
        <f>'[1]Processed Data'!K36</f>
        <v>11</v>
      </c>
      <c r="L36">
        <f>'[1]Processed Data'!L36</f>
        <v>32</v>
      </c>
      <c r="M36">
        <f>'[1]Processed Data'!M36</f>
        <v>166</v>
      </c>
      <c r="N36">
        <f>'[1]Processed Data'!N36</f>
        <v>1</v>
      </c>
      <c r="O36">
        <f>'[1]Processed Data'!O36</f>
        <v>1</v>
      </c>
      <c r="P36">
        <f>'[1]Processed Data'!P36</f>
        <v>120.3</v>
      </c>
      <c r="Q36">
        <f>'[1]Processed Data'!Q36</f>
        <v>7</v>
      </c>
    </row>
    <row r="37" spans="2:17" hidden="1">
      <c r="B37">
        <f>'[1]Processed Data'!B37</f>
        <v>2021</v>
      </c>
      <c r="C37">
        <f>'[1]Processed Data'!C37</f>
        <v>34</v>
      </c>
      <c r="D37" t="str">
        <f>'[1]Processed Data'!D37</f>
        <v>Trevor Siemian</v>
      </c>
      <c r="E37">
        <f>Table1[[#This Row],[Year]]</f>
        <v>2021</v>
      </c>
      <c r="F37">
        <f>'[1]Processed Data'!F37</f>
        <v>108</v>
      </c>
      <c r="G37">
        <f>'[1]Processed Data'!G37</f>
        <v>188</v>
      </c>
      <c r="H37">
        <f>'[1]Processed Data'!H37</f>
        <v>57.4</v>
      </c>
      <c r="I37">
        <f>'[1]Processed Data'!I37</f>
        <v>11</v>
      </c>
      <c r="J37">
        <f>'[1]Processed Data'!J37</f>
        <v>3</v>
      </c>
      <c r="K37">
        <f>'[1]Processed Data'!K37</f>
        <v>9</v>
      </c>
      <c r="L37">
        <f>'[1]Processed Data'!L37</f>
        <v>9</v>
      </c>
      <c r="M37">
        <f>'[1]Processed Data'!M37</f>
        <v>20</v>
      </c>
      <c r="N37">
        <f>'[1]Processed Data'!N37</f>
        <v>1</v>
      </c>
      <c r="O37">
        <f>'[1]Processed Data'!O37</f>
        <v>1</v>
      </c>
      <c r="P37">
        <f>'[1]Processed Data'!P37</f>
        <v>93.2</v>
      </c>
      <c r="Q37">
        <f>'[1]Processed Data'!Q37</f>
        <v>6</v>
      </c>
    </row>
    <row r="38" spans="2:17" hidden="1">
      <c r="B38">
        <f>'[1]Processed Data'!B38</f>
        <v>2021</v>
      </c>
      <c r="C38">
        <f>'[1]Processed Data'!C38</f>
        <v>35</v>
      </c>
      <c r="D38" t="str">
        <f>'[1]Processed Data'!D38</f>
        <v>Andy Dalton</v>
      </c>
      <c r="E38">
        <f>Table1[[#This Row],[Year]]</f>
        <v>2021</v>
      </c>
      <c r="F38">
        <f>'[1]Processed Data'!F38</f>
        <v>149</v>
      </c>
      <c r="G38">
        <f>'[1]Processed Data'!G38</f>
        <v>236</v>
      </c>
      <c r="H38">
        <f>'[1]Processed Data'!H38</f>
        <v>63.1</v>
      </c>
      <c r="I38">
        <f>'[1]Processed Data'!I38</f>
        <v>8</v>
      </c>
      <c r="J38">
        <f>'[1]Processed Data'!J38</f>
        <v>9</v>
      </c>
      <c r="K38">
        <f>'[1]Processed Data'!K38</f>
        <v>18</v>
      </c>
      <c r="L38">
        <f>'[1]Processed Data'!L38</f>
        <v>16</v>
      </c>
      <c r="M38">
        <f>'[1]Processed Data'!M38</f>
        <v>76</v>
      </c>
      <c r="N38">
        <f>'[1]Processed Data'!N38</f>
        <v>0</v>
      </c>
      <c r="O38">
        <f>'[1]Processed Data'!O38</f>
        <v>1</v>
      </c>
      <c r="P38">
        <f>'[1]Processed Data'!P38</f>
        <v>93.1</v>
      </c>
      <c r="Q38">
        <f>'[1]Processed Data'!Q38</f>
        <v>8</v>
      </c>
    </row>
    <row r="39" spans="2:17" hidden="1">
      <c r="B39">
        <f>'[1]Processed Data'!B39</f>
        <v>2021</v>
      </c>
      <c r="C39">
        <f>'[1]Processed Data'!C39</f>
        <v>36</v>
      </c>
      <c r="D39" t="str">
        <f>'[1]Processed Data'!D39</f>
        <v>Cam Newton</v>
      </c>
      <c r="E39">
        <f>Table1[[#This Row],[Year]]</f>
        <v>2021</v>
      </c>
      <c r="F39">
        <f>'[1]Processed Data'!F39</f>
        <v>69</v>
      </c>
      <c r="G39">
        <f>'[1]Processed Data'!G39</f>
        <v>126</v>
      </c>
      <c r="H39">
        <f>'[1]Processed Data'!H39</f>
        <v>54.8</v>
      </c>
      <c r="I39">
        <f>'[1]Processed Data'!I39</f>
        <v>4</v>
      </c>
      <c r="J39">
        <f>'[1]Processed Data'!J39</f>
        <v>5</v>
      </c>
      <c r="K39">
        <f>'[1]Processed Data'!K39</f>
        <v>10</v>
      </c>
      <c r="L39">
        <f>'[1]Processed Data'!L39</f>
        <v>47</v>
      </c>
      <c r="M39">
        <f>'[1]Processed Data'!M39</f>
        <v>230</v>
      </c>
      <c r="N39">
        <f>'[1]Processed Data'!N39</f>
        <v>5</v>
      </c>
      <c r="O39">
        <f>'[1]Processed Data'!O39</f>
        <v>1</v>
      </c>
      <c r="P39">
        <f>'[1]Processed Data'!P39</f>
        <v>91.3</v>
      </c>
      <c r="Q39">
        <f>'[1]Processed Data'!Q39</f>
        <v>8</v>
      </c>
    </row>
    <row r="40" spans="2:17" hidden="1">
      <c r="B40">
        <f>'[1]Processed Data'!B40</f>
        <v>2021</v>
      </c>
      <c r="C40">
        <f>'[1]Processed Data'!C40</f>
        <v>37</v>
      </c>
      <c r="D40" t="str">
        <f>'[1]Processed Data'!D40</f>
        <v>Tyler Huntley</v>
      </c>
      <c r="E40">
        <f>Table1[[#This Row],[Year]]</f>
        <v>2021</v>
      </c>
      <c r="F40">
        <f>'[1]Processed Data'!F40</f>
        <v>122</v>
      </c>
      <c r="G40">
        <f>'[1]Processed Data'!G40</f>
        <v>188</v>
      </c>
      <c r="H40">
        <f>'[1]Processed Data'!H40</f>
        <v>64.900000000000006</v>
      </c>
      <c r="I40">
        <f>'[1]Processed Data'!I40</f>
        <v>3</v>
      </c>
      <c r="J40">
        <f>'[1]Processed Data'!J40</f>
        <v>4</v>
      </c>
      <c r="K40">
        <f>'[1]Processed Data'!K40</f>
        <v>18</v>
      </c>
      <c r="L40">
        <f>'[1]Processed Data'!L40</f>
        <v>47</v>
      </c>
      <c r="M40">
        <f>'[1]Processed Data'!M40</f>
        <v>294</v>
      </c>
      <c r="N40">
        <f>'[1]Processed Data'!N40</f>
        <v>2</v>
      </c>
      <c r="O40">
        <f>'[1]Processed Data'!O40</f>
        <v>3</v>
      </c>
      <c r="P40">
        <f>'[1]Processed Data'!P40</f>
        <v>86.7</v>
      </c>
      <c r="Q40">
        <f>'[1]Processed Data'!Q40</f>
        <v>7</v>
      </c>
    </row>
    <row r="41" spans="2:17" hidden="1">
      <c r="B41">
        <f>'[1]Processed Data'!B41</f>
        <v>2021</v>
      </c>
      <c r="C41">
        <f>'[1]Processed Data'!C41</f>
        <v>38</v>
      </c>
      <c r="D41" t="str">
        <f>'[1]Processed Data'!D41</f>
        <v>Tyrod Taylor</v>
      </c>
      <c r="E41">
        <f>Table1[[#This Row],[Year]]</f>
        <v>2021</v>
      </c>
      <c r="F41">
        <f>'[1]Processed Data'!F41</f>
        <v>91</v>
      </c>
      <c r="G41">
        <f>'[1]Processed Data'!G41</f>
        <v>150</v>
      </c>
      <c r="H41">
        <f>'[1]Processed Data'!H41</f>
        <v>60.7</v>
      </c>
      <c r="I41">
        <f>'[1]Processed Data'!I41</f>
        <v>5</v>
      </c>
      <c r="J41">
        <f>'[1]Processed Data'!J41</f>
        <v>5</v>
      </c>
      <c r="K41">
        <f>'[1]Processed Data'!K41</f>
        <v>13</v>
      </c>
      <c r="L41">
        <f>'[1]Processed Data'!L41</f>
        <v>19</v>
      </c>
      <c r="M41">
        <f>'[1]Processed Data'!M41</f>
        <v>151</v>
      </c>
      <c r="N41">
        <f>'[1]Processed Data'!N41</f>
        <v>3</v>
      </c>
      <c r="O41">
        <f>'[1]Processed Data'!O41</f>
        <v>0</v>
      </c>
      <c r="P41">
        <f>'[1]Processed Data'!P41</f>
        <v>86.7</v>
      </c>
      <c r="Q41">
        <f>'[1]Processed Data'!Q41</f>
        <v>6</v>
      </c>
    </row>
    <row r="42" spans="2:17" hidden="1">
      <c r="B42">
        <f>'[1]Processed Data'!B42</f>
        <v>2021</v>
      </c>
      <c r="C42">
        <f>'[1]Processed Data'!C42</f>
        <v>39</v>
      </c>
      <c r="D42" t="str">
        <f>'[1]Processed Data'!D42</f>
        <v>Jacoby Brissett</v>
      </c>
      <c r="E42">
        <f>Table1[[#This Row],[Year]]</f>
        <v>2021</v>
      </c>
      <c r="F42">
        <f>'[1]Processed Data'!F42</f>
        <v>141</v>
      </c>
      <c r="G42">
        <f>'[1]Processed Data'!G42</f>
        <v>225</v>
      </c>
      <c r="H42">
        <f>'[1]Processed Data'!H42</f>
        <v>62.7</v>
      </c>
      <c r="I42">
        <f>'[1]Processed Data'!I42</f>
        <v>5</v>
      </c>
      <c r="J42">
        <f>'[1]Processed Data'!J42</f>
        <v>4</v>
      </c>
      <c r="K42">
        <f>'[1]Processed Data'!K42</f>
        <v>19</v>
      </c>
      <c r="L42">
        <f>'[1]Processed Data'!L42</f>
        <v>19</v>
      </c>
      <c r="M42">
        <f>'[1]Processed Data'!M42</f>
        <v>70</v>
      </c>
      <c r="N42">
        <f>'[1]Processed Data'!N42</f>
        <v>1</v>
      </c>
      <c r="O42">
        <f>'[1]Processed Data'!O42</f>
        <v>3</v>
      </c>
      <c r="P42">
        <f>'[1]Processed Data'!P42</f>
        <v>76.400000000000006</v>
      </c>
      <c r="Q42">
        <f>'[1]Processed Data'!Q42</f>
        <v>11</v>
      </c>
    </row>
    <row r="43" spans="2:17" hidden="1">
      <c r="B43">
        <f>'[1]Processed Data'!B43</f>
        <v>2021</v>
      </c>
      <c r="C43">
        <f>'[1]Processed Data'!C43</f>
        <v>40</v>
      </c>
      <c r="D43" t="str">
        <f>'[1]Processed Data'!D43</f>
        <v>Trey Lance</v>
      </c>
      <c r="E43">
        <f>Table1[[#This Row],[Year]]</f>
        <v>2021</v>
      </c>
      <c r="F43">
        <f>'[1]Processed Data'!F43</f>
        <v>41</v>
      </c>
      <c r="G43">
        <f>'[1]Processed Data'!G43</f>
        <v>71</v>
      </c>
      <c r="H43">
        <f>'[1]Processed Data'!H43</f>
        <v>57.7</v>
      </c>
      <c r="I43">
        <f>'[1]Processed Data'!I43</f>
        <v>5</v>
      </c>
      <c r="J43">
        <f>'[1]Processed Data'!J43</f>
        <v>2</v>
      </c>
      <c r="K43">
        <f>'[1]Processed Data'!K43</f>
        <v>4</v>
      </c>
      <c r="L43">
        <f>'[1]Processed Data'!L43</f>
        <v>38</v>
      </c>
      <c r="M43">
        <f>'[1]Processed Data'!M43</f>
        <v>168</v>
      </c>
      <c r="N43">
        <f>'[1]Processed Data'!N43</f>
        <v>1</v>
      </c>
      <c r="O43">
        <f>'[1]Processed Data'!O43</f>
        <v>0</v>
      </c>
      <c r="P43">
        <f>'[1]Processed Data'!P43</f>
        <v>67</v>
      </c>
      <c r="Q43">
        <f>'[1]Processed Data'!Q43</f>
        <v>6</v>
      </c>
    </row>
    <row r="44" spans="2:17" hidden="1">
      <c r="B44">
        <f>'[1]Processed Data'!B44</f>
        <v>2021</v>
      </c>
      <c r="C44">
        <f>'[1]Processed Data'!C44</f>
        <v>41</v>
      </c>
      <c r="D44" t="str">
        <f>'[1]Processed Data'!D44</f>
        <v>Geno Smith</v>
      </c>
      <c r="E44">
        <f>Table1[[#This Row],[Year]]</f>
        <v>2021</v>
      </c>
      <c r="F44">
        <f>'[1]Processed Data'!F44</f>
        <v>65</v>
      </c>
      <c r="G44">
        <f>'[1]Processed Data'!G44</f>
        <v>95</v>
      </c>
      <c r="H44">
        <f>'[1]Processed Data'!H44</f>
        <v>68.400000000000006</v>
      </c>
      <c r="I44">
        <f>'[1]Processed Data'!I44</f>
        <v>5</v>
      </c>
      <c r="J44">
        <f>'[1]Processed Data'!J44</f>
        <v>1</v>
      </c>
      <c r="K44">
        <f>'[1]Processed Data'!K44</f>
        <v>13</v>
      </c>
      <c r="L44">
        <f>'[1]Processed Data'!L44</f>
        <v>9</v>
      </c>
      <c r="M44">
        <f>'[1]Processed Data'!M44</f>
        <v>42</v>
      </c>
      <c r="N44">
        <f>'[1]Processed Data'!N44</f>
        <v>1</v>
      </c>
      <c r="O44">
        <f>'[1]Processed Data'!O44</f>
        <v>1</v>
      </c>
      <c r="P44">
        <f>'[1]Processed Data'!P44</f>
        <v>55.3</v>
      </c>
      <c r="Q44">
        <f>'[1]Processed Data'!Q44</f>
        <v>4</v>
      </c>
    </row>
    <row r="45" spans="2:17" hidden="1">
      <c r="B45">
        <f>'[1]Processed Data'!B45</f>
        <v>2021</v>
      </c>
      <c r="C45">
        <f>'[1]Processed Data'!C45</f>
        <v>42</v>
      </c>
      <c r="D45" t="str">
        <f>'[1]Processed Data'!D45</f>
        <v>Drew Lock</v>
      </c>
      <c r="E45">
        <f>Table1[[#This Row],[Year]]</f>
        <v>2021</v>
      </c>
      <c r="F45">
        <f>'[1]Processed Data'!F45</f>
        <v>67</v>
      </c>
      <c r="G45">
        <f>'[1]Processed Data'!G45</f>
        <v>111</v>
      </c>
      <c r="H45">
        <f>'[1]Processed Data'!H45</f>
        <v>60.4</v>
      </c>
      <c r="I45">
        <f>'[1]Processed Data'!I45</f>
        <v>2</v>
      </c>
      <c r="J45">
        <f>'[1]Processed Data'!J45</f>
        <v>2</v>
      </c>
      <c r="K45">
        <f>'[1]Processed Data'!K45</f>
        <v>9</v>
      </c>
      <c r="L45">
        <f>'[1]Processed Data'!L45</f>
        <v>10</v>
      </c>
      <c r="M45">
        <f>'[1]Processed Data'!M45</f>
        <v>53</v>
      </c>
      <c r="N45">
        <f>'[1]Processed Data'!N45</f>
        <v>2</v>
      </c>
      <c r="O45">
        <f>'[1]Processed Data'!O45</f>
        <v>1</v>
      </c>
      <c r="P45">
        <f>'[1]Processed Data'!P45</f>
        <v>53.3</v>
      </c>
      <c r="Q45">
        <f>'[1]Processed Data'!Q45</f>
        <v>6</v>
      </c>
    </row>
    <row r="46" spans="2:17" hidden="1">
      <c r="B46">
        <f>'[1]Processed Data'!B46</f>
        <v>2021</v>
      </c>
      <c r="C46">
        <f>'[1]Processed Data'!C46</f>
        <v>43</v>
      </c>
      <c r="D46" t="str">
        <f>'[1]Processed Data'!D46</f>
        <v>Mike White</v>
      </c>
      <c r="E46">
        <f>Table1[[#This Row],[Year]]</f>
        <v>2021</v>
      </c>
      <c r="F46">
        <f>'[1]Processed Data'!F46</f>
        <v>88</v>
      </c>
      <c r="G46">
        <f>'[1]Processed Data'!G46</f>
        <v>132</v>
      </c>
      <c r="H46">
        <f>'[1]Processed Data'!H46</f>
        <v>66.7</v>
      </c>
      <c r="I46">
        <f>'[1]Processed Data'!I46</f>
        <v>5</v>
      </c>
      <c r="J46">
        <f>'[1]Processed Data'!J46</f>
        <v>8</v>
      </c>
      <c r="K46">
        <f>'[1]Processed Data'!K46</f>
        <v>4</v>
      </c>
      <c r="L46">
        <f>'[1]Processed Data'!L46</f>
        <v>5</v>
      </c>
      <c r="M46">
        <f>'[1]Processed Data'!M46</f>
        <v>-1</v>
      </c>
      <c r="N46">
        <f>'[1]Processed Data'!N46</f>
        <v>0</v>
      </c>
      <c r="O46">
        <f>'[1]Processed Data'!O46</f>
        <v>0</v>
      </c>
      <c r="P46">
        <f>'[1]Processed Data'!P46</f>
        <v>52</v>
      </c>
      <c r="Q46">
        <f>'[1]Processed Data'!Q46</f>
        <v>4</v>
      </c>
    </row>
    <row r="47" spans="2:17" hidden="1">
      <c r="B47">
        <f>'[1]Processed Data'!B47</f>
        <v>2021</v>
      </c>
      <c r="C47">
        <f>'[1]Processed Data'!C47</f>
        <v>44</v>
      </c>
      <c r="D47" t="str">
        <f>'[1]Processed Data'!D47</f>
        <v>Josh Johnson</v>
      </c>
      <c r="E47">
        <f>Table1[[#This Row],[Year]]</f>
        <v>2021</v>
      </c>
      <c r="F47">
        <f>'[1]Processed Data'!F47</f>
        <v>57</v>
      </c>
      <c r="G47">
        <f>'[1]Processed Data'!G47</f>
        <v>85</v>
      </c>
      <c r="H47">
        <f>'[1]Processed Data'!H47</f>
        <v>67.099999999999994</v>
      </c>
      <c r="I47">
        <f>'[1]Processed Data'!I47</f>
        <v>5</v>
      </c>
      <c r="J47">
        <f>'[1]Processed Data'!J47</f>
        <v>2</v>
      </c>
      <c r="K47">
        <f>'[1]Processed Data'!K47</f>
        <v>3</v>
      </c>
      <c r="L47">
        <f>'[1]Processed Data'!L47</f>
        <v>9</v>
      </c>
      <c r="M47">
        <f>'[1]Processed Data'!M47</f>
        <v>28</v>
      </c>
      <c r="N47">
        <f>'[1]Processed Data'!N47</f>
        <v>0</v>
      </c>
      <c r="O47">
        <f>'[1]Processed Data'!O47</f>
        <v>0</v>
      </c>
      <c r="P47">
        <f>'[1]Processed Data'!P47</f>
        <v>48.4</v>
      </c>
      <c r="Q47">
        <f>'[1]Processed Data'!Q47</f>
        <v>4</v>
      </c>
    </row>
    <row r="48" spans="2:17" hidden="1">
      <c r="B48">
        <f>'[1]Processed Data'!B48</f>
        <v>2021</v>
      </c>
      <c r="C48">
        <f>'[1]Processed Data'!C48</f>
        <v>45</v>
      </c>
      <c r="D48" t="str">
        <f>'[1]Processed Data'!D48</f>
        <v>Colt McCoy</v>
      </c>
      <c r="E48">
        <f>Table1[[#This Row],[Year]]</f>
        <v>2021</v>
      </c>
      <c r="F48">
        <f>'[1]Processed Data'!F48</f>
        <v>74</v>
      </c>
      <c r="G48">
        <f>'[1]Processed Data'!G48</f>
        <v>99</v>
      </c>
      <c r="H48">
        <f>'[1]Processed Data'!H48</f>
        <v>74.7</v>
      </c>
      <c r="I48">
        <f>'[1]Processed Data'!I48</f>
        <v>3</v>
      </c>
      <c r="J48">
        <f>'[1]Processed Data'!J48</f>
        <v>1</v>
      </c>
      <c r="K48">
        <f>'[1]Processed Data'!K48</f>
        <v>6</v>
      </c>
      <c r="L48">
        <f>'[1]Processed Data'!L48</f>
        <v>22</v>
      </c>
      <c r="M48">
        <f>'[1]Processed Data'!M48</f>
        <v>37</v>
      </c>
      <c r="N48">
        <f>'[1]Processed Data'!N48</f>
        <v>0</v>
      </c>
      <c r="O48">
        <f>'[1]Processed Data'!O48</f>
        <v>1</v>
      </c>
      <c r="P48">
        <f>'[1]Processed Data'!P48</f>
        <v>42.3</v>
      </c>
      <c r="Q48">
        <f>'[1]Processed Data'!Q48</f>
        <v>8</v>
      </c>
    </row>
    <row r="49" spans="2:17" hidden="1">
      <c r="B49">
        <f>'[1]Processed Data'!B49</f>
        <v>2021</v>
      </c>
      <c r="C49">
        <f>'[1]Processed Data'!C49</f>
        <v>46</v>
      </c>
      <c r="D49" t="str">
        <f>'[1]Processed Data'!D49</f>
        <v>Mike Glennon</v>
      </c>
      <c r="E49">
        <f>Table1[[#This Row],[Year]]</f>
        <v>2021</v>
      </c>
      <c r="F49">
        <f>'[1]Processed Data'!F49</f>
        <v>90</v>
      </c>
      <c r="G49">
        <f>'[1]Processed Data'!G49</f>
        <v>167</v>
      </c>
      <c r="H49">
        <f>'[1]Processed Data'!H49</f>
        <v>53.9</v>
      </c>
      <c r="I49">
        <f>'[1]Processed Data'!I49</f>
        <v>4</v>
      </c>
      <c r="J49">
        <f>'[1]Processed Data'!J49</f>
        <v>10</v>
      </c>
      <c r="K49">
        <f>'[1]Processed Data'!K49</f>
        <v>9</v>
      </c>
      <c r="L49">
        <f>'[1]Processed Data'!L49</f>
        <v>7</v>
      </c>
      <c r="M49">
        <f>'[1]Processed Data'!M49</f>
        <v>33</v>
      </c>
      <c r="N49">
        <f>'[1]Processed Data'!N49</f>
        <v>1</v>
      </c>
      <c r="O49">
        <f>'[1]Processed Data'!O49</f>
        <v>3</v>
      </c>
      <c r="P49">
        <f>'[1]Processed Data'!P49</f>
        <v>40.9</v>
      </c>
      <c r="Q49">
        <f>'[1]Processed Data'!Q49</f>
        <v>6</v>
      </c>
    </row>
    <row r="50" spans="2:17" hidden="1">
      <c r="B50">
        <f>'[1]Processed Data'!B50</f>
        <v>2021</v>
      </c>
      <c r="C50">
        <f>'[1]Processed Data'!C50</f>
        <v>47</v>
      </c>
      <c r="D50" t="str">
        <f>'[1]Processed Data'!D50</f>
        <v>Gardner Minshew II</v>
      </c>
      <c r="E50">
        <f>Table1[[#This Row],[Year]]</f>
        <v>2021</v>
      </c>
      <c r="F50">
        <f>'[1]Processed Data'!F50</f>
        <v>41</v>
      </c>
      <c r="G50">
        <f>'[1]Processed Data'!G50</f>
        <v>60</v>
      </c>
      <c r="H50">
        <f>'[1]Processed Data'!H50</f>
        <v>68.3</v>
      </c>
      <c r="I50">
        <f>'[1]Processed Data'!I50</f>
        <v>4</v>
      </c>
      <c r="J50">
        <f>'[1]Processed Data'!J50</f>
        <v>1</v>
      </c>
      <c r="K50">
        <f>'[1]Processed Data'!K50</f>
        <v>5</v>
      </c>
      <c r="L50">
        <f>'[1]Processed Data'!L50</f>
        <v>9</v>
      </c>
      <c r="M50">
        <f>'[1]Processed Data'!M50</f>
        <v>21</v>
      </c>
      <c r="N50">
        <f>'[1]Processed Data'!N50</f>
        <v>0</v>
      </c>
      <c r="O50">
        <f>'[1]Processed Data'!O50</f>
        <v>0</v>
      </c>
      <c r="P50">
        <f>'[1]Processed Data'!P50</f>
        <v>34.6</v>
      </c>
      <c r="Q50">
        <f>'[1]Processed Data'!Q50</f>
        <v>3</v>
      </c>
    </row>
    <row r="51" spans="2:17" hidden="1">
      <c r="B51">
        <f>'[1]Processed Data'!B51</f>
        <v>2021</v>
      </c>
      <c r="C51">
        <f>'[1]Processed Data'!C51</f>
        <v>48</v>
      </c>
      <c r="D51" t="str">
        <f>'[1]Processed Data'!D51</f>
        <v>Tim Boyle</v>
      </c>
      <c r="E51">
        <f>Table1[[#This Row],[Year]]</f>
        <v>2021</v>
      </c>
      <c r="F51">
        <f>'[1]Processed Data'!F51</f>
        <v>61</v>
      </c>
      <c r="G51">
        <f>'[1]Processed Data'!G51</f>
        <v>94</v>
      </c>
      <c r="H51">
        <f>'[1]Processed Data'!H51</f>
        <v>64.900000000000006</v>
      </c>
      <c r="I51">
        <f>'[1]Processed Data'!I51</f>
        <v>3</v>
      </c>
      <c r="J51">
        <f>'[1]Processed Data'!J51</f>
        <v>6</v>
      </c>
      <c r="K51">
        <f>'[1]Processed Data'!K51</f>
        <v>0</v>
      </c>
      <c r="L51">
        <f>'[1]Processed Data'!L51</f>
        <v>2</v>
      </c>
      <c r="M51">
        <f>'[1]Processed Data'!M51</f>
        <v>13</v>
      </c>
      <c r="N51">
        <f>'[1]Processed Data'!N51</f>
        <v>0</v>
      </c>
      <c r="O51">
        <f>'[1]Processed Data'!O51</f>
        <v>0</v>
      </c>
      <c r="P51">
        <f>'[1]Processed Data'!P51</f>
        <v>30.4</v>
      </c>
      <c r="Q51">
        <f>'[1]Processed Data'!Q51</f>
        <v>4</v>
      </c>
    </row>
    <row r="52" spans="2:17" hidden="1">
      <c r="B52">
        <f>'[1]Processed Data'!B52</f>
        <v>2021</v>
      </c>
      <c r="C52">
        <f>'[1]Processed Data'!C52</f>
        <v>49</v>
      </c>
      <c r="D52" t="str">
        <f>'[1]Processed Data'!D52</f>
        <v>Case Keenum</v>
      </c>
      <c r="E52">
        <f>Table1[[#This Row],[Year]]</f>
        <v>2021</v>
      </c>
      <c r="F52">
        <f>'[1]Processed Data'!F52</f>
        <v>47</v>
      </c>
      <c r="G52">
        <f>'[1]Processed Data'!G52</f>
        <v>72</v>
      </c>
      <c r="H52">
        <f>'[1]Processed Data'!H52</f>
        <v>65.3</v>
      </c>
      <c r="I52">
        <f>'[1]Processed Data'!I52</f>
        <v>3</v>
      </c>
      <c r="J52">
        <f>'[1]Processed Data'!J52</f>
        <v>1</v>
      </c>
      <c r="K52">
        <f>'[1]Processed Data'!K52</f>
        <v>5</v>
      </c>
      <c r="L52">
        <f>'[1]Processed Data'!L52</f>
        <v>12</v>
      </c>
      <c r="M52">
        <f>'[1]Processed Data'!M52</f>
        <v>22</v>
      </c>
      <c r="N52">
        <f>'[1]Processed Data'!N52</f>
        <v>0</v>
      </c>
      <c r="O52">
        <f>'[1]Processed Data'!O52</f>
        <v>1</v>
      </c>
      <c r="P52">
        <f>'[1]Processed Data'!P52</f>
        <v>29.6</v>
      </c>
      <c r="Q52">
        <f>'[1]Processed Data'!Q52</f>
        <v>5</v>
      </c>
    </row>
    <row r="53" spans="2:17" hidden="1">
      <c r="B53">
        <f>'[1]Processed Data'!B53</f>
        <v>2021</v>
      </c>
      <c r="C53">
        <f>'[1]Processed Data'!C53</f>
        <v>50</v>
      </c>
      <c r="D53" t="str">
        <f>'[1]Processed Data'!D53</f>
        <v>Cooper Rush</v>
      </c>
      <c r="E53">
        <f>Table1[[#This Row],[Year]]</f>
        <v>2021</v>
      </c>
      <c r="F53">
        <f>'[1]Processed Data'!F53</f>
        <v>30</v>
      </c>
      <c r="G53">
        <f>'[1]Processed Data'!G53</f>
        <v>47</v>
      </c>
      <c r="H53">
        <f>'[1]Processed Data'!H53</f>
        <v>63.8</v>
      </c>
      <c r="I53">
        <f>'[1]Processed Data'!I53</f>
        <v>3</v>
      </c>
      <c r="J53">
        <f>'[1]Processed Data'!J53</f>
        <v>1</v>
      </c>
      <c r="K53">
        <f>'[1]Processed Data'!K53</f>
        <v>3</v>
      </c>
      <c r="L53">
        <f>'[1]Processed Data'!L53</f>
        <v>9</v>
      </c>
      <c r="M53">
        <f>'[1]Processed Data'!M53</f>
        <v>-8</v>
      </c>
      <c r="N53">
        <f>'[1]Processed Data'!N53</f>
        <v>0</v>
      </c>
      <c r="O53">
        <f>'[1]Processed Data'!O53</f>
        <v>1</v>
      </c>
      <c r="P53">
        <f>'[1]Processed Data'!P53</f>
        <v>25.1</v>
      </c>
      <c r="Q53">
        <f>'[1]Processed Data'!Q53</f>
        <v>4</v>
      </c>
    </row>
    <row r="54" spans="2:17" hidden="1">
      <c r="B54">
        <f>'[1]Processed Data'!B54</f>
        <v>2021</v>
      </c>
      <c r="C54">
        <f>'[1]Processed Data'!C54</f>
        <v>51</v>
      </c>
      <c r="D54" t="str">
        <f>'[1]Processed Data'!D54</f>
        <v>Jordan Love</v>
      </c>
      <c r="E54">
        <f>Table1[[#This Row],[Year]]</f>
        <v>2021</v>
      </c>
      <c r="F54">
        <f>'[1]Processed Data'!F54</f>
        <v>36</v>
      </c>
      <c r="G54">
        <f>'[1]Processed Data'!G54</f>
        <v>62</v>
      </c>
      <c r="H54">
        <f>'[1]Processed Data'!H54</f>
        <v>58.1</v>
      </c>
      <c r="I54">
        <f>'[1]Processed Data'!I54</f>
        <v>2</v>
      </c>
      <c r="J54">
        <f>'[1]Processed Data'!J54</f>
        <v>3</v>
      </c>
      <c r="K54">
        <f>'[1]Processed Data'!K54</f>
        <v>3</v>
      </c>
      <c r="L54">
        <f>'[1]Processed Data'!L54</f>
        <v>12</v>
      </c>
      <c r="M54">
        <f>'[1]Processed Data'!M54</f>
        <v>27</v>
      </c>
      <c r="N54">
        <f>'[1]Processed Data'!N54</f>
        <v>0</v>
      </c>
      <c r="O54">
        <f>'[1]Processed Data'!O54</f>
        <v>1</v>
      </c>
      <c r="P54">
        <f>'[1]Processed Data'!P54</f>
        <v>24.2</v>
      </c>
      <c r="Q54">
        <f>'[1]Processed Data'!Q54</f>
        <v>6</v>
      </c>
    </row>
    <row r="55" spans="2:17" hidden="1">
      <c r="B55">
        <f>'[1]Processed Data'!B55</f>
        <v>2021</v>
      </c>
      <c r="C55">
        <f>'[1]Processed Data'!C55</f>
        <v>52</v>
      </c>
      <c r="D55" t="str">
        <f>'[1]Processed Data'!D55</f>
        <v>Joe Flacco</v>
      </c>
      <c r="E55">
        <f>Table1[[#This Row],[Year]]</f>
        <v>2021</v>
      </c>
      <c r="F55">
        <f>'[1]Processed Data'!F55</f>
        <v>27</v>
      </c>
      <c r="G55">
        <f>'[1]Processed Data'!G55</f>
        <v>42</v>
      </c>
      <c r="H55">
        <f>'[1]Processed Data'!H55</f>
        <v>64.3</v>
      </c>
      <c r="I55">
        <f>'[1]Processed Data'!I55</f>
        <v>3</v>
      </c>
      <c r="J55">
        <f>'[1]Processed Data'!J55</f>
        <v>0</v>
      </c>
      <c r="K55">
        <f>'[1]Processed Data'!K55</f>
        <v>2</v>
      </c>
      <c r="L55">
        <f>'[1]Processed Data'!L55</f>
        <v>2</v>
      </c>
      <c r="M55">
        <f>'[1]Processed Data'!M55</f>
        <v>3</v>
      </c>
      <c r="N55">
        <f>'[1]Processed Data'!N55</f>
        <v>0</v>
      </c>
      <c r="O55">
        <f>'[1]Processed Data'!O55</f>
        <v>1</v>
      </c>
      <c r="P55">
        <f>'[1]Processed Data'!P55</f>
        <v>23.8</v>
      </c>
      <c r="Q55">
        <f>'[1]Processed Data'!Q55</f>
        <v>2</v>
      </c>
    </row>
    <row r="56" spans="2:17" hidden="1">
      <c r="B56">
        <f>'[1]Processed Data'!B56</f>
        <v>2021</v>
      </c>
      <c r="C56">
        <f>'[1]Processed Data'!C56</f>
        <v>53</v>
      </c>
      <c r="D56" t="str">
        <f>'[1]Processed Data'!D56</f>
        <v>Mason Rudolph</v>
      </c>
      <c r="E56">
        <f>Table1[[#This Row],[Year]]</f>
        <v>2021</v>
      </c>
      <c r="F56">
        <f>'[1]Processed Data'!F56</f>
        <v>35</v>
      </c>
      <c r="G56">
        <f>'[1]Processed Data'!G56</f>
        <v>58</v>
      </c>
      <c r="H56">
        <f>'[1]Processed Data'!H56</f>
        <v>60.3</v>
      </c>
      <c r="I56">
        <f>'[1]Processed Data'!I56</f>
        <v>1</v>
      </c>
      <c r="J56">
        <f>'[1]Processed Data'!J56</f>
        <v>1</v>
      </c>
      <c r="K56">
        <f>'[1]Processed Data'!K56</f>
        <v>0</v>
      </c>
      <c r="L56">
        <f>'[1]Processed Data'!L56</f>
        <v>5</v>
      </c>
      <c r="M56">
        <f>'[1]Processed Data'!M56</f>
        <v>53</v>
      </c>
      <c r="N56">
        <f>'[1]Processed Data'!N56</f>
        <v>0</v>
      </c>
      <c r="O56">
        <f>'[1]Processed Data'!O56</f>
        <v>0</v>
      </c>
      <c r="P56">
        <f>'[1]Processed Data'!P56</f>
        <v>19.399999999999999</v>
      </c>
      <c r="Q56">
        <f>'[1]Processed Data'!Q56</f>
        <v>2</v>
      </c>
    </row>
    <row r="57" spans="2:17" hidden="1">
      <c r="B57">
        <f>'[1]Processed Data'!B57</f>
        <v>2021</v>
      </c>
      <c r="C57">
        <f>'[1]Processed Data'!C57</f>
        <v>54</v>
      </c>
      <c r="D57" t="str">
        <f>'[1]Processed Data'!D57</f>
        <v>P.J. Walker</v>
      </c>
      <c r="E57">
        <f>Table1[[#This Row],[Year]]</f>
        <v>2021</v>
      </c>
      <c r="F57">
        <f>'[1]Processed Data'!F57</f>
        <v>36</v>
      </c>
      <c r="G57">
        <f>'[1]Processed Data'!G57</f>
        <v>66</v>
      </c>
      <c r="H57">
        <f>'[1]Processed Data'!H57</f>
        <v>54.5</v>
      </c>
      <c r="I57">
        <f>'[1]Processed Data'!I57</f>
        <v>1</v>
      </c>
      <c r="J57">
        <f>'[1]Processed Data'!J57</f>
        <v>3</v>
      </c>
      <c r="K57">
        <f>'[1]Processed Data'!K57</f>
        <v>7</v>
      </c>
      <c r="L57">
        <f>'[1]Processed Data'!L57</f>
        <v>7</v>
      </c>
      <c r="M57">
        <f>'[1]Processed Data'!M57</f>
        <v>13</v>
      </c>
      <c r="N57">
        <f>'[1]Processed Data'!N57</f>
        <v>0</v>
      </c>
      <c r="O57">
        <f>'[1]Processed Data'!O57</f>
        <v>1</v>
      </c>
      <c r="P57">
        <f>'[1]Processed Data'!P57</f>
        <v>16.8</v>
      </c>
      <c r="Q57">
        <f>'[1]Processed Data'!Q57</f>
        <v>5</v>
      </c>
    </row>
    <row r="58" spans="2:17" hidden="1">
      <c r="B58">
        <f>'[1]Processed Data'!B58</f>
        <v>2021</v>
      </c>
      <c r="C58">
        <f>'[1]Processed Data'!C58</f>
        <v>55</v>
      </c>
      <c r="D58" t="str">
        <f>'[1]Processed Data'!D58</f>
        <v>Nick Foles</v>
      </c>
      <c r="E58">
        <f>Table1[[#This Row],[Year]]</f>
        <v>2021</v>
      </c>
      <c r="F58">
        <f>'[1]Processed Data'!F58</f>
        <v>24</v>
      </c>
      <c r="G58">
        <f>'[1]Processed Data'!G58</f>
        <v>35</v>
      </c>
      <c r="H58">
        <f>'[1]Processed Data'!H58</f>
        <v>68.599999999999994</v>
      </c>
      <c r="I58">
        <f>'[1]Processed Data'!I58</f>
        <v>1</v>
      </c>
      <c r="J58">
        <f>'[1]Processed Data'!J58</f>
        <v>0</v>
      </c>
      <c r="K58">
        <f>'[1]Processed Data'!K58</f>
        <v>4</v>
      </c>
      <c r="L58">
        <f>'[1]Processed Data'!L58</f>
        <v>4</v>
      </c>
      <c r="M58">
        <f>'[1]Processed Data'!M58</f>
        <v>8</v>
      </c>
      <c r="N58">
        <f>'[1]Processed Data'!N58</f>
        <v>0</v>
      </c>
      <c r="O58">
        <f>'[1]Processed Data'!O58</f>
        <v>0</v>
      </c>
      <c r="P58">
        <f>'[1]Processed Data'!P58</f>
        <v>16.8</v>
      </c>
      <c r="Q58">
        <f>'[1]Processed Data'!Q58</f>
        <v>1</v>
      </c>
    </row>
    <row r="59" spans="2:17" hidden="1">
      <c r="B59">
        <f>'[1]Processed Data'!B59</f>
        <v>2021</v>
      </c>
      <c r="C59">
        <f>'[1]Processed Data'!C59</f>
        <v>56</v>
      </c>
      <c r="D59" t="str">
        <f>'[1]Processed Data'!D59</f>
        <v>Marcus Mariota</v>
      </c>
      <c r="E59">
        <f>Table1[[#This Row],[Year]]</f>
        <v>2021</v>
      </c>
      <c r="F59">
        <f>'[1]Processed Data'!F59</f>
        <v>1</v>
      </c>
      <c r="G59">
        <f>'[1]Processed Data'!G59</f>
        <v>2</v>
      </c>
      <c r="H59">
        <f>'[1]Processed Data'!H59</f>
        <v>50</v>
      </c>
      <c r="I59">
        <f>'[1]Processed Data'!I59</f>
        <v>0</v>
      </c>
      <c r="J59">
        <f>'[1]Processed Data'!J59</f>
        <v>0</v>
      </c>
      <c r="K59">
        <f>'[1]Processed Data'!K59</f>
        <v>0</v>
      </c>
      <c r="L59">
        <f>'[1]Processed Data'!L59</f>
        <v>13</v>
      </c>
      <c r="M59">
        <f>'[1]Processed Data'!M59</f>
        <v>87</v>
      </c>
      <c r="N59">
        <f>'[1]Processed Data'!N59</f>
        <v>1</v>
      </c>
      <c r="O59">
        <f>'[1]Processed Data'!O59</f>
        <v>0</v>
      </c>
      <c r="P59">
        <f>'[1]Processed Data'!P59</f>
        <v>14.9</v>
      </c>
      <c r="Q59">
        <f>'[1]Processed Data'!Q59</f>
        <v>7</v>
      </c>
    </row>
    <row r="60" spans="2:17" hidden="1">
      <c r="B60">
        <f>'[1]Processed Data'!B60</f>
        <v>2021</v>
      </c>
      <c r="C60">
        <f>'[1]Processed Data'!C60</f>
        <v>57</v>
      </c>
      <c r="D60" t="str">
        <f>'[1]Processed Data'!D60</f>
        <v>Jake Fromm</v>
      </c>
      <c r="E60">
        <f>Table1[[#This Row],[Year]]</f>
        <v>2021</v>
      </c>
      <c r="F60">
        <f>'[1]Processed Data'!F60</f>
        <v>27</v>
      </c>
      <c r="G60">
        <f>'[1]Processed Data'!G60</f>
        <v>60</v>
      </c>
      <c r="H60">
        <f>'[1]Processed Data'!H60</f>
        <v>45</v>
      </c>
      <c r="I60">
        <f>'[1]Processed Data'!I60</f>
        <v>1</v>
      </c>
      <c r="J60">
        <f>'[1]Processed Data'!J60</f>
        <v>3</v>
      </c>
      <c r="K60">
        <f>'[1]Processed Data'!K60</f>
        <v>6</v>
      </c>
      <c r="L60">
        <f>'[1]Processed Data'!L60</f>
        <v>8</v>
      </c>
      <c r="M60">
        <f>'[1]Processed Data'!M60</f>
        <v>65</v>
      </c>
      <c r="N60">
        <f>'[1]Processed Data'!N60</f>
        <v>0</v>
      </c>
      <c r="O60">
        <f>'[1]Processed Data'!O60</f>
        <v>1</v>
      </c>
      <c r="P60">
        <f>'[1]Processed Data'!P60</f>
        <v>13.9</v>
      </c>
      <c r="Q60">
        <f>'[1]Processed Data'!Q60</f>
        <v>3</v>
      </c>
    </row>
    <row r="61" spans="2:17" hidden="1">
      <c r="B61">
        <f>'[1]Processed Data'!B61</f>
        <v>2021</v>
      </c>
      <c r="C61">
        <f>'[1]Processed Data'!C61</f>
        <v>58</v>
      </c>
      <c r="D61" t="str">
        <f>'[1]Processed Data'!D61</f>
        <v>Brandon Allen</v>
      </c>
      <c r="E61">
        <f>Table1[[#This Row],[Year]]</f>
        <v>2021</v>
      </c>
      <c r="F61">
        <f>'[1]Processed Data'!F61</f>
        <v>17</v>
      </c>
      <c r="G61">
        <f>'[1]Processed Data'!G61</f>
        <v>34</v>
      </c>
      <c r="H61">
        <f>'[1]Processed Data'!H61</f>
        <v>50</v>
      </c>
      <c r="I61">
        <f>'[1]Processed Data'!I61</f>
        <v>2</v>
      </c>
      <c r="J61">
        <f>'[1]Processed Data'!J61</f>
        <v>0</v>
      </c>
      <c r="K61">
        <f>'[1]Processed Data'!K61</f>
        <v>4</v>
      </c>
      <c r="L61">
        <f>'[1]Processed Data'!L61</f>
        <v>7</v>
      </c>
      <c r="M61">
        <f>'[1]Processed Data'!M61</f>
        <v>-1</v>
      </c>
      <c r="N61">
        <f>'[1]Processed Data'!N61</f>
        <v>0</v>
      </c>
      <c r="O61">
        <f>'[1]Processed Data'!O61</f>
        <v>0</v>
      </c>
      <c r="P61">
        <f>'[1]Processed Data'!P61</f>
        <v>13.8</v>
      </c>
      <c r="Q61">
        <f>'[1]Processed Data'!Q61</f>
        <v>5</v>
      </c>
    </row>
    <row r="62" spans="2:17" hidden="1">
      <c r="B62">
        <f>'[1]Processed Data'!B62</f>
        <v>2021</v>
      </c>
      <c r="C62">
        <f>'[1]Processed Data'!C62</f>
        <v>59</v>
      </c>
      <c r="D62" t="str">
        <f>'[1]Processed Data'!D62</f>
        <v>Sean Mannion</v>
      </c>
      <c r="E62">
        <f>Table1[[#This Row],[Year]]</f>
        <v>2021</v>
      </c>
      <c r="F62">
        <f>'[1]Processed Data'!F62</f>
        <v>22</v>
      </c>
      <c r="G62">
        <f>'[1]Processed Data'!G62</f>
        <v>36</v>
      </c>
      <c r="H62">
        <f>'[1]Processed Data'!H62</f>
        <v>61.1</v>
      </c>
      <c r="I62">
        <f>'[1]Processed Data'!I62</f>
        <v>1</v>
      </c>
      <c r="J62">
        <f>'[1]Processed Data'!J62</f>
        <v>0</v>
      </c>
      <c r="K62">
        <f>'[1]Processed Data'!K62</f>
        <v>2</v>
      </c>
      <c r="L62">
        <f>'[1]Processed Data'!L62</f>
        <v>2</v>
      </c>
      <c r="M62">
        <f>'[1]Processed Data'!M62</f>
        <v>14</v>
      </c>
      <c r="N62">
        <f>'[1]Processed Data'!N62</f>
        <v>0</v>
      </c>
      <c r="O62">
        <f>'[1]Processed Data'!O62</f>
        <v>0</v>
      </c>
      <c r="P62">
        <f>'[1]Processed Data'!P62</f>
        <v>13</v>
      </c>
      <c r="Q62">
        <f>'[1]Processed Data'!Q62</f>
        <v>1</v>
      </c>
    </row>
    <row r="63" spans="2:17" hidden="1">
      <c r="B63">
        <f>'[1]Processed Data'!B63</f>
        <v>2021</v>
      </c>
      <c r="C63">
        <f>'[1]Processed Data'!C63</f>
        <v>60</v>
      </c>
      <c r="D63" t="str">
        <f>'[1]Processed Data'!D63</f>
        <v>Brian Hoyer</v>
      </c>
      <c r="E63">
        <f>Table1[[#This Row],[Year]]</f>
        <v>2021</v>
      </c>
      <c r="F63">
        <f>'[1]Processed Data'!F63</f>
        <v>9</v>
      </c>
      <c r="G63">
        <f>'[1]Processed Data'!G63</f>
        <v>11</v>
      </c>
      <c r="H63">
        <f>'[1]Processed Data'!H63</f>
        <v>81.8</v>
      </c>
      <c r="I63">
        <f>'[1]Processed Data'!I63</f>
        <v>1</v>
      </c>
      <c r="J63">
        <f>'[1]Processed Data'!J63</f>
        <v>0</v>
      </c>
      <c r="K63">
        <f>'[1]Processed Data'!K63</f>
        <v>0</v>
      </c>
      <c r="L63">
        <f>'[1]Processed Data'!L63</f>
        <v>11</v>
      </c>
      <c r="M63">
        <f>'[1]Processed Data'!M63</f>
        <v>-8</v>
      </c>
      <c r="N63">
        <f>'[1]Processed Data'!N63</f>
        <v>0</v>
      </c>
      <c r="O63">
        <f>'[1]Processed Data'!O63</f>
        <v>0</v>
      </c>
      <c r="P63">
        <f>'[1]Processed Data'!P63</f>
        <v>12.3</v>
      </c>
      <c r="Q63">
        <f>'[1]Processed Data'!Q63</f>
        <v>5</v>
      </c>
    </row>
    <row r="64" spans="2:17" hidden="1">
      <c r="B64">
        <f>'[1]Processed Data'!B64</f>
        <v>2021</v>
      </c>
      <c r="C64">
        <f>'[1]Processed Data'!C64</f>
        <v>61</v>
      </c>
      <c r="D64" t="str">
        <f>'[1]Processed Data'!D64</f>
        <v>Nick Mullens</v>
      </c>
      <c r="E64">
        <f>Table1[[#This Row],[Year]]</f>
        <v>2021</v>
      </c>
      <c r="F64">
        <f>'[1]Processed Data'!F64</f>
        <v>20</v>
      </c>
      <c r="G64">
        <f>'[1]Processed Data'!G64</f>
        <v>30</v>
      </c>
      <c r="H64">
        <f>'[1]Processed Data'!H64</f>
        <v>66.7</v>
      </c>
      <c r="I64">
        <f>'[1]Processed Data'!I64</f>
        <v>1</v>
      </c>
      <c r="J64">
        <f>'[1]Processed Data'!J64</f>
        <v>0</v>
      </c>
      <c r="K64">
        <f>'[1]Processed Data'!K64</f>
        <v>0</v>
      </c>
      <c r="L64">
        <f>'[1]Processed Data'!L64</f>
        <v>0</v>
      </c>
      <c r="M64">
        <f>'[1]Processed Data'!M64</f>
        <v>0</v>
      </c>
      <c r="N64">
        <f>'[1]Processed Data'!N64</f>
        <v>0</v>
      </c>
      <c r="O64">
        <f>'[1]Processed Data'!O64</f>
        <v>0</v>
      </c>
      <c r="P64">
        <f>'[1]Processed Data'!P64</f>
        <v>9.9</v>
      </c>
      <c r="Q64">
        <f>'[1]Processed Data'!Q64</f>
        <v>1</v>
      </c>
    </row>
    <row r="65" spans="2:17" hidden="1">
      <c r="B65">
        <f>'[1]Processed Data'!B65</f>
        <v>2021</v>
      </c>
      <c r="C65">
        <f>'[1]Processed Data'!C65</f>
        <v>62</v>
      </c>
      <c r="D65" t="str">
        <f>'[1]Processed Data'!D65</f>
        <v>Mitchell Trubisky</v>
      </c>
      <c r="E65">
        <f>Table1[[#This Row],[Year]]</f>
        <v>2021</v>
      </c>
      <c r="F65">
        <f>'[1]Processed Data'!F65</f>
        <v>6</v>
      </c>
      <c r="G65">
        <f>'[1]Processed Data'!G65</f>
        <v>8</v>
      </c>
      <c r="H65">
        <f>'[1]Processed Data'!H65</f>
        <v>75</v>
      </c>
      <c r="I65">
        <f>'[1]Processed Data'!I65</f>
        <v>0</v>
      </c>
      <c r="J65">
        <f>'[1]Processed Data'!J65</f>
        <v>1</v>
      </c>
      <c r="K65">
        <f>'[1]Processed Data'!K65</f>
        <v>0</v>
      </c>
      <c r="L65">
        <f>'[1]Processed Data'!L65</f>
        <v>13</v>
      </c>
      <c r="M65">
        <f>'[1]Processed Data'!M65</f>
        <v>24</v>
      </c>
      <c r="N65">
        <f>'[1]Processed Data'!N65</f>
        <v>1</v>
      </c>
      <c r="O65">
        <f>'[1]Processed Data'!O65</f>
        <v>0</v>
      </c>
      <c r="P65">
        <f>'[1]Processed Data'!P65</f>
        <v>9.1</v>
      </c>
      <c r="Q65">
        <f>'[1]Processed Data'!Q65</f>
        <v>5</v>
      </c>
    </row>
    <row r="66" spans="2:17" hidden="1">
      <c r="B66">
        <f>'[1]Processed Data'!B66</f>
        <v>2021</v>
      </c>
      <c r="C66">
        <f>'[1]Processed Data'!C66</f>
        <v>63</v>
      </c>
      <c r="D66" t="str">
        <f>'[1]Processed Data'!D66</f>
        <v>Kyle Allen</v>
      </c>
      <c r="E66">
        <f>Table1[[#This Row],[Year]]</f>
        <v>2021</v>
      </c>
      <c r="F66">
        <f>'[1]Processed Data'!F66</f>
        <v>12</v>
      </c>
      <c r="G66">
        <f>'[1]Processed Data'!G66</f>
        <v>19</v>
      </c>
      <c r="H66">
        <f>'[1]Processed Data'!H66</f>
        <v>63.2</v>
      </c>
      <c r="I66">
        <f>'[1]Processed Data'!I66</f>
        <v>1</v>
      </c>
      <c r="J66">
        <f>'[1]Processed Data'!J66</f>
        <v>0</v>
      </c>
      <c r="K66">
        <f>'[1]Processed Data'!K66</f>
        <v>2</v>
      </c>
      <c r="L66">
        <f>'[1]Processed Data'!L66</f>
        <v>2</v>
      </c>
      <c r="M66">
        <f>'[1]Processed Data'!M66</f>
        <v>11</v>
      </c>
      <c r="N66">
        <f>'[1]Processed Data'!N66</f>
        <v>0</v>
      </c>
      <c r="O66">
        <f>'[1]Processed Data'!O66</f>
        <v>1</v>
      </c>
      <c r="P66">
        <f>'[1]Processed Data'!P66</f>
        <v>7.9</v>
      </c>
      <c r="Q66">
        <f>'[1]Processed Data'!Q66</f>
        <v>2</v>
      </c>
    </row>
    <row r="67" spans="2:17" hidden="1">
      <c r="B67">
        <f>'[1]Processed Data'!B67</f>
        <v>2021</v>
      </c>
      <c r="C67">
        <f>'[1]Processed Data'!C67</f>
        <v>64</v>
      </c>
      <c r="D67" t="str">
        <f>'[1]Processed Data'!D67</f>
        <v>Garrett Gilbert</v>
      </c>
      <c r="E67">
        <f>Table1[[#This Row],[Year]]</f>
        <v>2021</v>
      </c>
      <c r="F67">
        <f>'[1]Processed Data'!F67</f>
        <v>20</v>
      </c>
      <c r="G67">
        <f>'[1]Processed Data'!G67</f>
        <v>31</v>
      </c>
      <c r="H67">
        <f>'[1]Processed Data'!H67</f>
        <v>64.5</v>
      </c>
      <c r="I67">
        <f>'[1]Processed Data'!I67</f>
        <v>0</v>
      </c>
      <c r="J67">
        <f>'[1]Processed Data'!J67</f>
        <v>0</v>
      </c>
      <c r="K67">
        <f>'[1]Processed Data'!K67</f>
        <v>2</v>
      </c>
      <c r="L67">
        <f>'[1]Processed Data'!L67</f>
        <v>0</v>
      </c>
      <c r="M67">
        <f>'[1]Processed Data'!M67</f>
        <v>0</v>
      </c>
      <c r="N67">
        <f>'[1]Processed Data'!N67</f>
        <v>0</v>
      </c>
      <c r="O67">
        <f>'[1]Processed Data'!O67</f>
        <v>0</v>
      </c>
      <c r="P67">
        <f>'[1]Processed Data'!P67</f>
        <v>7.8</v>
      </c>
      <c r="Q67">
        <f>'[1]Processed Data'!Q67</f>
        <v>1</v>
      </c>
    </row>
    <row r="68" spans="2:17" hidden="1">
      <c r="B68">
        <f>'[1]Processed Data'!B68</f>
        <v>2021</v>
      </c>
      <c r="C68">
        <f>'[1]Processed Data'!C68</f>
        <v>65</v>
      </c>
      <c r="D68" t="str">
        <f>'[1]Processed Data'!D68</f>
        <v>Ian Book</v>
      </c>
      <c r="E68">
        <f>Table1[[#This Row],[Year]]</f>
        <v>2021</v>
      </c>
      <c r="F68">
        <f>'[1]Processed Data'!F68</f>
        <v>12</v>
      </c>
      <c r="G68">
        <f>'[1]Processed Data'!G68</f>
        <v>20</v>
      </c>
      <c r="H68">
        <f>'[1]Processed Data'!H68</f>
        <v>60</v>
      </c>
      <c r="I68">
        <f>'[1]Processed Data'!I68</f>
        <v>0</v>
      </c>
      <c r="J68">
        <f>'[1]Processed Data'!J68</f>
        <v>2</v>
      </c>
      <c r="K68">
        <f>'[1]Processed Data'!K68</f>
        <v>8</v>
      </c>
      <c r="L68">
        <f>'[1]Processed Data'!L68</f>
        <v>3</v>
      </c>
      <c r="M68">
        <f>'[1]Processed Data'!M68</f>
        <v>6</v>
      </c>
      <c r="N68">
        <f>'[1]Processed Data'!N68</f>
        <v>0</v>
      </c>
      <c r="O68">
        <f>'[1]Processed Data'!O68</f>
        <v>0</v>
      </c>
      <c r="P68">
        <f>'[1]Processed Data'!P68</f>
        <v>4</v>
      </c>
      <c r="Q68">
        <f>'[1]Processed Data'!Q68</f>
        <v>1</v>
      </c>
    </row>
    <row r="69" spans="2:17" hidden="1">
      <c r="B69">
        <f>'[1]Processed Data'!B69</f>
        <v>2021</v>
      </c>
      <c r="C69">
        <f>'[1]Processed Data'!C69</f>
        <v>66</v>
      </c>
      <c r="D69" t="str">
        <f>'[1]Processed Data'!D69</f>
        <v>Chad Henne</v>
      </c>
      <c r="E69">
        <f>Table1[[#This Row],[Year]]</f>
        <v>2021</v>
      </c>
      <c r="F69">
        <f>'[1]Processed Data'!F69</f>
        <v>11</v>
      </c>
      <c r="G69">
        <f>'[1]Processed Data'!G69</f>
        <v>16</v>
      </c>
      <c r="H69">
        <f>'[1]Processed Data'!H69</f>
        <v>68.8</v>
      </c>
      <c r="I69">
        <f>'[1]Processed Data'!I69</f>
        <v>0</v>
      </c>
      <c r="J69">
        <f>'[1]Processed Data'!J69</f>
        <v>0</v>
      </c>
      <c r="K69">
        <f>'[1]Processed Data'!K69</f>
        <v>0</v>
      </c>
      <c r="L69">
        <f>'[1]Processed Data'!L69</f>
        <v>8</v>
      </c>
      <c r="M69">
        <f>'[1]Processed Data'!M69</f>
        <v>0</v>
      </c>
      <c r="N69">
        <f>'[1]Processed Data'!N69</f>
        <v>0</v>
      </c>
      <c r="O69">
        <f>'[1]Processed Data'!O69</f>
        <v>0</v>
      </c>
      <c r="P69">
        <f>'[1]Processed Data'!P69</f>
        <v>3.3</v>
      </c>
      <c r="Q69">
        <f>'[1]Processed Data'!Q69</f>
        <v>4</v>
      </c>
    </row>
    <row r="70" spans="2:17" hidden="1">
      <c r="B70">
        <f>'[1]Processed Data'!B70</f>
        <v>2021</v>
      </c>
      <c r="C70">
        <f>'[1]Processed Data'!C70</f>
        <v>67</v>
      </c>
      <c r="D70" t="str">
        <f>'[1]Processed Data'!D70</f>
        <v>Chris Streveler</v>
      </c>
      <c r="E70">
        <f>Table1[[#This Row],[Year]]</f>
        <v>2021</v>
      </c>
      <c r="F70">
        <f>'[1]Processed Data'!F70</f>
        <v>6</v>
      </c>
      <c r="G70">
        <f>'[1]Processed Data'!G70</f>
        <v>9</v>
      </c>
      <c r="H70">
        <f>'[1]Processed Data'!H70</f>
        <v>66.7</v>
      </c>
      <c r="I70">
        <f>'[1]Processed Data'!I70</f>
        <v>0</v>
      </c>
      <c r="J70">
        <f>'[1]Processed Data'!J70</f>
        <v>0</v>
      </c>
      <c r="K70">
        <f>'[1]Processed Data'!K70</f>
        <v>2</v>
      </c>
      <c r="L70">
        <f>'[1]Processed Data'!L70</f>
        <v>3</v>
      </c>
      <c r="M70">
        <f>'[1]Processed Data'!M70</f>
        <v>6</v>
      </c>
      <c r="N70">
        <f>'[1]Processed Data'!N70</f>
        <v>0</v>
      </c>
      <c r="O70">
        <f>'[1]Processed Data'!O70</f>
        <v>0</v>
      </c>
      <c r="P70">
        <f>'[1]Processed Data'!P70</f>
        <v>2</v>
      </c>
      <c r="Q70">
        <f>'[1]Processed Data'!Q70</f>
        <v>2</v>
      </c>
    </row>
    <row r="71" spans="2:17" hidden="1">
      <c r="B71">
        <f>'[1]Processed Data'!B71</f>
        <v>2021</v>
      </c>
      <c r="C71">
        <f>'[1]Processed Data'!C71</f>
        <v>68</v>
      </c>
      <c r="D71" t="str">
        <f>'[1]Processed Data'!D71</f>
        <v>Blaine Gabbert</v>
      </c>
      <c r="E71">
        <f>Table1[[#This Row],[Year]]</f>
        <v>2021</v>
      </c>
      <c r="F71">
        <f>'[1]Processed Data'!F71</f>
        <v>7</v>
      </c>
      <c r="G71">
        <f>'[1]Processed Data'!G71</f>
        <v>11</v>
      </c>
      <c r="H71">
        <f>'[1]Processed Data'!H71</f>
        <v>63.6</v>
      </c>
      <c r="I71">
        <f>'[1]Processed Data'!I71</f>
        <v>0</v>
      </c>
      <c r="J71">
        <f>'[1]Processed Data'!J71</f>
        <v>0</v>
      </c>
      <c r="K71">
        <f>'[1]Processed Data'!K71</f>
        <v>1</v>
      </c>
      <c r="L71">
        <f>'[1]Processed Data'!L71</f>
        <v>9</v>
      </c>
      <c r="M71">
        <f>'[1]Processed Data'!M71</f>
        <v>-7</v>
      </c>
      <c r="N71">
        <f>'[1]Processed Data'!N71</f>
        <v>0</v>
      </c>
      <c r="O71">
        <f>'[1]Processed Data'!O71</f>
        <v>0</v>
      </c>
      <c r="P71">
        <f>'[1]Processed Data'!P71</f>
        <v>1.9</v>
      </c>
      <c r="Q71">
        <f>'[1]Processed Data'!Q71</f>
        <v>6</v>
      </c>
    </row>
    <row r="72" spans="2:17" hidden="1">
      <c r="B72">
        <f>'[1]Processed Data'!B72</f>
        <v>2021</v>
      </c>
      <c r="C72">
        <f>'[1]Processed Data'!C72</f>
        <v>69</v>
      </c>
      <c r="D72" t="str">
        <f>'[1]Processed Data'!D72</f>
        <v>C.J. Beathard</v>
      </c>
      <c r="E72">
        <f>Table1[[#This Row],[Year]]</f>
        <v>2021</v>
      </c>
      <c r="F72">
        <f>'[1]Processed Data'!F72</f>
        <v>2</v>
      </c>
      <c r="G72">
        <f>'[1]Processed Data'!G72</f>
        <v>2</v>
      </c>
      <c r="H72">
        <f>'[1]Processed Data'!H72</f>
        <v>100</v>
      </c>
      <c r="I72">
        <f>'[1]Processed Data'!I72</f>
        <v>0</v>
      </c>
      <c r="J72">
        <f>'[1]Processed Data'!J72</f>
        <v>0</v>
      </c>
      <c r="K72">
        <f>'[1]Processed Data'!K72</f>
        <v>0</v>
      </c>
      <c r="L72">
        <f>'[1]Processed Data'!L72</f>
        <v>1</v>
      </c>
      <c r="M72">
        <f>'[1]Processed Data'!M72</f>
        <v>2</v>
      </c>
      <c r="N72">
        <f>'[1]Processed Data'!N72</f>
        <v>0</v>
      </c>
      <c r="O72">
        <f>'[1]Processed Data'!O72</f>
        <v>0</v>
      </c>
      <c r="P72">
        <f>'[1]Processed Data'!P72</f>
        <v>1.5</v>
      </c>
      <c r="Q72">
        <f>'[1]Processed Data'!Q72</f>
        <v>2</v>
      </c>
    </row>
    <row r="73" spans="2:17" hidden="1">
      <c r="B73">
        <f>'[1]Processed Data'!B73</f>
        <v>2021</v>
      </c>
      <c r="C73">
        <f>'[1]Processed Data'!C73</f>
        <v>70</v>
      </c>
      <c r="D73" t="str">
        <f>'[1]Processed Data'!D73</f>
        <v>Sam Ehlinger</v>
      </c>
      <c r="E73">
        <f>Table1[[#This Row],[Year]]</f>
        <v>2021</v>
      </c>
      <c r="F73">
        <f>'[1]Processed Data'!F73</f>
        <v>0</v>
      </c>
      <c r="G73">
        <f>'[1]Processed Data'!G73</f>
        <v>0</v>
      </c>
      <c r="H73">
        <f>'[1]Processed Data'!H73</f>
        <v>0</v>
      </c>
      <c r="I73">
        <f>'[1]Processed Data'!I73</f>
        <v>0</v>
      </c>
      <c r="J73">
        <f>'[1]Processed Data'!J73</f>
        <v>0</v>
      </c>
      <c r="K73">
        <f>'[1]Processed Data'!K73</f>
        <v>0</v>
      </c>
      <c r="L73">
        <f>'[1]Processed Data'!L73</f>
        <v>3</v>
      </c>
      <c r="M73">
        <f>'[1]Processed Data'!M73</f>
        <v>9</v>
      </c>
      <c r="N73">
        <f>'[1]Processed Data'!N73</f>
        <v>0</v>
      </c>
      <c r="O73">
        <f>'[1]Processed Data'!O73</f>
        <v>0</v>
      </c>
      <c r="P73">
        <f>'[1]Processed Data'!P73</f>
        <v>0.9</v>
      </c>
      <c r="Q73">
        <f>'[1]Processed Data'!Q73</f>
        <v>3</v>
      </c>
    </row>
    <row r="74" spans="2:17" hidden="1">
      <c r="B74">
        <f>'[1]Processed Data'!B74</f>
        <v>2021</v>
      </c>
      <c r="C74">
        <f>'[1]Processed Data'!C74</f>
        <v>71</v>
      </c>
      <c r="D74" t="str">
        <f>'[1]Processed Data'!D74</f>
        <v>Ryan Fitzpatrick</v>
      </c>
      <c r="E74">
        <f>Table1[[#This Row],[Year]]</f>
        <v>2021</v>
      </c>
      <c r="F74">
        <f>'[1]Processed Data'!F74</f>
        <v>3</v>
      </c>
      <c r="G74">
        <f>'[1]Processed Data'!G74</f>
        <v>6</v>
      </c>
      <c r="H74">
        <f>'[1]Processed Data'!H74</f>
        <v>50</v>
      </c>
      <c r="I74">
        <f>'[1]Processed Data'!I74</f>
        <v>0</v>
      </c>
      <c r="J74">
        <f>'[1]Processed Data'!J74</f>
        <v>0</v>
      </c>
      <c r="K74">
        <f>'[1]Processed Data'!K74</f>
        <v>1</v>
      </c>
      <c r="L74">
        <f>'[1]Processed Data'!L74</f>
        <v>1</v>
      </c>
      <c r="M74">
        <f>'[1]Processed Data'!M74</f>
        <v>2</v>
      </c>
      <c r="N74">
        <f>'[1]Processed Data'!N74</f>
        <v>0</v>
      </c>
      <c r="O74">
        <f>'[1]Processed Data'!O74</f>
        <v>0</v>
      </c>
      <c r="P74">
        <f>'[1]Processed Data'!P74</f>
        <v>0.7</v>
      </c>
      <c r="Q74">
        <f>'[1]Processed Data'!Q74</f>
        <v>1</v>
      </c>
    </row>
    <row r="75" spans="2:17" hidden="1">
      <c r="B75">
        <f>'[1]Processed Data'!B75</f>
        <v>2021</v>
      </c>
      <c r="C75">
        <f>'[1]Processed Data'!C75</f>
        <v>72</v>
      </c>
      <c r="D75" t="str">
        <f>'[1]Processed Data'!D75</f>
        <v>David Blough</v>
      </c>
      <c r="E75">
        <f>Table1[[#This Row],[Year]]</f>
        <v>2021</v>
      </c>
      <c r="F75">
        <f>'[1]Processed Data'!F75</f>
        <v>0</v>
      </c>
      <c r="G75">
        <f>'[1]Processed Data'!G75</f>
        <v>0</v>
      </c>
      <c r="H75">
        <f>'[1]Processed Data'!H75</f>
        <v>0</v>
      </c>
      <c r="I75">
        <f>'[1]Processed Data'!I75</f>
        <v>0</v>
      </c>
      <c r="J75">
        <f>'[1]Processed Data'!J75</f>
        <v>0</v>
      </c>
      <c r="K75">
        <f>'[1]Processed Data'!K75</f>
        <v>1</v>
      </c>
      <c r="L75">
        <f>'[1]Processed Data'!L75</f>
        <v>1</v>
      </c>
      <c r="M75">
        <f>'[1]Processed Data'!M75</f>
        <v>6</v>
      </c>
      <c r="N75">
        <f>'[1]Processed Data'!N75</f>
        <v>0</v>
      </c>
      <c r="O75">
        <f>'[1]Processed Data'!O75</f>
        <v>0</v>
      </c>
      <c r="P75">
        <f>'[1]Processed Data'!P75</f>
        <v>0.6</v>
      </c>
      <c r="Q75">
        <f>'[1]Processed Data'!Q75</f>
        <v>1</v>
      </c>
    </row>
    <row r="76" spans="2:17" hidden="1">
      <c r="B76">
        <f>'[1]Processed Data'!B76</f>
        <v>2021</v>
      </c>
      <c r="C76">
        <f>'[1]Processed Data'!C76</f>
        <v>73</v>
      </c>
      <c r="D76" t="str">
        <f>'[1]Processed Data'!D76</f>
        <v>Nathan Peterman</v>
      </c>
      <c r="E76">
        <f>Table1[[#This Row],[Year]]</f>
        <v>2021</v>
      </c>
      <c r="F76">
        <f>'[1]Processed Data'!F76</f>
        <v>0</v>
      </c>
      <c r="G76">
        <f>'[1]Processed Data'!G76</f>
        <v>0</v>
      </c>
      <c r="H76">
        <f>'[1]Processed Data'!H76</f>
        <v>0</v>
      </c>
      <c r="I76">
        <f>'[1]Processed Data'!I76</f>
        <v>0</v>
      </c>
      <c r="J76">
        <f>'[1]Processed Data'!J76</f>
        <v>0</v>
      </c>
      <c r="K76">
        <f>'[1]Processed Data'!K76</f>
        <v>0</v>
      </c>
      <c r="L76">
        <f>'[1]Processed Data'!L76</f>
        <v>2</v>
      </c>
      <c r="M76">
        <f>'[1]Processed Data'!M76</f>
        <v>2</v>
      </c>
      <c r="N76">
        <f>'[1]Processed Data'!N76</f>
        <v>0</v>
      </c>
      <c r="O76">
        <f>'[1]Processed Data'!O76</f>
        <v>0</v>
      </c>
      <c r="P76">
        <f>'[1]Processed Data'!P76</f>
        <v>0.2</v>
      </c>
      <c r="Q76">
        <f>'[1]Processed Data'!Q76</f>
        <v>1</v>
      </c>
    </row>
    <row r="77" spans="2:17" hidden="1">
      <c r="B77">
        <f>'[1]Processed Data'!B77</f>
        <v>2021</v>
      </c>
      <c r="C77">
        <f>'[1]Processed Data'!C77</f>
        <v>74</v>
      </c>
      <c r="D77" t="str">
        <f>'[1]Processed Data'!D77</f>
        <v>Kellen Mond</v>
      </c>
      <c r="E77">
        <f>Table1[[#This Row],[Year]]</f>
        <v>2021</v>
      </c>
      <c r="F77">
        <f>'[1]Processed Data'!F77</f>
        <v>2</v>
      </c>
      <c r="G77">
        <f>'[1]Processed Data'!G77</f>
        <v>3</v>
      </c>
      <c r="H77">
        <f>'[1]Processed Data'!H77</f>
        <v>66.7</v>
      </c>
      <c r="I77">
        <f>'[1]Processed Data'!I77</f>
        <v>0</v>
      </c>
      <c r="J77">
        <f>'[1]Processed Data'!J77</f>
        <v>0</v>
      </c>
      <c r="K77">
        <f>'[1]Processed Data'!K77</f>
        <v>0</v>
      </c>
      <c r="L77">
        <f>'[1]Processed Data'!L77</f>
        <v>0</v>
      </c>
      <c r="M77">
        <f>'[1]Processed Data'!M77</f>
        <v>0</v>
      </c>
      <c r="N77">
        <f>'[1]Processed Data'!N77</f>
        <v>0</v>
      </c>
      <c r="O77">
        <f>'[1]Processed Data'!O77</f>
        <v>0</v>
      </c>
      <c r="P77">
        <f>'[1]Processed Data'!P77</f>
        <v>0.2</v>
      </c>
      <c r="Q77">
        <f>'[1]Processed Data'!Q77</f>
        <v>2</v>
      </c>
    </row>
    <row r="78" spans="2:17" hidden="1">
      <c r="B78">
        <f>'[1]Processed Data'!B82</f>
        <v>2021</v>
      </c>
      <c r="C78">
        <f>'[1]Processed Data'!C82</f>
        <v>79</v>
      </c>
      <c r="D78" t="str">
        <f>'[1]Processed Data'!D82</f>
        <v>Trace McSorley</v>
      </c>
      <c r="E78">
        <f>Table1[[#This Row],[Year]]</f>
        <v>2021</v>
      </c>
      <c r="F78">
        <f>'[1]Processed Data'!F82</f>
        <v>0</v>
      </c>
      <c r="G78">
        <f>'[1]Processed Data'!G82</f>
        <v>0</v>
      </c>
      <c r="H78">
        <f>'[1]Processed Data'!H82</f>
        <v>0</v>
      </c>
      <c r="I78">
        <f>'[1]Processed Data'!I82</f>
        <v>0</v>
      </c>
      <c r="J78">
        <f>'[1]Processed Data'!J82</f>
        <v>0</v>
      </c>
      <c r="K78">
        <f>'[1]Processed Data'!K82</f>
        <v>0</v>
      </c>
      <c r="L78">
        <f>'[1]Processed Data'!L82</f>
        <v>0</v>
      </c>
      <c r="M78">
        <f>'[1]Processed Data'!M82</f>
        <v>0</v>
      </c>
      <c r="N78">
        <f>'[1]Processed Data'!N82</f>
        <v>0</v>
      </c>
      <c r="O78">
        <f>'[1]Processed Data'!O82</f>
        <v>0</v>
      </c>
      <c r="P78">
        <f>'[1]Processed Data'!P82</f>
        <v>0</v>
      </c>
      <c r="Q78">
        <f>'[1]Processed Data'!Q82</f>
        <v>1</v>
      </c>
    </row>
    <row r="79" spans="2:17" hidden="1">
      <c r="B79">
        <f>'[1]Processed Data'!B84</f>
        <v>2021</v>
      </c>
      <c r="C79">
        <f>'[1]Processed Data'!C84</f>
        <v>81</v>
      </c>
      <c r="D79" t="str">
        <f>'[1]Processed Data'!D84</f>
        <v>Brett Rypien</v>
      </c>
      <c r="E79">
        <f>Table1[[#This Row],[Year]]</f>
        <v>2021</v>
      </c>
      <c r="F79">
        <f>'[1]Processed Data'!F84</f>
        <v>0</v>
      </c>
      <c r="G79">
        <f>'[1]Processed Data'!G84</f>
        <v>2</v>
      </c>
      <c r="H79">
        <f>'[1]Processed Data'!H84</f>
        <v>0</v>
      </c>
      <c r="I79">
        <f>'[1]Processed Data'!I84</f>
        <v>0</v>
      </c>
      <c r="J79">
        <f>'[1]Processed Data'!J84</f>
        <v>0</v>
      </c>
      <c r="K79">
        <f>'[1]Processed Data'!K84</f>
        <v>0</v>
      </c>
      <c r="L79">
        <f>'[1]Processed Data'!L84</f>
        <v>0</v>
      </c>
      <c r="M79">
        <f>'[1]Processed Data'!M84</f>
        <v>0</v>
      </c>
      <c r="N79">
        <f>'[1]Processed Data'!N84</f>
        <v>0</v>
      </c>
      <c r="O79">
        <f>'[1]Processed Data'!O84</f>
        <v>0</v>
      </c>
      <c r="P79">
        <f>'[1]Processed Data'!P84</f>
        <v>0</v>
      </c>
      <c r="Q79">
        <f>'[1]Processed Data'!Q84</f>
        <v>1</v>
      </c>
    </row>
    <row r="80" spans="2:17" hidden="1">
      <c r="B80">
        <f>'[1]Processed Data'!B97</f>
        <v>2021</v>
      </c>
      <c r="C80">
        <f>'[1]Processed Data'!C97</f>
        <v>94</v>
      </c>
      <c r="D80" t="str">
        <f>'[1]Processed Data'!D97</f>
        <v>Jacob Eason</v>
      </c>
      <c r="E80">
        <f>Table1[[#This Row],[Year]]</f>
        <v>2021</v>
      </c>
      <c r="F80">
        <f>'[1]Processed Data'!F97</f>
        <v>2</v>
      </c>
      <c r="G80">
        <f>'[1]Processed Data'!G97</f>
        <v>5</v>
      </c>
      <c r="H80">
        <f>'[1]Processed Data'!H97</f>
        <v>40</v>
      </c>
      <c r="I80">
        <f>'[1]Processed Data'!I97</f>
        <v>0</v>
      </c>
      <c r="J80">
        <f>'[1]Processed Data'!J97</f>
        <v>1</v>
      </c>
      <c r="K80">
        <f>'[1]Processed Data'!K97</f>
        <v>0</v>
      </c>
      <c r="L80">
        <f>'[1]Processed Data'!L97</f>
        <v>0</v>
      </c>
      <c r="M80">
        <f>'[1]Processed Data'!M97</f>
        <v>0</v>
      </c>
      <c r="N80">
        <f>'[1]Processed Data'!N97</f>
        <v>0</v>
      </c>
      <c r="O80">
        <f>'[1]Processed Data'!O97</f>
        <v>0</v>
      </c>
      <c r="P80">
        <f>'[1]Processed Data'!P97</f>
        <v>0</v>
      </c>
      <c r="Q80">
        <f>'[1]Processed Data'!Q97</f>
        <v>1</v>
      </c>
    </row>
    <row r="81" spans="2:17" hidden="1">
      <c r="B81">
        <f>'[1]Processed Data'!B118</f>
        <v>2021</v>
      </c>
      <c r="C81">
        <f>'[1]Processed Data'!C118</f>
        <v>115</v>
      </c>
      <c r="D81" t="str">
        <f>'[1]Processed Data'!D118</f>
        <v>Kurt Benkert</v>
      </c>
      <c r="E81">
        <f>Table1[[#This Row],[Year]]</f>
        <v>2021</v>
      </c>
      <c r="F81">
        <f>'[1]Processed Data'!F118</f>
        <v>0</v>
      </c>
      <c r="G81">
        <f>'[1]Processed Data'!G118</f>
        <v>0</v>
      </c>
      <c r="H81">
        <f>'[1]Processed Data'!H118</f>
        <v>0</v>
      </c>
      <c r="I81">
        <f>'[1]Processed Data'!I118</f>
        <v>0</v>
      </c>
      <c r="J81">
        <f>'[1]Processed Data'!J118</f>
        <v>0</v>
      </c>
      <c r="K81">
        <f>'[1]Processed Data'!K118</f>
        <v>0</v>
      </c>
      <c r="L81">
        <f>'[1]Processed Data'!L118</f>
        <v>2</v>
      </c>
      <c r="M81">
        <f>'[1]Processed Data'!M118</f>
        <v>-1</v>
      </c>
      <c r="N81">
        <f>'[1]Processed Data'!N118</f>
        <v>0</v>
      </c>
      <c r="O81">
        <f>'[1]Processed Data'!O118</f>
        <v>0</v>
      </c>
      <c r="P81">
        <f>'[1]Processed Data'!P118</f>
        <v>-0.1</v>
      </c>
      <c r="Q81">
        <f>'[1]Processed Data'!Q118</f>
        <v>1</v>
      </c>
    </row>
    <row r="82" spans="2:17" hidden="1">
      <c r="B82">
        <f>'[1]Processed Data'!B119</f>
        <v>2021</v>
      </c>
      <c r="C82">
        <f>'[1]Processed Data'!C119</f>
        <v>116</v>
      </c>
      <c r="D82" t="str">
        <f>'[1]Processed Data'!D119</f>
        <v>Chase Daniel</v>
      </c>
      <c r="E82">
        <f>Table1[[#This Row],[Year]]</f>
        <v>2021</v>
      </c>
      <c r="F82">
        <f>'[1]Processed Data'!F119</f>
        <v>0</v>
      </c>
      <c r="G82">
        <f>'[1]Processed Data'!G119</f>
        <v>0</v>
      </c>
      <c r="H82">
        <f>'[1]Processed Data'!H119</f>
        <v>0</v>
      </c>
      <c r="I82">
        <f>'[1]Processed Data'!I119</f>
        <v>0</v>
      </c>
      <c r="J82">
        <f>'[1]Processed Data'!J119</f>
        <v>0</v>
      </c>
      <c r="K82">
        <f>'[1]Processed Data'!K119</f>
        <v>0</v>
      </c>
      <c r="L82">
        <f>'[1]Processed Data'!L119</f>
        <v>2</v>
      </c>
      <c r="M82">
        <f>'[1]Processed Data'!M119</f>
        <v>-2</v>
      </c>
      <c r="N82">
        <f>'[1]Processed Data'!N119</f>
        <v>0</v>
      </c>
      <c r="O82">
        <f>'[1]Processed Data'!O119</f>
        <v>0</v>
      </c>
      <c r="P82">
        <f>'[1]Processed Data'!P119</f>
        <v>-0.2</v>
      </c>
      <c r="Q82">
        <f>'[1]Processed Data'!Q119</f>
        <v>1</v>
      </c>
    </row>
    <row r="83" spans="2:17" hidden="1">
      <c r="B83">
        <f>'[1]Processed Data'!B120</f>
        <v>2021</v>
      </c>
      <c r="C83">
        <f>'[1]Processed Data'!C120</f>
        <v>117</v>
      </c>
      <c r="D83" t="str">
        <f>'[1]Processed Data'!D120</f>
        <v>Davis Webb</v>
      </c>
      <c r="E83">
        <f>Table1[[#This Row],[Year]]</f>
        <v>2021</v>
      </c>
      <c r="F83">
        <f>'[1]Processed Data'!F120</f>
        <v>0</v>
      </c>
      <c r="G83">
        <f>'[1]Processed Data'!G120</f>
        <v>0</v>
      </c>
      <c r="H83">
        <f>'[1]Processed Data'!H120</f>
        <v>0</v>
      </c>
      <c r="I83">
        <f>'[1]Processed Data'!I120</f>
        <v>0</v>
      </c>
      <c r="J83">
        <f>'[1]Processed Data'!J120</f>
        <v>0</v>
      </c>
      <c r="K83">
        <f>'[1]Processed Data'!K120</f>
        <v>0</v>
      </c>
      <c r="L83">
        <f>'[1]Processed Data'!L120</f>
        <v>2</v>
      </c>
      <c r="M83">
        <f>'[1]Processed Data'!M120</f>
        <v>-3</v>
      </c>
      <c r="N83">
        <f>'[1]Processed Data'!N120</f>
        <v>0</v>
      </c>
      <c r="O83">
        <f>'[1]Processed Data'!O120</f>
        <v>0</v>
      </c>
      <c r="P83">
        <f>'[1]Processed Data'!P120</f>
        <v>-0.3</v>
      </c>
      <c r="Q83">
        <f>'[1]Processed Data'!Q120</f>
        <v>1</v>
      </c>
    </row>
    <row r="84" spans="2:17" hidden="1">
      <c r="B84">
        <f>'[1]Processed Data'!B121</f>
        <v>2021</v>
      </c>
      <c r="C84">
        <f>'[1]Processed Data'!C121</f>
        <v>118</v>
      </c>
      <c r="D84" t="str">
        <f>'[1]Processed Data'!D121</f>
        <v>Feleipe Franks</v>
      </c>
      <c r="E84">
        <f>Table1[[#This Row],[Year]]</f>
        <v>2021</v>
      </c>
      <c r="F84">
        <f>'[1]Processed Data'!F121</f>
        <v>0</v>
      </c>
      <c r="G84">
        <f>'[1]Processed Data'!G121</f>
        <v>1</v>
      </c>
      <c r="H84">
        <f>'[1]Processed Data'!H121</f>
        <v>0</v>
      </c>
      <c r="I84">
        <f>'[1]Processed Data'!I121</f>
        <v>0</v>
      </c>
      <c r="J84">
        <f>'[1]Processed Data'!J121</f>
        <v>1</v>
      </c>
      <c r="K84">
        <f>'[1]Processed Data'!K121</f>
        <v>0</v>
      </c>
      <c r="L84">
        <f>'[1]Processed Data'!L121</f>
        <v>3</v>
      </c>
      <c r="M84">
        <f>'[1]Processed Data'!M121</f>
        <v>6</v>
      </c>
      <c r="N84">
        <f>'[1]Processed Data'!N121</f>
        <v>0</v>
      </c>
      <c r="O84">
        <f>'[1]Processed Data'!O121</f>
        <v>0</v>
      </c>
      <c r="P84">
        <f>'[1]Processed Data'!P121</f>
        <v>-0.4</v>
      </c>
      <c r="Q84">
        <f>'[1]Processed Data'!Q121</f>
        <v>6</v>
      </c>
    </row>
    <row r="85" spans="2:17" hidden="1">
      <c r="B85">
        <f>'[1]Processed Data'!B122</f>
        <v>2021</v>
      </c>
      <c r="C85">
        <f>'[1]Processed Data'!C122</f>
        <v>119</v>
      </c>
      <c r="D85" t="str">
        <f>'[1]Processed Data'!D122</f>
        <v>Logan Woodside</v>
      </c>
      <c r="E85">
        <f>Table1[[#This Row],[Year]]</f>
        <v>2021</v>
      </c>
      <c r="F85">
        <f>'[1]Processed Data'!F122</f>
        <v>0</v>
      </c>
      <c r="G85">
        <f>'[1]Processed Data'!G122</f>
        <v>0</v>
      </c>
      <c r="H85">
        <f>'[1]Processed Data'!H122</f>
        <v>0</v>
      </c>
      <c r="I85">
        <f>'[1]Processed Data'!I122</f>
        <v>0</v>
      </c>
      <c r="J85">
        <f>'[1]Processed Data'!J122</f>
        <v>0</v>
      </c>
      <c r="K85">
        <f>'[1]Processed Data'!K122</f>
        <v>0</v>
      </c>
      <c r="L85">
        <f>'[1]Processed Data'!L122</f>
        <v>6</v>
      </c>
      <c r="M85">
        <f>'[1]Processed Data'!M122</f>
        <v>-6</v>
      </c>
      <c r="N85">
        <f>'[1]Processed Data'!N122</f>
        <v>0</v>
      </c>
      <c r="O85">
        <f>'[1]Processed Data'!O122</f>
        <v>0</v>
      </c>
      <c r="P85">
        <f>'[1]Processed Data'!P122</f>
        <v>-0.6</v>
      </c>
      <c r="Q85">
        <f>'[1]Processed Data'!Q122</f>
        <v>4</v>
      </c>
    </row>
    <row r="86" spans="2:17" hidden="1">
      <c r="B86">
        <f>'[1]Processed Data'!B123</f>
        <v>2021</v>
      </c>
      <c r="C86">
        <f>'[1]Processed Data'!C123</f>
        <v>120</v>
      </c>
      <c r="D86" t="str">
        <f>'[1]Processed Data'!D123</f>
        <v>John Wolford</v>
      </c>
      <c r="E86">
        <f>Table1[[#This Row],[Year]]</f>
        <v>2021</v>
      </c>
      <c r="F86">
        <f>'[1]Processed Data'!F123</f>
        <v>1</v>
      </c>
      <c r="G86">
        <f>'[1]Processed Data'!G123</f>
        <v>4</v>
      </c>
      <c r="H86">
        <f>'[1]Processed Data'!H123</f>
        <v>25</v>
      </c>
      <c r="I86">
        <f>'[1]Processed Data'!I123</f>
        <v>0</v>
      </c>
      <c r="J86">
        <f>'[1]Processed Data'!J123</f>
        <v>1</v>
      </c>
      <c r="K86">
        <f>'[1]Processed Data'!K123</f>
        <v>1</v>
      </c>
      <c r="L86">
        <f>'[1]Processed Data'!L123</f>
        <v>2</v>
      </c>
      <c r="M86">
        <f>'[1]Processed Data'!M123</f>
        <v>-1</v>
      </c>
      <c r="N86">
        <f>'[1]Processed Data'!N123</f>
        <v>0</v>
      </c>
      <c r="O86">
        <f>'[1]Processed Data'!O123</f>
        <v>0</v>
      </c>
      <c r="P86">
        <f>'[1]Processed Data'!P123</f>
        <v>-0.9</v>
      </c>
      <c r="Q86">
        <f>'[1]Processed Data'!Q123</f>
        <v>2</v>
      </c>
    </row>
    <row r="87" spans="2:17" hidden="1">
      <c r="B87">
        <f>'[1]Processed Data'!B124</f>
        <v>2021</v>
      </c>
      <c r="C87">
        <f>'[1]Processed Data'!C124</f>
        <v>121</v>
      </c>
      <c r="D87" t="str">
        <f>'[1]Processed Data'!D124</f>
        <v>Josh Rosen</v>
      </c>
      <c r="E87">
        <f>Table1[[#This Row],[Year]]</f>
        <v>2021</v>
      </c>
      <c r="F87">
        <f>'[1]Processed Data'!F124</f>
        <v>2</v>
      </c>
      <c r="G87">
        <f>'[1]Processed Data'!G124</f>
        <v>11</v>
      </c>
      <c r="H87">
        <f>'[1]Processed Data'!H124</f>
        <v>18.2</v>
      </c>
      <c r="I87">
        <f>'[1]Processed Data'!I124</f>
        <v>0</v>
      </c>
      <c r="J87">
        <f>'[1]Processed Data'!J124</f>
        <v>2</v>
      </c>
      <c r="K87">
        <f>'[1]Processed Data'!K124</f>
        <v>0</v>
      </c>
      <c r="L87">
        <f>'[1]Processed Data'!L124</f>
        <v>0</v>
      </c>
      <c r="M87">
        <f>'[1]Processed Data'!M124</f>
        <v>0</v>
      </c>
      <c r="N87">
        <f>'[1]Processed Data'!N124</f>
        <v>0</v>
      </c>
      <c r="O87">
        <f>'[1]Processed Data'!O124</f>
        <v>0</v>
      </c>
      <c r="P87">
        <f>'[1]Processed Data'!P124</f>
        <v>-1.2</v>
      </c>
      <c r="Q87">
        <f>'[1]Processed Data'!Q124</f>
        <v>3</v>
      </c>
    </row>
    <row r="88" spans="2:17" hidden="1">
      <c r="B88">
        <f>'[1]Processed Data'!B125</f>
        <v>2020</v>
      </c>
      <c r="C88">
        <f>'[1]Processed Data'!C125</f>
        <v>1</v>
      </c>
      <c r="D88" t="str">
        <f>'[1]Processed Data'!D125</f>
        <v>Josh Allen</v>
      </c>
      <c r="E88">
        <f>Table1[[#This Row],[Year]]</f>
        <v>2020</v>
      </c>
      <c r="F88">
        <f>'[1]Processed Data'!F125</f>
        <v>396</v>
      </c>
      <c r="G88">
        <f>'[1]Processed Data'!G125</f>
        <v>572</v>
      </c>
      <c r="H88">
        <f>'[1]Processed Data'!H125</f>
        <v>69.2</v>
      </c>
      <c r="I88">
        <f>'[1]Processed Data'!I125</f>
        <v>37</v>
      </c>
      <c r="J88">
        <f>'[1]Processed Data'!J125</f>
        <v>10</v>
      </c>
      <c r="K88">
        <f>'[1]Processed Data'!K125</f>
        <v>26</v>
      </c>
      <c r="L88">
        <f>'[1]Processed Data'!L125</f>
        <v>102</v>
      </c>
      <c r="M88">
        <f>'[1]Processed Data'!M125</f>
        <v>421</v>
      </c>
      <c r="N88">
        <f>'[1]Processed Data'!N125</f>
        <v>8</v>
      </c>
      <c r="O88">
        <f>'[1]Processed Data'!O125</f>
        <v>6</v>
      </c>
      <c r="P88">
        <f>'[1]Processed Data'!P125</f>
        <v>405.7</v>
      </c>
      <c r="Q88">
        <f>'[1]Processed Data'!Q125</f>
        <v>16</v>
      </c>
    </row>
    <row r="89" spans="2:17" hidden="1">
      <c r="B89">
        <f>'[1]Processed Data'!B126</f>
        <v>2020</v>
      </c>
      <c r="C89">
        <f>'[1]Processed Data'!C126</f>
        <v>2</v>
      </c>
      <c r="D89" t="str">
        <f>'[1]Processed Data'!D126</f>
        <v>Kyler Murray</v>
      </c>
      <c r="E89">
        <f>Table1[[#This Row],[Year]]</f>
        <v>2020</v>
      </c>
      <c r="F89">
        <f>'[1]Processed Data'!F126</f>
        <v>375</v>
      </c>
      <c r="G89">
        <f>'[1]Processed Data'!G126</f>
        <v>558</v>
      </c>
      <c r="H89">
        <f>'[1]Processed Data'!H126</f>
        <v>67.2</v>
      </c>
      <c r="I89">
        <f>'[1]Processed Data'!I126</f>
        <v>26</v>
      </c>
      <c r="J89">
        <f>'[1]Processed Data'!J126</f>
        <v>12</v>
      </c>
      <c r="K89">
        <f>'[1]Processed Data'!K126</f>
        <v>27</v>
      </c>
      <c r="L89">
        <f>'[1]Processed Data'!L126</f>
        <v>133</v>
      </c>
      <c r="M89">
        <f>'[1]Processed Data'!M126</f>
        <v>819</v>
      </c>
      <c r="N89">
        <f>'[1]Processed Data'!N126</f>
        <v>11</v>
      </c>
      <c r="O89">
        <f>'[1]Processed Data'!O126</f>
        <v>4</v>
      </c>
      <c r="P89">
        <f>'[1]Processed Data'!P126</f>
        <v>390.7</v>
      </c>
      <c r="Q89">
        <f>'[1]Processed Data'!Q126</f>
        <v>16</v>
      </c>
    </row>
    <row r="90" spans="2:17" hidden="1">
      <c r="B90">
        <f>'[1]Processed Data'!B127</f>
        <v>2020</v>
      </c>
      <c r="C90">
        <f>'[1]Processed Data'!C127</f>
        <v>3</v>
      </c>
      <c r="D90" t="str">
        <f>'[1]Processed Data'!D127</f>
        <v>Aaron Rodgers</v>
      </c>
      <c r="E90">
        <f>Table1[[#This Row],[Year]]</f>
        <v>2020</v>
      </c>
      <c r="F90">
        <f>'[1]Processed Data'!F127</f>
        <v>372</v>
      </c>
      <c r="G90">
        <f>'[1]Processed Data'!G127</f>
        <v>526</v>
      </c>
      <c r="H90">
        <f>'[1]Processed Data'!H127</f>
        <v>70.7</v>
      </c>
      <c r="I90">
        <f>'[1]Processed Data'!I127</f>
        <v>48</v>
      </c>
      <c r="J90">
        <f>'[1]Processed Data'!J127</f>
        <v>5</v>
      </c>
      <c r="K90">
        <f>'[1]Processed Data'!K127</f>
        <v>20</v>
      </c>
      <c r="L90">
        <f>'[1]Processed Data'!L127</f>
        <v>38</v>
      </c>
      <c r="M90">
        <f>'[1]Processed Data'!M127</f>
        <v>149</v>
      </c>
      <c r="N90">
        <f>'[1]Processed Data'!N127</f>
        <v>3</v>
      </c>
      <c r="O90">
        <f>'[1]Processed Data'!O127</f>
        <v>2</v>
      </c>
      <c r="P90">
        <f>'[1]Processed Data'!P127</f>
        <v>387.6</v>
      </c>
      <c r="Q90">
        <f>'[1]Processed Data'!Q127</f>
        <v>16</v>
      </c>
    </row>
    <row r="91" spans="2:17" hidden="1">
      <c r="B91">
        <f>'[1]Processed Data'!B128</f>
        <v>2020</v>
      </c>
      <c r="C91">
        <f>'[1]Processed Data'!C128</f>
        <v>4</v>
      </c>
      <c r="D91" t="str">
        <f>'[1]Processed Data'!D128</f>
        <v>Patrick Mahomes II</v>
      </c>
      <c r="E91">
        <f>Table1[[#This Row],[Year]]</f>
        <v>2020</v>
      </c>
      <c r="F91">
        <f>'[1]Processed Data'!F128</f>
        <v>390</v>
      </c>
      <c r="G91">
        <f>'[1]Processed Data'!G128</f>
        <v>588</v>
      </c>
      <c r="H91">
        <f>'[1]Processed Data'!H128</f>
        <v>66.3</v>
      </c>
      <c r="I91">
        <f>'[1]Processed Data'!I128</f>
        <v>38</v>
      </c>
      <c r="J91">
        <f>'[1]Processed Data'!J128</f>
        <v>6</v>
      </c>
      <c r="K91">
        <f>'[1]Processed Data'!K128</f>
        <v>22</v>
      </c>
      <c r="L91">
        <f>'[1]Processed Data'!L128</f>
        <v>62</v>
      </c>
      <c r="M91">
        <f>'[1]Processed Data'!M128</f>
        <v>308</v>
      </c>
      <c r="N91">
        <f>'[1]Processed Data'!N128</f>
        <v>2</v>
      </c>
      <c r="O91">
        <f>'[1]Processed Data'!O128</f>
        <v>2</v>
      </c>
      <c r="P91">
        <f>'[1]Processed Data'!P128</f>
        <v>380.3</v>
      </c>
      <c r="Q91">
        <f>'[1]Processed Data'!Q128</f>
        <v>15</v>
      </c>
    </row>
    <row r="92" spans="2:17" hidden="1">
      <c r="B92">
        <f>'[1]Processed Data'!B129</f>
        <v>2020</v>
      </c>
      <c r="C92">
        <f>'[1]Processed Data'!C129</f>
        <v>5</v>
      </c>
      <c r="D92" t="str">
        <f>'[1]Processed Data'!D129</f>
        <v>Deshaun Watson</v>
      </c>
      <c r="E92">
        <f>Table1[[#This Row],[Year]]</f>
        <v>2020</v>
      </c>
      <c r="F92">
        <f>'[1]Processed Data'!F129</f>
        <v>382</v>
      </c>
      <c r="G92">
        <f>'[1]Processed Data'!G129</f>
        <v>544</v>
      </c>
      <c r="H92">
        <f>'[1]Processed Data'!H129</f>
        <v>70.2</v>
      </c>
      <c r="I92">
        <f>'[1]Processed Data'!I129</f>
        <v>33</v>
      </c>
      <c r="J92">
        <f>'[1]Processed Data'!J129</f>
        <v>7</v>
      </c>
      <c r="K92">
        <f>'[1]Processed Data'!K129</f>
        <v>49</v>
      </c>
      <c r="L92">
        <f>'[1]Processed Data'!L129</f>
        <v>90</v>
      </c>
      <c r="M92">
        <f>'[1]Processed Data'!M129</f>
        <v>444</v>
      </c>
      <c r="N92">
        <f>'[1]Processed Data'!N129</f>
        <v>3</v>
      </c>
      <c r="O92">
        <f>'[1]Processed Data'!O129</f>
        <v>3</v>
      </c>
      <c r="P92">
        <f>'[1]Processed Data'!P129</f>
        <v>376.4</v>
      </c>
      <c r="Q92">
        <f>'[1]Processed Data'!Q129</f>
        <v>16</v>
      </c>
    </row>
    <row r="93" spans="2:17" hidden="1">
      <c r="B93">
        <f>'[1]Processed Data'!B130</f>
        <v>2020</v>
      </c>
      <c r="C93">
        <f>'[1]Processed Data'!C130</f>
        <v>6</v>
      </c>
      <c r="D93" t="str">
        <f>'[1]Processed Data'!D130</f>
        <v>Russell Wilson</v>
      </c>
      <c r="E93">
        <f>Table1[[#This Row],[Year]]</f>
        <v>2020</v>
      </c>
      <c r="F93">
        <f>'[1]Processed Data'!F130</f>
        <v>384</v>
      </c>
      <c r="G93">
        <f>'[1]Processed Data'!G130</f>
        <v>558</v>
      </c>
      <c r="H93">
        <f>'[1]Processed Data'!H130</f>
        <v>68.8</v>
      </c>
      <c r="I93">
        <f>'[1]Processed Data'!I130</f>
        <v>40</v>
      </c>
      <c r="J93">
        <f>'[1]Processed Data'!J130</f>
        <v>13</v>
      </c>
      <c r="K93">
        <f>'[1]Processed Data'!K130</f>
        <v>47</v>
      </c>
      <c r="L93">
        <f>'[1]Processed Data'!L130</f>
        <v>83</v>
      </c>
      <c r="M93">
        <f>'[1]Processed Data'!M130</f>
        <v>513</v>
      </c>
      <c r="N93">
        <f>'[1]Processed Data'!N130</f>
        <v>2</v>
      </c>
      <c r="O93">
        <f>'[1]Processed Data'!O130</f>
        <v>4</v>
      </c>
      <c r="P93">
        <f>'[1]Processed Data'!P130</f>
        <v>372.6</v>
      </c>
      <c r="Q93">
        <f>'[1]Processed Data'!Q130</f>
        <v>16</v>
      </c>
    </row>
    <row r="94" spans="2:17" hidden="1">
      <c r="B94">
        <f>'[1]Processed Data'!B131</f>
        <v>2020</v>
      </c>
      <c r="C94">
        <f>'[1]Processed Data'!C131</f>
        <v>7</v>
      </c>
      <c r="D94" t="str">
        <f>'[1]Processed Data'!D131</f>
        <v>Ryan Tannehill</v>
      </c>
      <c r="E94">
        <f>Table1[[#This Row],[Year]]</f>
        <v>2020</v>
      </c>
      <c r="F94">
        <f>'[1]Processed Data'!F131</f>
        <v>315</v>
      </c>
      <c r="G94">
        <f>'[1]Processed Data'!G131</f>
        <v>481</v>
      </c>
      <c r="H94">
        <f>'[1]Processed Data'!H131</f>
        <v>65.5</v>
      </c>
      <c r="I94">
        <f>'[1]Processed Data'!I131</f>
        <v>33</v>
      </c>
      <c r="J94">
        <f>'[1]Processed Data'!J131</f>
        <v>7</v>
      </c>
      <c r="K94">
        <f>'[1]Processed Data'!K131</f>
        <v>24</v>
      </c>
      <c r="L94">
        <f>'[1]Processed Data'!L131</f>
        <v>43</v>
      </c>
      <c r="M94">
        <f>'[1]Processed Data'!M131</f>
        <v>266</v>
      </c>
      <c r="N94">
        <f>'[1]Processed Data'!N131</f>
        <v>7</v>
      </c>
      <c r="O94">
        <f>'[1]Processed Data'!O131</f>
        <v>1</v>
      </c>
      <c r="P94">
        <f>'[1]Processed Data'!P131</f>
        <v>350.8</v>
      </c>
      <c r="Q94">
        <f>'[1]Processed Data'!Q131</f>
        <v>16</v>
      </c>
    </row>
    <row r="95" spans="2:17" hidden="1">
      <c r="B95">
        <f>'[1]Processed Data'!B132</f>
        <v>2020</v>
      </c>
      <c r="C95">
        <f>'[1]Processed Data'!C132</f>
        <v>8</v>
      </c>
      <c r="D95" t="str">
        <f>'[1]Processed Data'!D132</f>
        <v>Tom Brady</v>
      </c>
      <c r="E95">
        <f>Table1[[#This Row],[Year]]</f>
        <v>2020</v>
      </c>
      <c r="F95">
        <f>'[1]Processed Data'!F132</f>
        <v>401</v>
      </c>
      <c r="G95">
        <f>'[1]Processed Data'!G132</f>
        <v>610</v>
      </c>
      <c r="H95">
        <f>'[1]Processed Data'!H132</f>
        <v>65.7</v>
      </c>
      <c r="I95">
        <f>'[1]Processed Data'!I132</f>
        <v>40</v>
      </c>
      <c r="J95">
        <f>'[1]Processed Data'!J132</f>
        <v>12</v>
      </c>
      <c r="K95">
        <f>'[1]Processed Data'!K132</f>
        <v>21</v>
      </c>
      <c r="L95">
        <f>'[1]Processed Data'!L132</f>
        <v>30</v>
      </c>
      <c r="M95">
        <f>'[1]Processed Data'!M132</f>
        <v>6</v>
      </c>
      <c r="N95">
        <f>'[1]Processed Data'!N132</f>
        <v>3</v>
      </c>
      <c r="O95">
        <f>'[1]Processed Data'!O132</f>
        <v>1</v>
      </c>
      <c r="P95">
        <f>'[1]Processed Data'!P132</f>
        <v>350</v>
      </c>
      <c r="Q95">
        <f>'[1]Processed Data'!Q132</f>
        <v>16</v>
      </c>
    </row>
    <row r="96" spans="2:17" hidden="1">
      <c r="B96">
        <f>'[1]Processed Data'!B133</f>
        <v>2020</v>
      </c>
      <c r="C96">
        <f>'[1]Processed Data'!C133</f>
        <v>9</v>
      </c>
      <c r="D96" t="str">
        <f>'[1]Processed Data'!D133</f>
        <v>Justin Herbert</v>
      </c>
      <c r="E96">
        <f>Table1[[#This Row],[Year]]</f>
        <v>2020</v>
      </c>
      <c r="F96">
        <f>'[1]Processed Data'!F133</f>
        <v>396</v>
      </c>
      <c r="G96">
        <f>'[1]Processed Data'!G133</f>
        <v>595</v>
      </c>
      <c r="H96">
        <f>'[1]Processed Data'!H133</f>
        <v>66.599999999999994</v>
      </c>
      <c r="I96">
        <f>'[1]Processed Data'!I133</f>
        <v>31</v>
      </c>
      <c r="J96">
        <f>'[1]Processed Data'!J133</f>
        <v>10</v>
      </c>
      <c r="K96">
        <f>'[1]Processed Data'!K133</f>
        <v>32</v>
      </c>
      <c r="L96">
        <f>'[1]Processed Data'!L133</f>
        <v>55</v>
      </c>
      <c r="M96">
        <f>'[1]Processed Data'!M133</f>
        <v>234</v>
      </c>
      <c r="N96">
        <f>'[1]Processed Data'!N133</f>
        <v>5</v>
      </c>
      <c r="O96">
        <f>'[1]Processed Data'!O133</f>
        <v>1</v>
      </c>
      <c r="P96">
        <f>'[1]Processed Data'!P133</f>
        <v>342.8</v>
      </c>
      <c r="Q96">
        <f>'[1]Processed Data'!Q133</f>
        <v>15</v>
      </c>
    </row>
    <row r="97" spans="2:17" hidden="1">
      <c r="B97">
        <f>'[1]Processed Data'!B134</f>
        <v>2020</v>
      </c>
      <c r="C97">
        <f>'[1]Processed Data'!C134</f>
        <v>10</v>
      </c>
      <c r="D97" t="str">
        <f>'[1]Processed Data'!D134</f>
        <v>Lamar Jackson</v>
      </c>
      <c r="E97">
        <f>Table1[[#This Row],[Year]]</f>
        <v>2020</v>
      </c>
      <c r="F97">
        <f>'[1]Processed Data'!F134</f>
        <v>242</v>
      </c>
      <c r="G97">
        <f>'[1]Processed Data'!G134</f>
        <v>376</v>
      </c>
      <c r="H97">
        <f>'[1]Processed Data'!H134</f>
        <v>64.400000000000006</v>
      </c>
      <c r="I97">
        <f>'[1]Processed Data'!I134</f>
        <v>26</v>
      </c>
      <c r="J97">
        <f>'[1]Processed Data'!J134</f>
        <v>9</v>
      </c>
      <c r="K97">
        <f>'[1]Processed Data'!K134</f>
        <v>29</v>
      </c>
      <c r="L97">
        <f>'[1]Processed Data'!L134</f>
        <v>159</v>
      </c>
      <c r="M97">
        <f>'[1]Processed Data'!M134</f>
        <v>1005</v>
      </c>
      <c r="N97">
        <f>'[1]Processed Data'!N134</f>
        <v>7</v>
      </c>
      <c r="O97">
        <f>'[1]Processed Data'!O134</f>
        <v>4</v>
      </c>
      <c r="P97">
        <f>'[1]Processed Data'!P134</f>
        <v>341.7</v>
      </c>
      <c r="Q97">
        <f>'[1]Processed Data'!Q134</f>
        <v>15</v>
      </c>
    </row>
    <row r="98" spans="2:17" hidden="1">
      <c r="B98">
        <f>'[1]Processed Data'!B135</f>
        <v>2020</v>
      </c>
      <c r="C98">
        <f>'[1]Processed Data'!C135</f>
        <v>11</v>
      </c>
      <c r="D98" t="str">
        <f>'[1]Processed Data'!D135</f>
        <v>Kirk Cousins</v>
      </c>
      <c r="E98">
        <f>Table1[[#This Row],[Year]]</f>
        <v>2020</v>
      </c>
      <c r="F98">
        <f>'[1]Processed Data'!F135</f>
        <v>349</v>
      </c>
      <c r="G98">
        <f>'[1]Processed Data'!G135</f>
        <v>516</v>
      </c>
      <c r="H98">
        <f>'[1]Processed Data'!H135</f>
        <v>67.599999999999994</v>
      </c>
      <c r="I98">
        <f>'[1]Processed Data'!I135</f>
        <v>35</v>
      </c>
      <c r="J98">
        <f>'[1]Processed Data'!J135</f>
        <v>13</v>
      </c>
      <c r="K98">
        <f>'[1]Processed Data'!K135</f>
        <v>39</v>
      </c>
      <c r="L98">
        <f>'[1]Processed Data'!L135</f>
        <v>32</v>
      </c>
      <c r="M98">
        <f>'[1]Processed Data'!M135</f>
        <v>156</v>
      </c>
      <c r="N98">
        <f>'[1]Processed Data'!N135</f>
        <v>1</v>
      </c>
      <c r="O98">
        <f>'[1]Processed Data'!O135</f>
        <v>5</v>
      </c>
      <c r="P98">
        <f>'[1]Processed Data'!P135</f>
        <v>319.2</v>
      </c>
      <c r="Q98">
        <f>'[1]Processed Data'!Q135</f>
        <v>16</v>
      </c>
    </row>
    <row r="99" spans="2:17" hidden="1">
      <c r="B99">
        <f>'[1]Processed Data'!B136</f>
        <v>2020</v>
      </c>
      <c r="C99">
        <f>'[1]Processed Data'!C136</f>
        <v>12</v>
      </c>
      <c r="D99" t="str">
        <f>'[1]Processed Data'!D136</f>
        <v>Matt Ryan</v>
      </c>
      <c r="E99">
        <f>Table1[[#This Row],[Year]]</f>
        <v>2020</v>
      </c>
      <c r="F99">
        <f>'[1]Processed Data'!F136</f>
        <v>407</v>
      </c>
      <c r="G99">
        <f>'[1]Processed Data'!G136</f>
        <v>626</v>
      </c>
      <c r="H99">
        <f>'[1]Processed Data'!H136</f>
        <v>65</v>
      </c>
      <c r="I99">
        <f>'[1]Processed Data'!I136</f>
        <v>26</v>
      </c>
      <c r="J99">
        <f>'[1]Processed Data'!J136</f>
        <v>11</v>
      </c>
      <c r="K99">
        <f>'[1]Processed Data'!K136</f>
        <v>41</v>
      </c>
      <c r="L99">
        <f>'[1]Processed Data'!L136</f>
        <v>29</v>
      </c>
      <c r="M99">
        <f>'[1]Processed Data'!M136</f>
        <v>92</v>
      </c>
      <c r="N99">
        <f>'[1]Processed Data'!N136</f>
        <v>2</v>
      </c>
      <c r="O99">
        <f>'[1]Processed Data'!O136</f>
        <v>3</v>
      </c>
      <c r="P99">
        <f>'[1]Processed Data'!P136</f>
        <v>293.3</v>
      </c>
      <c r="Q99">
        <f>'[1]Processed Data'!Q136</f>
        <v>16</v>
      </c>
    </row>
    <row r="100" spans="2:17" hidden="1">
      <c r="B100">
        <f>'[1]Processed Data'!B137</f>
        <v>2020</v>
      </c>
      <c r="C100">
        <f>'[1]Processed Data'!C137</f>
        <v>13</v>
      </c>
      <c r="D100" t="str">
        <f>'[1]Processed Data'!D137</f>
        <v>Derek Carr</v>
      </c>
      <c r="E100">
        <f>Table1[[#This Row],[Year]]</f>
        <v>2020</v>
      </c>
      <c r="F100">
        <f>'[1]Processed Data'!F137</f>
        <v>348</v>
      </c>
      <c r="G100">
        <f>'[1]Processed Data'!G137</f>
        <v>517</v>
      </c>
      <c r="H100">
        <f>'[1]Processed Data'!H137</f>
        <v>67.3</v>
      </c>
      <c r="I100">
        <f>'[1]Processed Data'!I137</f>
        <v>27</v>
      </c>
      <c r="J100">
        <f>'[1]Processed Data'!J137</f>
        <v>9</v>
      </c>
      <c r="K100">
        <f>'[1]Processed Data'!K137</f>
        <v>26</v>
      </c>
      <c r="L100">
        <f>'[1]Processed Data'!L137</f>
        <v>39</v>
      </c>
      <c r="M100">
        <f>'[1]Processed Data'!M137</f>
        <v>140</v>
      </c>
      <c r="N100">
        <f>'[1]Processed Data'!N137</f>
        <v>3</v>
      </c>
      <c r="O100">
        <f>'[1]Processed Data'!O137</f>
        <v>8</v>
      </c>
      <c r="P100">
        <f>'[1]Processed Data'!P137</f>
        <v>281</v>
      </c>
      <c r="Q100">
        <f>'[1]Processed Data'!Q137</f>
        <v>16</v>
      </c>
    </row>
    <row r="101" spans="2:17" hidden="1">
      <c r="B101">
        <f>'[1]Processed Data'!B138</f>
        <v>2020</v>
      </c>
      <c r="C101">
        <f>'[1]Processed Data'!C138</f>
        <v>14</v>
      </c>
      <c r="D101" t="str">
        <f>'[1]Processed Data'!D138</f>
        <v>Ben Roethlisberger</v>
      </c>
      <c r="E101">
        <f>Table1[[#This Row],[Year]]</f>
        <v>2020</v>
      </c>
      <c r="F101">
        <f>'[1]Processed Data'!F138</f>
        <v>399</v>
      </c>
      <c r="G101">
        <f>'[1]Processed Data'!G138</f>
        <v>608</v>
      </c>
      <c r="H101">
        <f>'[1]Processed Data'!H138</f>
        <v>65.599999999999994</v>
      </c>
      <c r="I101">
        <f>'[1]Processed Data'!I138</f>
        <v>33</v>
      </c>
      <c r="J101">
        <f>'[1]Processed Data'!J138</f>
        <v>10</v>
      </c>
      <c r="K101">
        <f>'[1]Processed Data'!K138</f>
        <v>13</v>
      </c>
      <c r="L101">
        <f>'[1]Processed Data'!L138</f>
        <v>25</v>
      </c>
      <c r="M101">
        <f>'[1]Processed Data'!M138</f>
        <v>11</v>
      </c>
      <c r="N101">
        <f>'[1]Processed Data'!N138</f>
        <v>0</v>
      </c>
      <c r="O101">
        <f>'[1]Processed Data'!O138</f>
        <v>1</v>
      </c>
      <c r="P101">
        <f>'[1]Processed Data'!P138</f>
        <v>277.2</v>
      </c>
      <c r="Q101">
        <f>'[1]Processed Data'!Q138</f>
        <v>15</v>
      </c>
    </row>
    <row r="102" spans="2:17" hidden="1">
      <c r="B102">
        <f>'[1]Processed Data'!B139</f>
        <v>2020</v>
      </c>
      <c r="C102">
        <f>'[1]Processed Data'!C139</f>
        <v>15</v>
      </c>
      <c r="D102" t="str">
        <f>'[1]Processed Data'!D139</f>
        <v>Matthew Stafford</v>
      </c>
      <c r="E102">
        <f>Table1[[#This Row],[Year]]</f>
        <v>2020</v>
      </c>
      <c r="F102">
        <f>'[1]Processed Data'!F139</f>
        <v>339</v>
      </c>
      <c r="G102">
        <f>'[1]Processed Data'!G139</f>
        <v>528</v>
      </c>
      <c r="H102">
        <f>'[1]Processed Data'!H139</f>
        <v>64.2</v>
      </c>
      <c r="I102">
        <f>'[1]Processed Data'!I139</f>
        <v>26</v>
      </c>
      <c r="J102">
        <f>'[1]Processed Data'!J139</f>
        <v>10</v>
      </c>
      <c r="K102">
        <f>'[1]Processed Data'!K139</f>
        <v>38</v>
      </c>
      <c r="L102">
        <f>'[1]Processed Data'!L139</f>
        <v>29</v>
      </c>
      <c r="M102">
        <f>'[1]Processed Data'!M139</f>
        <v>112</v>
      </c>
      <c r="N102">
        <f>'[1]Processed Data'!N139</f>
        <v>0</v>
      </c>
      <c r="O102">
        <f>'[1]Processed Data'!O139</f>
        <v>1</v>
      </c>
      <c r="P102">
        <f>'[1]Processed Data'!P139</f>
        <v>270.5</v>
      </c>
      <c r="Q102">
        <f>'[1]Processed Data'!Q139</f>
        <v>16</v>
      </c>
    </row>
    <row r="103" spans="2:17" hidden="1">
      <c r="B103">
        <f>'[1]Processed Data'!B140</f>
        <v>2020</v>
      </c>
      <c r="C103">
        <f>'[1]Processed Data'!C140</f>
        <v>16</v>
      </c>
      <c r="D103" t="str">
        <f>'[1]Processed Data'!D140</f>
        <v>Cam Newton</v>
      </c>
      <c r="E103">
        <f>Table1[[#This Row],[Year]]</f>
        <v>2020</v>
      </c>
      <c r="F103">
        <f>'[1]Processed Data'!F140</f>
        <v>242</v>
      </c>
      <c r="G103">
        <f>'[1]Processed Data'!G140</f>
        <v>368</v>
      </c>
      <c r="H103">
        <f>'[1]Processed Data'!H140</f>
        <v>65.8</v>
      </c>
      <c r="I103">
        <f>'[1]Processed Data'!I140</f>
        <v>8</v>
      </c>
      <c r="J103">
        <f>'[1]Processed Data'!J140</f>
        <v>10</v>
      </c>
      <c r="K103">
        <f>'[1]Processed Data'!K140</f>
        <v>31</v>
      </c>
      <c r="L103">
        <f>'[1]Processed Data'!L140</f>
        <v>137</v>
      </c>
      <c r="M103">
        <f>'[1]Processed Data'!M140</f>
        <v>592</v>
      </c>
      <c r="N103">
        <f>'[1]Processed Data'!N140</f>
        <v>12</v>
      </c>
      <c r="O103">
        <f>'[1]Processed Data'!O140</f>
        <v>1</v>
      </c>
      <c r="P103">
        <f>'[1]Processed Data'!P140</f>
        <v>270.3</v>
      </c>
      <c r="Q103">
        <f>'[1]Processed Data'!Q140</f>
        <v>15</v>
      </c>
    </row>
    <row r="104" spans="2:17" hidden="1">
      <c r="B104">
        <f>'[1]Processed Data'!B141</f>
        <v>2020</v>
      </c>
      <c r="C104">
        <f>'[1]Processed Data'!C141</f>
        <v>17</v>
      </c>
      <c r="D104" t="str">
        <f>'[1]Processed Data'!D141</f>
        <v>Baker Mayfield</v>
      </c>
      <c r="E104">
        <f>Table1[[#This Row],[Year]]</f>
        <v>2020</v>
      </c>
      <c r="F104">
        <f>'[1]Processed Data'!F141</f>
        <v>305</v>
      </c>
      <c r="G104">
        <f>'[1]Processed Data'!G141</f>
        <v>486</v>
      </c>
      <c r="H104">
        <f>'[1]Processed Data'!H141</f>
        <v>62.8</v>
      </c>
      <c r="I104">
        <f>'[1]Processed Data'!I141</f>
        <v>26</v>
      </c>
      <c r="J104">
        <f>'[1]Processed Data'!J141</f>
        <v>8</v>
      </c>
      <c r="K104">
        <f>'[1]Processed Data'!K141</f>
        <v>26</v>
      </c>
      <c r="L104">
        <f>'[1]Processed Data'!L141</f>
        <v>54</v>
      </c>
      <c r="M104">
        <f>'[1]Processed Data'!M141</f>
        <v>165</v>
      </c>
      <c r="N104">
        <f>'[1]Processed Data'!N141</f>
        <v>1</v>
      </c>
      <c r="O104">
        <f>'[1]Processed Data'!O141</f>
        <v>4</v>
      </c>
      <c r="P104">
        <f>'[1]Processed Data'!P141</f>
        <v>256.3</v>
      </c>
      <c r="Q104">
        <f>'[1]Processed Data'!Q141</f>
        <v>16</v>
      </c>
    </row>
    <row r="105" spans="2:17" hidden="1">
      <c r="B105">
        <f>'[1]Processed Data'!B142</f>
        <v>2020</v>
      </c>
      <c r="C105">
        <f>'[1]Processed Data'!C142</f>
        <v>18</v>
      </c>
      <c r="D105" t="str">
        <f>'[1]Processed Data'!D142</f>
        <v>Jared Goff</v>
      </c>
      <c r="E105">
        <f>Table1[[#This Row],[Year]]</f>
        <v>2020</v>
      </c>
      <c r="F105">
        <f>'[1]Processed Data'!F142</f>
        <v>370</v>
      </c>
      <c r="G105">
        <f>'[1]Processed Data'!G142</f>
        <v>552</v>
      </c>
      <c r="H105">
        <f>'[1]Processed Data'!H142</f>
        <v>67</v>
      </c>
      <c r="I105">
        <f>'[1]Processed Data'!I142</f>
        <v>20</v>
      </c>
      <c r="J105">
        <f>'[1]Processed Data'!J142</f>
        <v>13</v>
      </c>
      <c r="K105">
        <f>'[1]Processed Data'!K142</f>
        <v>23</v>
      </c>
      <c r="L105">
        <f>'[1]Processed Data'!L142</f>
        <v>51</v>
      </c>
      <c r="M105">
        <f>'[1]Processed Data'!M142</f>
        <v>99</v>
      </c>
      <c r="N105">
        <f>'[1]Processed Data'!N142</f>
        <v>4</v>
      </c>
      <c r="O105">
        <f>'[1]Processed Data'!O142</f>
        <v>4</v>
      </c>
      <c r="P105">
        <f>'[1]Processed Data'!P142</f>
        <v>253</v>
      </c>
      <c r="Q105">
        <f>'[1]Processed Data'!Q142</f>
        <v>15</v>
      </c>
    </row>
    <row r="106" spans="2:17" hidden="1">
      <c r="B106">
        <f>'[1]Processed Data'!B143</f>
        <v>2020</v>
      </c>
      <c r="C106">
        <f>'[1]Processed Data'!C143</f>
        <v>19</v>
      </c>
      <c r="D106" t="str">
        <f>'[1]Processed Data'!D143</f>
        <v>Teddy Bridgewater</v>
      </c>
      <c r="E106">
        <f>Table1[[#This Row],[Year]]</f>
        <v>2020</v>
      </c>
      <c r="F106">
        <f>'[1]Processed Data'!F143</f>
        <v>340</v>
      </c>
      <c r="G106">
        <f>'[1]Processed Data'!G143</f>
        <v>492</v>
      </c>
      <c r="H106">
        <f>'[1]Processed Data'!H143</f>
        <v>69.099999999999994</v>
      </c>
      <c r="I106">
        <f>'[1]Processed Data'!I143</f>
        <v>15</v>
      </c>
      <c r="J106">
        <f>'[1]Processed Data'!J143</f>
        <v>11</v>
      </c>
      <c r="K106">
        <f>'[1]Processed Data'!K143</f>
        <v>31</v>
      </c>
      <c r="L106">
        <f>'[1]Processed Data'!L143</f>
        <v>53</v>
      </c>
      <c r="M106">
        <f>'[1]Processed Data'!M143</f>
        <v>279</v>
      </c>
      <c r="N106">
        <f>'[1]Processed Data'!N143</f>
        <v>5</v>
      </c>
      <c r="O106">
        <f>'[1]Processed Data'!O143</f>
        <v>3</v>
      </c>
      <c r="P106">
        <f>'[1]Processed Data'!P143</f>
        <v>252.1</v>
      </c>
      <c r="Q106">
        <f>'[1]Processed Data'!Q143</f>
        <v>15</v>
      </c>
    </row>
    <row r="107" spans="2:17" hidden="1">
      <c r="B107">
        <f>'[1]Processed Data'!B144</f>
        <v>2020</v>
      </c>
      <c r="C107">
        <f>'[1]Processed Data'!C144</f>
        <v>20</v>
      </c>
      <c r="D107" t="str">
        <f>'[1]Processed Data'!D144</f>
        <v>Philip Rivers</v>
      </c>
      <c r="E107">
        <f>Table1[[#This Row],[Year]]</f>
        <v>2020</v>
      </c>
      <c r="F107">
        <f>'[1]Processed Data'!F144</f>
        <v>369</v>
      </c>
      <c r="G107">
        <f>'[1]Processed Data'!G144</f>
        <v>543</v>
      </c>
      <c r="H107">
        <f>'[1]Processed Data'!H144</f>
        <v>68</v>
      </c>
      <c r="I107">
        <f>'[1]Processed Data'!I144</f>
        <v>24</v>
      </c>
      <c r="J107">
        <f>'[1]Processed Data'!J144</f>
        <v>11</v>
      </c>
      <c r="K107">
        <f>'[1]Processed Data'!K144</f>
        <v>19</v>
      </c>
      <c r="L107">
        <f>'[1]Processed Data'!L144</f>
        <v>18</v>
      </c>
      <c r="M107">
        <f>'[1]Processed Data'!M144</f>
        <v>-8</v>
      </c>
      <c r="N107">
        <f>'[1]Processed Data'!N144</f>
        <v>0</v>
      </c>
      <c r="O107">
        <f>'[1]Processed Data'!O144</f>
        <v>1</v>
      </c>
      <c r="P107">
        <f>'[1]Processed Data'!P144</f>
        <v>251</v>
      </c>
      <c r="Q107">
        <f>'[1]Processed Data'!Q144</f>
        <v>16</v>
      </c>
    </row>
    <row r="108" spans="2:17" hidden="1">
      <c r="B108">
        <f>'[1]Processed Data'!B145</f>
        <v>2020</v>
      </c>
      <c r="C108">
        <f>'[1]Processed Data'!C145</f>
        <v>21</v>
      </c>
      <c r="D108" t="str">
        <f>'[1]Processed Data'!D145</f>
        <v>Drew Brees</v>
      </c>
      <c r="E108">
        <f>Table1[[#This Row],[Year]]</f>
        <v>2020</v>
      </c>
      <c r="F108">
        <f>'[1]Processed Data'!F145</f>
        <v>275</v>
      </c>
      <c r="G108">
        <f>'[1]Processed Data'!G145</f>
        <v>390</v>
      </c>
      <c r="H108">
        <f>'[1]Processed Data'!H145</f>
        <v>70.5</v>
      </c>
      <c r="I108">
        <f>'[1]Processed Data'!I145</f>
        <v>24</v>
      </c>
      <c r="J108">
        <f>'[1]Processed Data'!J145</f>
        <v>6</v>
      </c>
      <c r="K108">
        <f>'[1]Processed Data'!K145</f>
        <v>13</v>
      </c>
      <c r="L108">
        <f>'[1]Processed Data'!L145</f>
        <v>18</v>
      </c>
      <c r="M108">
        <f>'[1]Processed Data'!M145</f>
        <v>-2</v>
      </c>
      <c r="N108">
        <f>'[1]Processed Data'!N145</f>
        <v>2</v>
      </c>
      <c r="O108">
        <f>'[1]Processed Data'!O145</f>
        <v>2</v>
      </c>
      <c r="P108">
        <f>'[1]Processed Data'!P145</f>
        <v>215.4</v>
      </c>
      <c r="Q108">
        <f>'[1]Processed Data'!Q145</f>
        <v>12</v>
      </c>
    </row>
    <row r="109" spans="2:17" hidden="1">
      <c r="B109">
        <f>'[1]Processed Data'!B146</f>
        <v>2020</v>
      </c>
      <c r="C109">
        <f>'[1]Processed Data'!C146</f>
        <v>22</v>
      </c>
      <c r="D109" t="str">
        <f>'[1]Processed Data'!D146</f>
        <v>Carson Wentz</v>
      </c>
      <c r="E109">
        <f>Table1[[#This Row],[Year]]</f>
        <v>2020</v>
      </c>
      <c r="F109">
        <f>'[1]Processed Data'!F146</f>
        <v>251</v>
      </c>
      <c r="G109">
        <f>'[1]Processed Data'!G146</f>
        <v>437</v>
      </c>
      <c r="H109">
        <f>'[1]Processed Data'!H146</f>
        <v>57.4</v>
      </c>
      <c r="I109">
        <f>'[1]Processed Data'!I146</f>
        <v>16</v>
      </c>
      <c r="J109">
        <f>'[1]Processed Data'!J146</f>
        <v>15</v>
      </c>
      <c r="K109">
        <f>'[1]Processed Data'!K146</f>
        <v>50</v>
      </c>
      <c r="L109">
        <f>'[1]Processed Data'!L146</f>
        <v>52</v>
      </c>
      <c r="M109">
        <f>'[1]Processed Data'!M146</f>
        <v>276</v>
      </c>
      <c r="N109">
        <f>'[1]Processed Data'!N146</f>
        <v>5</v>
      </c>
      <c r="O109">
        <f>'[1]Processed Data'!O146</f>
        <v>4</v>
      </c>
      <c r="P109">
        <f>'[1]Processed Data'!P146</f>
        <v>213.4</v>
      </c>
      <c r="Q109">
        <f>'[1]Processed Data'!Q146</f>
        <v>12</v>
      </c>
    </row>
    <row r="110" spans="2:17" hidden="1">
      <c r="B110">
        <f>'[1]Processed Data'!B147</f>
        <v>2020</v>
      </c>
      <c r="C110">
        <f>'[1]Processed Data'!C147</f>
        <v>23</v>
      </c>
      <c r="D110" t="str">
        <f>'[1]Processed Data'!D147</f>
        <v>Drew Lock</v>
      </c>
      <c r="E110">
        <f>Table1[[#This Row],[Year]]</f>
        <v>2020</v>
      </c>
      <c r="F110">
        <f>'[1]Processed Data'!F147</f>
        <v>254</v>
      </c>
      <c r="G110">
        <f>'[1]Processed Data'!G147</f>
        <v>443</v>
      </c>
      <c r="H110">
        <f>'[1]Processed Data'!H147</f>
        <v>57.3</v>
      </c>
      <c r="I110">
        <f>'[1]Processed Data'!I147</f>
        <v>16</v>
      </c>
      <c r="J110">
        <f>'[1]Processed Data'!J147</f>
        <v>15</v>
      </c>
      <c r="K110">
        <f>'[1]Processed Data'!K147</f>
        <v>19</v>
      </c>
      <c r="L110">
        <f>'[1]Processed Data'!L147</f>
        <v>44</v>
      </c>
      <c r="M110">
        <f>'[1]Processed Data'!M147</f>
        <v>160</v>
      </c>
      <c r="N110">
        <f>'[1]Processed Data'!N147</f>
        <v>3</v>
      </c>
      <c r="O110">
        <f>'[1]Processed Data'!O147</f>
        <v>3</v>
      </c>
      <c r="P110">
        <f>'[1]Processed Data'!P147</f>
        <v>196.4</v>
      </c>
      <c r="Q110">
        <f>'[1]Processed Data'!Q147</f>
        <v>13</v>
      </c>
    </row>
    <row r="111" spans="2:17" hidden="1">
      <c r="B111">
        <f>'[1]Processed Data'!B148</f>
        <v>2020</v>
      </c>
      <c r="C111">
        <f>'[1]Processed Data'!C148</f>
        <v>24</v>
      </c>
      <c r="D111" t="str">
        <f>'[1]Processed Data'!D148</f>
        <v>Daniel Jones</v>
      </c>
      <c r="E111">
        <f>Table1[[#This Row],[Year]]</f>
        <v>2020</v>
      </c>
      <c r="F111">
        <f>'[1]Processed Data'!F148</f>
        <v>280</v>
      </c>
      <c r="G111">
        <f>'[1]Processed Data'!G148</f>
        <v>448</v>
      </c>
      <c r="H111">
        <f>'[1]Processed Data'!H148</f>
        <v>62.5</v>
      </c>
      <c r="I111">
        <f>'[1]Processed Data'!I148</f>
        <v>11</v>
      </c>
      <c r="J111">
        <f>'[1]Processed Data'!J148</f>
        <v>10</v>
      </c>
      <c r="K111">
        <f>'[1]Processed Data'!K148</f>
        <v>45</v>
      </c>
      <c r="L111">
        <f>'[1]Processed Data'!L148</f>
        <v>65</v>
      </c>
      <c r="M111">
        <f>'[1]Processed Data'!M148</f>
        <v>423</v>
      </c>
      <c r="N111">
        <f>'[1]Processed Data'!N148</f>
        <v>1</v>
      </c>
      <c r="O111">
        <f>'[1]Processed Data'!O148</f>
        <v>6</v>
      </c>
      <c r="P111">
        <f>'[1]Processed Data'!P148</f>
        <v>190.2</v>
      </c>
      <c r="Q111">
        <f>'[1]Processed Data'!Q148</f>
        <v>14</v>
      </c>
    </row>
    <row r="112" spans="2:17" hidden="1">
      <c r="B112">
        <f>'[1]Processed Data'!B149</f>
        <v>2020</v>
      </c>
      <c r="C112">
        <f>'[1]Processed Data'!C149</f>
        <v>25</v>
      </c>
      <c r="D112" t="str">
        <f>'[1]Processed Data'!D149</f>
        <v>Joe Burrow</v>
      </c>
      <c r="E112">
        <f>Table1[[#This Row],[Year]]</f>
        <v>2020</v>
      </c>
      <c r="F112">
        <f>'[1]Processed Data'!F149</f>
        <v>264</v>
      </c>
      <c r="G112">
        <f>'[1]Processed Data'!G149</f>
        <v>404</v>
      </c>
      <c r="H112">
        <f>'[1]Processed Data'!H149</f>
        <v>65.3</v>
      </c>
      <c r="I112">
        <f>'[1]Processed Data'!I149</f>
        <v>13</v>
      </c>
      <c r="J112">
        <f>'[1]Processed Data'!J149</f>
        <v>5</v>
      </c>
      <c r="K112">
        <f>'[1]Processed Data'!K149</f>
        <v>32</v>
      </c>
      <c r="L112">
        <f>'[1]Processed Data'!L149</f>
        <v>37</v>
      </c>
      <c r="M112">
        <f>'[1]Processed Data'!M149</f>
        <v>142</v>
      </c>
      <c r="N112">
        <f>'[1]Processed Data'!N149</f>
        <v>3</v>
      </c>
      <c r="O112">
        <f>'[1]Processed Data'!O149</f>
        <v>4</v>
      </c>
      <c r="P112">
        <f>'[1]Processed Data'!P149</f>
        <v>178.6</v>
      </c>
      <c r="Q112">
        <f>'[1]Processed Data'!Q149</f>
        <v>10</v>
      </c>
    </row>
    <row r="113" spans="2:17" hidden="1">
      <c r="B113">
        <f>'[1]Processed Data'!B150</f>
        <v>2020</v>
      </c>
      <c r="C113">
        <f>'[1]Processed Data'!C150</f>
        <v>26</v>
      </c>
      <c r="D113" t="str">
        <f>'[1]Processed Data'!D150</f>
        <v>Gardner Minshew II</v>
      </c>
      <c r="E113">
        <f>Table1[[#This Row],[Year]]</f>
        <v>2020</v>
      </c>
      <c r="F113">
        <f>'[1]Processed Data'!F150</f>
        <v>216</v>
      </c>
      <c r="G113">
        <f>'[1]Processed Data'!G150</f>
        <v>327</v>
      </c>
      <c r="H113">
        <f>'[1]Processed Data'!H150</f>
        <v>66.099999999999994</v>
      </c>
      <c r="I113">
        <f>'[1]Processed Data'!I150</f>
        <v>16</v>
      </c>
      <c r="J113">
        <f>'[1]Processed Data'!J150</f>
        <v>5</v>
      </c>
      <c r="K113">
        <f>'[1]Processed Data'!K150</f>
        <v>27</v>
      </c>
      <c r="L113">
        <f>'[1]Processed Data'!L150</f>
        <v>29</v>
      </c>
      <c r="M113">
        <f>'[1]Processed Data'!M150</f>
        <v>153</v>
      </c>
      <c r="N113">
        <f>'[1]Processed Data'!N150</f>
        <v>1</v>
      </c>
      <c r="O113">
        <f>'[1]Processed Data'!O150</f>
        <v>4</v>
      </c>
      <c r="P113">
        <f>'[1]Processed Data'!P150</f>
        <v>165</v>
      </c>
      <c r="Q113">
        <f>'[1]Processed Data'!Q150</f>
        <v>9</v>
      </c>
    </row>
    <row r="114" spans="2:17" hidden="1">
      <c r="B114">
        <f>'[1]Processed Data'!B151</f>
        <v>2020</v>
      </c>
      <c r="C114">
        <f>'[1]Processed Data'!C151</f>
        <v>27</v>
      </c>
      <c r="D114" t="str">
        <f>'[1]Processed Data'!D151</f>
        <v>Mitchell Trubisky</v>
      </c>
      <c r="E114">
        <f>Table1[[#This Row],[Year]]</f>
        <v>2020</v>
      </c>
      <c r="F114">
        <f>'[1]Processed Data'!F151</f>
        <v>199</v>
      </c>
      <c r="G114">
        <f>'[1]Processed Data'!G151</f>
        <v>297</v>
      </c>
      <c r="H114">
        <f>'[1]Processed Data'!H151</f>
        <v>67</v>
      </c>
      <c r="I114">
        <f>'[1]Processed Data'!I151</f>
        <v>16</v>
      </c>
      <c r="J114">
        <f>'[1]Processed Data'!J151</f>
        <v>8</v>
      </c>
      <c r="K114">
        <f>'[1]Processed Data'!K151</f>
        <v>18</v>
      </c>
      <c r="L114">
        <f>'[1]Processed Data'!L151</f>
        <v>33</v>
      </c>
      <c r="M114">
        <f>'[1]Processed Data'!M151</f>
        <v>195</v>
      </c>
      <c r="N114">
        <f>'[1]Processed Data'!N151</f>
        <v>1</v>
      </c>
      <c r="O114">
        <f>'[1]Processed Data'!O151</f>
        <v>2</v>
      </c>
      <c r="P114">
        <f>'[1]Processed Data'!P151</f>
        <v>161.80000000000001</v>
      </c>
      <c r="Q114">
        <f>'[1]Processed Data'!Q151</f>
        <v>10</v>
      </c>
    </row>
    <row r="115" spans="2:17" hidden="1">
      <c r="B115">
        <f>'[1]Processed Data'!B152</f>
        <v>2020</v>
      </c>
      <c r="C115">
        <f>'[1]Processed Data'!C152</f>
        <v>28</v>
      </c>
      <c r="D115" t="str">
        <f>'[1]Processed Data'!D152</f>
        <v>Ryan Fitzpatrick</v>
      </c>
      <c r="E115">
        <f>Table1[[#This Row],[Year]]</f>
        <v>2020</v>
      </c>
      <c r="F115">
        <f>'[1]Processed Data'!F152</f>
        <v>183</v>
      </c>
      <c r="G115">
        <f>'[1]Processed Data'!G152</f>
        <v>267</v>
      </c>
      <c r="H115">
        <f>'[1]Processed Data'!H152</f>
        <v>68.5</v>
      </c>
      <c r="I115">
        <f>'[1]Processed Data'!I152</f>
        <v>13</v>
      </c>
      <c r="J115">
        <f>'[1]Processed Data'!J152</f>
        <v>8</v>
      </c>
      <c r="K115">
        <f>'[1]Processed Data'!K152</f>
        <v>14</v>
      </c>
      <c r="L115">
        <f>'[1]Processed Data'!L152</f>
        <v>30</v>
      </c>
      <c r="M115">
        <f>'[1]Processed Data'!M152</f>
        <v>151</v>
      </c>
      <c r="N115">
        <f>'[1]Processed Data'!N152</f>
        <v>2</v>
      </c>
      <c r="O115">
        <f>'[1]Processed Data'!O152</f>
        <v>0</v>
      </c>
      <c r="P115">
        <f>'[1]Processed Data'!P152</f>
        <v>161.19999999999999</v>
      </c>
      <c r="Q115">
        <f>'[1]Processed Data'!Q152</f>
        <v>10</v>
      </c>
    </row>
    <row r="116" spans="2:17" hidden="1">
      <c r="B116">
        <f>'[1]Processed Data'!B153</f>
        <v>2020</v>
      </c>
      <c r="C116">
        <f>'[1]Processed Data'!C153</f>
        <v>29</v>
      </c>
      <c r="D116" t="str">
        <f>'[1]Processed Data'!D153</f>
        <v>Taysom Hill</v>
      </c>
      <c r="E116">
        <f>Table1[[#This Row],[Year]]</f>
        <v>2020</v>
      </c>
      <c r="F116">
        <f>'[1]Processed Data'!F153</f>
        <v>88</v>
      </c>
      <c r="G116">
        <f>'[1]Processed Data'!G153</f>
        <v>121</v>
      </c>
      <c r="H116">
        <f>'[1]Processed Data'!H153</f>
        <v>72.7</v>
      </c>
      <c r="I116">
        <f>'[1]Processed Data'!I153</f>
        <v>4</v>
      </c>
      <c r="J116">
        <f>'[1]Processed Data'!J153</f>
        <v>2</v>
      </c>
      <c r="K116">
        <f>'[1]Processed Data'!K153</f>
        <v>14</v>
      </c>
      <c r="L116">
        <f>'[1]Processed Data'!L153</f>
        <v>87</v>
      </c>
      <c r="M116">
        <f>'[1]Processed Data'!M153</f>
        <v>457</v>
      </c>
      <c r="N116">
        <f>'[1]Processed Data'!N153</f>
        <v>8</v>
      </c>
      <c r="O116">
        <f>'[1]Processed Data'!O153</f>
        <v>5</v>
      </c>
      <c r="P116">
        <f>'[1]Processed Data'!P153</f>
        <v>154.5</v>
      </c>
      <c r="Q116">
        <f>'[1]Processed Data'!Q153</f>
        <v>16</v>
      </c>
    </row>
    <row r="117" spans="2:17" hidden="1">
      <c r="B117">
        <f>'[1]Processed Data'!B154</f>
        <v>2020</v>
      </c>
      <c r="C117">
        <f>'[1]Processed Data'!C154</f>
        <v>30</v>
      </c>
      <c r="D117" t="str">
        <f>'[1]Processed Data'!D154</f>
        <v>Sam Darnold</v>
      </c>
      <c r="E117">
        <f>Table1[[#This Row],[Year]]</f>
        <v>2020</v>
      </c>
      <c r="F117">
        <f>'[1]Processed Data'!F154</f>
        <v>217</v>
      </c>
      <c r="G117">
        <f>'[1]Processed Data'!G154</f>
        <v>364</v>
      </c>
      <c r="H117">
        <f>'[1]Processed Data'!H154</f>
        <v>59.6</v>
      </c>
      <c r="I117">
        <f>'[1]Processed Data'!I154</f>
        <v>9</v>
      </c>
      <c r="J117">
        <f>'[1]Processed Data'!J154</f>
        <v>11</v>
      </c>
      <c r="K117">
        <f>'[1]Processed Data'!K154</f>
        <v>35</v>
      </c>
      <c r="L117">
        <f>'[1]Processed Data'!L154</f>
        <v>37</v>
      </c>
      <c r="M117">
        <f>'[1]Processed Data'!M154</f>
        <v>217</v>
      </c>
      <c r="N117">
        <f>'[1]Processed Data'!N154</f>
        <v>2</v>
      </c>
      <c r="O117">
        <f>'[1]Processed Data'!O154</f>
        <v>2</v>
      </c>
      <c r="P117">
        <f>'[1]Processed Data'!P154</f>
        <v>145</v>
      </c>
      <c r="Q117">
        <f>'[1]Processed Data'!Q154</f>
        <v>12</v>
      </c>
    </row>
    <row r="118" spans="2:17" hidden="1">
      <c r="B118">
        <f>'[1]Processed Data'!B155</f>
        <v>2020</v>
      </c>
      <c r="C118">
        <f>'[1]Processed Data'!C155</f>
        <v>31</v>
      </c>
      <c r="D118" t="str">
        <f>'[1]Processed Data'!D155</f>
        <v>Andy Dalton</v>
      </c>
      <c r="E118">
        <f>Table1[[#This Row],[Year]]</f>
        <v>2020</v>
      </c>
      <c r="F118">
        <f>'[1]Processed Data'!F155</f>
        <v>216</v>
      </c>
      <c r="G118">
        <f>'[1]Processed Data'!G155</f>
        <v>333</v>
      </c>
      <c r="H118">
        <f>'[1]Processed Data'!H155</f>
        <v>64.900000000000006</v>
      </c>
      <c r="I118">
        <f>'[1]Processed Data'!I155</f>
        <v>14</v>
      </c>
      <c r="J118">
        <f>'[1]Processed Data'!J155</f>
        <v>8</v>
      </c>
      <c r="K118">
        <f>'[1]Processed Data'!K155</f>
        <v>24</v>
      </c>
      <c r="L118">
        <f>'[1]Processed Data'!L155</f>
        <v>28</v>
      </c>
      <c r="M118">
        <f>'[1]Processed Data'!M155</f>
        <v>114</v>
      </c>
      <c r="N118">
        <f>'[1]Processed Data'!N155</f>
        <v>0</v>
      </c>
      <c r="O118">
        <f>'[1]Processed Data'!O155</f>
        <v>1</v>
      </c>
      <c r="P118">
        <f>'[1]Processed Data'!P155</f>
        <v>144.4</v>
      </c>
      <c r="Q118">
        <f>'[1]Processed Data'!Q155</f>
        <v>11</v>
      </c>
    </row>
    <row r="119" spans="2:17" hidden="1">
      <c r="B119">
        <f>'[1]Processed Data'!B156</f>
        <v>2020</v>
      </c>
      <c r="C119">
        <f>'[1]Processed Data'!C156</f>
        <v>32</v>
      </c>
      <c r="D119" t="str">
        <f>'[1]Processed Data'!D156</f>
        <v>Tua Tagovailoa</v>
      </c>
      <c r="E119">
        <f>Table1[[#This Row],[Year]]</f>
        <v>2020</v>
      </c>
      <c r="F119">
        <f>'[1]Processed Data'!F156</f>
        <v>186</v>
      </c>
      <c r="G119">
        <f>'[1]Processed Data'!G156</f>
        <v>290</v>
      </c>
      <c r="H119">
        <f>'[1]Processed Data'!H156</f>
        <v>64.099999999999994</v>
      </c>
      <c r="I119">
        <f>'[1]Processed Data'!I156</f>
        <v>11</v>
      </c>
      <c r="J119">
        <f>'[1]Processed Data'!J156</f>
        <v>5</v>
      </c>
      <c r="K119">
        <f>'[1]Processed Data'!K156</f>
        <v>20</v>
      </c>
      <c r="L119">
        <f>'[1]Processed Data'!L156</f>
        <v>36</v>
      </c>
      <c r="M119">
        <f>'[1]Processed Data'!M156</f>
        <v>109</v>
      </c>
      <c r="N119">
        <f>'[1]Processed Data'!N156</f>
        <v>3</v>
      </c>
      <c r="O119">
        <f>'[1]Processed Data'!O156</f>
        <v>1</v>
      </c>
      <c r="P119">
        <f>'[1]Processed Data'!P156</f>
        <v>140.4</v>
      </c>
      <c r="Q119">
        <f>'[1]Processed Data'!Q156</f>
        <v>10</v>
      </c>
    </row>
    <row r="120" spans="2:17" hidden="1">
      <c r="B120">
        <f>'[1]Processed Data'!B157</f>
        <v>2020</v>
      </c>
      <c r="C120">
        <f>'[1]Processed Data'!C157</f>
        <v>33</v>
      </c>
      <c r="D120" t="str">
        <f>'[1]Processed Data'!D157</f>
        <v>Dak Prescott</v>
      </c>
      <c r="E120">
        <f>Table1[[#This Row],[Year]]</f>
        <v>2020</v>
      </c>
      <c r="F120">
        <f>'[1]Processed Data'!F157</f>
        <v>151</v>
      </c>
      <c r="G120">
        <f>'[1]Processed Data'!G157</f>
        <v>222</v>
      </c>
      <c r="H120">
        <f>'[1]Processed Data'!H157</f>
        <v>68</v>
      </c>
      <c r="I120">
        <f>'[1]Processed Data'!I157</f>
        <v>9</v>
      </c>
      <c r="J120">
        <f>'[1]Processed Data'!J157</f>
        <v>4</v>
      </c>
      <c r="K120">
        <f>'[1]Processed Data'!K157</f>
        <v>10</v>
      </c>
      <c r="L120">
        <f>'[1]Processed Data'!L157</f>
        <v>18</v>
      </c>
      <c r="M120">
        <f>'[1]Processed Data'!M157</f>
        <v>93</v>
      </c>
      <c r="N120">
        <f>'[1]Processed Data'!N157</f>
        <v>3</v>
      </c>
      <c r="O120">
        <f>'[1]Processed Data'!O157</f>
        <v>3</v>
      </c>
      <c r="P120">
        <f>'[1]Processed Data'!P157</f>
        <v>139.1</v>
      </c>
      <c r="Q120">
        <f>'[1]Processed Data'!Q157</f>
        <v>5</v>
      </c>
    </row>
    <row r="121" spans="2:17" hidden="1">
      <c r="B121">
        <f>'[1]Processed Data'!B158</f>
        <v>2020</v>
      </c>
      <c r="C121">
        <f>'[1]Processed Data'!C158</f>
        <v>34</v>
      </c>
      <c r="D121" t="str">
        <f>'[1]Processed Data'!D158</f>
        <v>Nick Mullens</v>
      </c>
      <c r="E121">
        <f>Table1[[#This Row],[Year]]</f>
        <v>2020</v>
      </c>
      <c r="F121">
        <f>'[1]Processed Data'!F158</f>
        <v>211</v>
      </c>
      <c r="G121">
        <f>'[1]Processed Data'!G158</f>
        <v>326</v>
      </c>
      <c r="H121">
        <f>'[1]Processed Data'!H158</f>
        <v>64.7</v>
      </c>
      <c r="I121">
        <f>'[1]Processed Data'!I158</f>
        <v>12</v>
      </c>
      <c r="J121">
        <f>'[1]Processed Data'!J158</f>
        <v>12</v>
      </c>
      <c r="K121">
        <f>'[1]Processed Data'!K158</f>
        <v>19</v>
      </c>
      <c r="L121">
        <f>'[1]Processed Data'!L158</f>
        <v>9</v>
      </c>
      <c r="M121">
        <f>'[1]Processed Data'!M158</f>
        <v>8</v>
      </c>
      <c r="N121">
        <f>'[1]Processed Data'!N158</f>
        <v>0</v>
      </c>
      <c r="O121">
        <f>'[1]Processed Data'!O158</f>
        <v>4</v>
      </c>
      <c r="P121">
        <f>'[1]Processed Data'!P158</f>
        <v>128.19999999999999</v>
      </c>
      <c r="Q121">
        <f>'[1]Processed Data'!Q158</f>
        <v>10</v>
      </c>
    </row>
    <row r="122" spans="2:17" hidden="1">
      <c r="B122">
        <f>'[1]Processed Data'!B159</f>
        <v>2020</v>
      </c>
      <c r="C122">
        <f>'[1]Processed Data'!C159</f>
        <v>35</v>
      </c>
      <c r="D122" t="str">
        <f>'[1]Processed Data'!D159</f>
        <v>Jalen Hurts</v>
      </c>
      <c r="E122">
        <f>Table1[[#This Row],[Year]]</f>
        <v>2020</v>
      </c>
      <c r="F122">
        <f>'[1]Processed Data'!F159</f>
        <v>77</v>
      </c>
      <c r="G122">
        <f>'[1]Processed Data'!G159</f>
        <v>148</v>
      </c>
      <c r="H122">
        <f>'[1]Processed Data'!H159</f>
        <v>52</v>
      </c>
      <c r="I122">
        <f>'[1]Processed Data'!I159</f>
        <v>6</v>
      </c>
      <c r="J122">
        <f>'[1]Processed Data'!J159</f>
        <v>4</v>
      </c>
      <c r="K122">
        <f>'[1]Processed Data'!K159</f>
        <v>13</v>
      </c>
      <c r="L122">
        <f>'[1]Processed Data'!L159</f>
        <v>63</v>
      </c>
      <c r="M122">
        <f>'[1]Processed Data'!M159</f>
        <v>354</v>
      </c>
      <c r="N122">
        <f>'[1]Processed Data'!N159</f>
        <v>3</v>
      </c>
      <c r="O122">
        <f>'[1]Processed Data'!O159</f>
        <v>2</v>
      </c>
      <c r="P122">
        <f>'[1]Processed Data'!P159</f>
        <v>113</v>
      </c>
      <c r="Q122">
        <f>'[1]Processed Data'!Q159</f>
        <v>15</v>
      </c>
    </row>
    <row r="123" spans="2:17" hidden="1">
      <c r="B123">
        <f>'[1]Processed Data'!B160</f>
        <v>2020</v>
      </c>
      <c r="C123">
        <f>'[1]Processed Data'!C160</f>
        <v>36</v>
      </c>
      <c r="D123" t="str">
        <f>'[1]Processed Data'!D160</f>
        <v>Nick Foles</v>
      </c>
      <c r="E123">
        <f>Table1[[#This Row],[Year]]</f>
        <v>2020</v>
      </c>
      <c r="F123">
        <f>'[1]Processed Data'!F160</f>
        <v>202</v>
      </c>
      <c r="G123">
        <f>'[1]Processed Data'!G160</f>
        <v>312</v>
      </c>
      <c r="H123">
        <f>'[1]Processed Data'!H160</f>
        <v>64.7</v>
      </c>
      <c r="I123">
        <f>'[1]Processed Data'!I160</f>
        <v>10</v>
      </c>
      <c r="J123">
        <f>'[1]Processed Data'!J160</f>
        <v>8</v>
      </c>
      <c r="K123">
        <f>'[1]Processed Data'!K160</f>
        <v>18</v>
      </c>
      <c r="L123">
        <f>'[1]Processed Data'!L160</f>
        <v>16</v>
      </c>
      <c r="M123">
        <f>'[1]Processed Data'!M160</f>
        <v>1</v>
      </c>
      <c r="N123">
        <f>'[1]Processed Data'!N160</f>
        <v>1</v>
      </c>
      <c r="O123">
        <f>'[1]Processed Data'!O160</f>
        <v>0</v>
      </c>
      <c r="P123">
        <f>'[1]Processed Data'!P160</f>
        <v>112.1</v>
      </c>
      <c r="Q123">
        <f>'[1]Processed Data'!Q160</f>
        <v>9</v>
      </c>
    </row>
    <row r="124" spans="2:17" hidden="1">
      <c r="B124">
        <f>'[1]Processed Data'!B161</f>
        <v>2020</v>
      </c>
      <c r="C124">
        <f>'[1]Processed Data'!C161</f>
        <v>37</v>
      </c>
      <c r="D124" t="str">
        <f>'[1]Processed Data'!D161</f>
        <v>Alex Smith</v>
      </c>
      <c r="E124">
        <f>Table1[[#This Row],[Year]]</f>
        <v>2020</v>
      </c>
      <c r="F124">
        <f>'[1]Processed Data'!F161</f>
        <v>168</v>
      </c>
      <c r="G124">
        <f>'[1]Processed Data'!G161</f>
        <v>252</v>
      </c>
      <c r="H124">
        <f>'[1]Processed Data'!H161</f>
        <v>66.7</v>
      </c>
      <c r="I124">
        <f>'[1]Processed Data'!I161</f>
        <v>6</v>
      </c>
      <c r="J124">
        <f>'[1]Processed Data'!J161</f>
        <v>8</v>
      </c>
      <c r="K124">
        <f>'[1]Processed Data'!K161</f>
        <v>22</v>
      </c>
      <c r="L124">
        <f>'[1]Processed Data'!L161</f>
        <v>10</v>
      </c>
      <c r="M124">
        <f>'[1]Processed Data'!M161</f>
        <v>3</v>
      </c>
      <c r="N124">
        <f>'[1]Processed Data'!N161</f>
        <v>0</v>
      </c>
      <c r="O124">
        <f>'[1]Processed Data'!O161</f>
        <v>0</v>
      </c>
      <c r="P124">
        <f>'[1]Processed Data'!P161</f>
        <v>79.599999999999994</v>
      </c>
      <c r="Q124">
        <f>'[1]Processed Data'!Q161</f>
        <v>8</v>
      </c>
    </row>
    <row r="125" spans="2:17" hidden="1">
      <c r="B125">
        <f>'[1]Processed Data'!B162</f>
        <v>2020</v>
      </c>
      <c r="C125">
        <f>'[1]Processed Data'!C162</f>
        <v>38</v>
      </c>
      <c r="D125" t="str">
        <f>'[1]Processed Data'!D162</f>
        <v>Dwayne Haskins</v>
      </c>
      <c r="E125">
        <f>Table1[[#This Row],[Year]]</f>
        <v>2020</v>
      </c>
      <c r="F125">
        <f>'[1]Processed Data'!F162</f>
        <v>148</v>
      </c>
      <c r="G125">
        <f>'[1]Processed Data'!G162</f>
        <v>241</v>
      </c>
      <c r="H125">
        <f>'[1]Processed Data'!H162</f>
        <v>61.4</v>
      </c>
      <c r="I125">
        <f>'[1]Processed Data'!I162</f>
        <v>5</v>
      </c>
      <c r="J125">
        <f>'[1]Processed Data'!J162</f>
        <v>7</v>
      </c>
      <c r="K125">
        <f>'[1]Processed Data'!K162</f>
        <v>20</v>
      </c>
      <c r="L125">
        <f>'[1]Processed Data'!L162</f>
        <v>20</v>
      </c>
      <c r="M125">
        <f>'[1]Processed Data'!M162</f>
        <v>46</v>
      </c>
      <c r="N125">
        <f>'[1]Processed Data'!N162</f>
        <v>1</v>
      </c>
      <c r="O125">
        <f>'[1]Processed Data'!O162</f>
        <v>3</v>
      </c>
      <c r="P125">
        <f>'[1]Processed Data'!P162</f>
        <v>75.2</v>
      </c>
      <c r="Q125">
        <f>'[1]Processed Data'!Q162</f>
        <v>7</v>
      </c>
    </row>
    <row r="126" spans="2:17" hidden="1">
      <c r="B126">
        <f>'[1]Processed Data'!B163</f>
        <v>2020</v>
      </c>
      <c r="C126">
        <f>'[1]Processed Data'!C163</f>
        <v>39</v>
      </c>
      <c r="D126" t="str">
        <f>'[1]Processed Data'!D163</f>
        <v>Jimmy Garoppolo</v>
      </c>
      <c r="E126">
        <f>Table1[[#This Row],[Year]]</f>
        <v>2020</v>
      </c>
      <c r="F126">
        <f>'[1]Processed Data'!F163</f>
        <v>94</v>
      </c>
      <c r="G126">
        <f>'[1]Processed Data'!G163</f>
        <v>140</v>
      </c>
      <c r="H126">
        <f>'[1]Processed Data'!H163</f>
        <v>67.099999999999994</v>
      </c>
      <c r="I126">
        <f>'[1]Processed Data'!I163</f>
        <v>7</v>
      </c>
      <c r="J126">
        <f>'[1]Processed Data'!J163</f>
        <v>5</v>
      </c>
      <c r="K126">
        <f>'[1]Processed Data'!K163</f>
        <v>11</v>
      </c>
      <c r="L126">
        <f>'[1]Processed Data'!L163</f>
        <v>10</v>
      </c>
      <c r="M126">
        <f>'[1]Processed Data'!M163</f>
        <v>25</v>
      </c>
      <c r="N126">
        <f>'[1]Processed Data'!N163</f>
        <v>0</v>
      </c>
      <c r="O126">
        <f>'[1]Processed Data'!O163</f>
        <v>0</v>
      </c>
      <c r="P126">
        <f>'[1]Processed Data'!P163</f>
        <v>69.400000000000006</v>
      </c>
      <c r="Q126">
        <f>'[1]Processed Data'!Q163</f>
        <v>6</v>
      </c>
    </row>
    <row r="127" spans="2:17" hidden="1">
      <c r="B127">
        <f>'[1]Processed Data'!B164</f>
        <v>2020</v>
      </c>
      <c r="C127">
        <f>'[1]Processed Data'!C164</f>
        <v>40</v>
      </c>
      <c r="D127" t="str">
        <f>'[1]Processed Data'!D164</f>
        <v>Mike Glennon</v>
      </c>
      <c r="E127">
        <f>Table1[[#This Row],[Year]]</f>
        <v>2020</v>
      </c>
      <c r="F127">
        <f>'[1]Processed Data'!F164</f>
        <v>111</v>
      </c>
      <c r="G127">
        <f>'[1]Processed Data'!G164</f>
        <v>179</v>
      </c>
      <c r="H127">
        <f>'[1]Processed Data'!H164</f>
        <v>62</v>
      </c>
      <c r="I127">
        <f>'[1]Processed Data'!I164</f>
        <v>7</v>
      </c>
      <c r="J127">
        <f>'[1]Processed Data'!J164</f>
        <v>5</v>
      </c>
      <c r="K127">
        <f>'[1]Processed Data'!K164</f>
        <v>9</v>
      </c>
      <c r="L127">
        <f>'[1]Processed Data'!L164</f>
        <v>6</v>
      </c>
      <c r="M127">
        <f>'[1]Processed Data'!M164</f>
        <v>17</v>
      </c>
      <c r="N127">
        <f>'[1]Processed Data'!N164</f>
        <v>0</v>
      </c>
      <c r="O127">
        <f>'[1]Processed Data'!O164</f>
        <v>2</v>
      </c>
      <c r="P127">
        <f>'[1]Processed Data'!P164</f>
        <v>65.5</v>
      </c>
      <c r="Q127">
        <f>'[1]Processed Data'!Q164</f>
        <v>5</v>
      </c>
    </row>
    <row r="128" spans="2:17" hidden="1">
      <c r="B128">
        <f>'[1]Processed Data'!B165</f>
        <v>2020</v>
      </c>
      <c r="C128">
        <f>'[1]Processed Data'!C165</f>
        <v>41</v>
      </c>
      <c r="D128" t="str">
        <f>'[1]Processed Data'!D165</f>
        <v>Joe Flacco</v>
      </c>
      <c r="E128">
        <f>Table1[[#This Row],[Year]]</f>
        <v>2020</v>
      </c>
      <c r="F128">
        <f>'[1]Processed Data'!F165</f>
        <v>74</v>
      </c>
      <c r="G128">
        <f>'[1]Processed Data'!G165</f>
        <v>134</v>
      </c>
      <c r="H128">
        <f>'[1]Processed Data'!H165</f>
        <v>55.2</v>
      </c>
      <c r="I128">
        <f>'[1]Processed Data'!I165</f>
        <v>6</v>
      </c>
      <c r="J128">
        <f>'[1]Processed Data'!J165</f>
        <v>3</v>
      </c>
      <c r="K128">
        <f>'[1]Processed Data'!K165</f>
        <v>7</v>
      </c>
      <c r="L128">
        <f>'[1]Processed Data'!L165</f>
        <v>6</v>
      </c>
      <c r="M128">
        <f>'[1]Processed Data'!M165</f>
        <v>22</v>
      </c>
      <c r="N128">
        <f>'[1]Processed Data'!N165</f>
        <v>0</v>
      </c>
      <c r="O128">
        <f>'[1]Processed Data'!O165</f>
        <v>0</v>
      </c>
      <c r="P128">
        <f>'[1]Processed Data'!P165</f>
        <v>57.7</v>
      </c>
      <c r="Q128">
        <f>'[1]Processed Data'!Q165</f>
        <v>5</v>
      </c>
    </row>
    <row r="129" spans="2:17" hidden="1">
      <c r="B129">
        <f>'[1]Processed Data'!B166</f>
        <v>2020</v>
      </c>
      <c r="C129">
        <f>'[1]Processed Data'!C166</f>
        <v>42</v>
      </c>
      <c r="D129" t="str">
        <f>'[1]Processed Data'!D166</f>
        <v>Brandon Allen</v>
      </c>
      <c r="E129">
        <f>Table1[[#This Row],[Year]]</f>
        <v>2020</v>
      </c>
      <c r="F129">
        <f>'[1]Processed Data'!F166</f>
        <v>90</v>
      </c>
      <c r="G129">
        <f>'[1]Processed Data'!G166</f>
        <v>142</v>
      </c>
      <c r="H129">
        <f>'[1]Processed Data'!H166</f>
        <v>63.4</v>
      </c>
      <c r="I129">
        <f>'[1]Processed Data'!I166</f>
        <v>5</v>
      </c>
      <c r="J129">
        <f>'[1]Processed Data'!J166</f>
        <v>4</v>
      </c>
      <c r="K129">
        <f>'[1]Processed Data'!K166</f>
        <v>7</v>
      </c>
      <c r="L129">
        <f>'[1]Processed Data'!L166</f>
        <v>13</v>
      </c>
      <c r="M129">
        <f>'[1]Processed Data'!M166</f>
        <v>27</v>
      </c>
      <c r="N129">
        <f>'[1]Processed Data'!N166</f>
        <v>0</v>
      </c>
      <c r="O129">
        <f>'[1]Processed Data'!O166</f>
        <v>1</v>
      </c>
      <c r="P129">
        <f>'[1]Processed Data'!P166</f>
        <v>53.6</v>
      </c>
      <c r="Q129">
        <f>'[1]Processed Data'!Q166</f>
        <v>5</v>
      </c>
    </row>
    <row r="130" spans="2:17" hidden="1">
      <c r="B130">
        <f>'[1]Processed Data'!B167</f>
        <v>2020</v>
      </c>
      <c r="C130">
        <f>'[1]Processed Data'!C167</f>
        <v>43</v>
      </c>
      <c r="D130" t="str">
        <f>'[1]Processed Data'!D167</f>
        <v>C.J. Beathard</v>
      </c>
      <c r="E130">
        <f>Table1[[#This Row],[Year]]</f>
        <v>2020</v>
      </c>
      <c r="F130">
        <f>'[1]Processed Data'!F167</f>
        <v>66</v>
      </c>
      <c r="G130">
        <f>'[1]Processed Data'!G167</f>
        <v>104</v>
      </c>
      <c r="H130">
        <f>'[1]Processed Data'!H167</f>
        <v>63.5</v>
      </c>
      <c r="I130">
        <f>'[1]Processed Data'!I167</f>
        <v>6</v>
      </c>
      <c r="J130">
        <f>'[1]Processed Data'!J167</f>
        <v>0</v>
      </c>
      <c r="K130">
        <f>'[1]Processed Data'!K167</f>
        <v>9</v>
      </c>
      <c r="L130">
        <f>'[1]Processed Data'!L167</f>
        <v>6</v>
      </c>
      <c r="M130">
        <f>'[1]Processed Data'!M167</f>
        <v>28</v>
      </c>
      <c r="N130">
        <f>'[1]Processed Data'!N167</f>
        <v>0</v>
      </c>
      <c r="O130">
        <f>'[1]Processed Data'!O167</f>
        <v>3</v>
      </c>
      <c r="P130">
        <f>'[1]Processed Data'!P167</f>
        <v>52.3</v>
      </c>
      <c r="Q130">
        <f>'[1]Processed Data'!Q167</f>
        <v>6</v>
      </c>
    </row>
    <row r="131" spans="2:17" hidden="1">
      <c r="B131">
        <f>'[1]Processed Data'!B168</f>
        <v>2020</v>
      </c>
      <c r="C131">
        <f>'[1]Processed Data'!C168</f>
        <v>44</v>
      </c>
      <c r="D131" t="str">
        <f>'[1]Processed Data'!D168</f>
        <v>Kyle Allen</v>
      </c>
      <c r="E131">
        <f>Table1[[#This Row],[Year]]</f>
        <v>2020</v>
      </c>
      <c r="F131">
        <f>'[1]Processed Data'!F168</f>
        <v>60</v>
      </c>
      <c r="G131">
        <f>'[1]Processed Data'!G168</f>
        <v>87</v>
      </c>
      <c r="H131">
        <f>'[1]Processed Data'!H168</f>
        <v>69</v>
      </c>
      <c r="I131">
        <f>'[1]Processed Data'!I168</f>
        <v>4</v>
      </c>
      <c r="J131">
        <f>'[1]Processed Data'!J168</f>
        <v>1</v>
      </c>
      <c r="K131">
        <f>'[1]Processed Data'!K168</f>
        <v>7</v>
      </c>
      <c r="L131">
        <f>'[1]Processed Data'!L168</f>
        <v>7</v>
      </c>
      <c r="M131">
        <f>'[1]Processed Data'!M168</f>
        <v>26</v>
      </c>
      <c r="N131">
        <f>'[1]Processed Data'!N168</f>
        <v>1</v>
      </c>
      <c r="O131">
        <f>'[1]Processed Data'!O168</f>
        <v>1</v>
      </c>
      <c r="P131">
        <f>'[1]Processed Data'!P168</f>
        <v>46.1</v>
      </c>
      <c r="Q131">
        <f>'[1]Processed Data'!Q168</f>
        <v>4</v>
      </c>
    </row>
    <row r="132" spans="2:17" hidden="1">
      <c r="B132">
        <f>'[1]Processed Data'!B169</f>
        <v>2020</v>
      </c>
      <c r="C132">
        <f>'[1]Processed Data'!C169</f>
        <v>45</v>
      </c>
      <c r="D132" t="str">
        <f>'[1]Processed Data'!D169</f>
        <v>Jake Luton</v>
      </c>
      <c r="E132">
        <f>Table1[[#This Row],[Year]]</f>
        <v>2020</v>
      </c>
      <c r="F132">
        <f>'[1]Processed Data'!F169</f>
        <v>60</v>
      </c>
      <c r="G132">
        <f>'[1]Processed Data'!G169</f>
        <v>110</v>
      </c>
      <c r="H132">
        <f>'[1]Processed Data'!H169</f>
        <v>54.5</v>
      </c>
      <c r="I132">
        <f>'[1]Processed Data'!I169</f>
        <v>2</v>
      </c>
      <c r="J132">
        <f>'[1]Processed Data'!J169</f>
        <v>6</v>
      </c>
      <c r="K132">
        <f>'[1]Processed Data'!K169</f>
        <v>7</v>
      </c>
      <c r="L132">
        <f>'[1]Processed Data'!L169</f>
        <v>1</v>
      </c>
      <c r="M132">
        <f>'[1]Processed Data'!M169</f>
        <v>13</v>
      </c>
      <c r="N132">
        <f>'[1]Processed Data'!N169</f>
        <v>1</v>
      </c>
      <c r="O132">
        <f>'[1]Processed Data'!O169</f>
        <v>0</v>
      </c>
      <c r="P132">
        <f>'[1]Processed Data'!P169</f>
        <v>34.299999999999997</v>
      </c>
      <c r="Q132">
        <f>'[1]Processed Data'!Q169</f>
        <v>3</v>
      </c>
    </row>
    <row r="133" spans="2:17" hidden="1">
      <c r="B133">
        <f>'[1]Processed Data'!B170</f>
        <v>2020</v>
      </c>
      <c r="C133">
        <f>'[1]Processed Data'!C170</f>
        <v>46</v>
      </c>
      <c r="D133" t="str">
        <f>'[1]Processed Data'!D170</f>
        <v>Jeff Driskel</v>
      </c>
      <c r="E133">
        <f>Table1[[#This Row],[Year]]</f>
        <v>2020</v>
      </c>
      <c r="F133">
        <f>'[1]Processed Data'!F170</f>
        <v>35</v>
      </c>
      <c r="G133">
        <f>'[1]Processed Data'!G170</f>
        <v>64</v>
      </c>
      <c r="H133">
        <f>'[1]Processed Data'!H170</f>
        <v>54.7</v>
      </c>
      <c r="I133">
        <f>'[1]Processed Data'!I170</f>
        <v>3</v>
      </c>
      <c r="J133">
        <f>'[1]Processed Data'!J170</f>
        <v>2</v>
      </c>
      <c r="K133">
        <f>'[1]Processed Data'!K170</f>
        <v>11</v>
      </c>
      <c r="L133">
        <f>'[1]Processed Data'!L170</f>
        <v>6</v>
      </c>
      <c r="M133">
        <f>'[1]Processed Data'!M170</f>
        <v>28</v>
      </c>
      <c r="N133">
        <f>'[1]Processed Data'!N170</f>
        <v>0</v>
      </c>
      <c r="O133">
        <f>'[1]Processed Data'!O170</f>
        <v>0</v>
      </c>
      <c r="P133">
        <f>'[1]Processed Data'!P170</f>
        <v>32</v>
      </c>
      <c r="Q133">
        <f>'[1]Processed Data'!Q170</f>
        <v>3</v>
      </c>
    </row>
    <row r="134" spans="2:17" hidden="1">
      <c r="B134">
        <f>'[1]Processed Data'!B171</f>
        <v>2020</v>
      </c>
      <c r="C134">
        <f>'[1]Processed Data'!C171</f>
        <v>47</v>
      </c>
      <c r="D134" t="str">
        <f>'[1]Processed Data'!D171</f>
        <v>Marcus Mariota</v>
      </c>
      <c r="E134">
        <f>Table1[[#This Row],[Year]]</f>
        <v>2020</v>
      </c>
      <c r="F134">
        <f>'[1]Processed Data'!F171</f>
        <v>17</v>
      </c>
      <c r="G134">
        <f>'[1]Processed Data'!G171</f>
        <v>28</v>
      </c>
      <c r="H134">
        <f>'[1]Processed Data'!H171</f>
        <v>60.7</v>
      </c>
      <c r="I134">
        <f>'[1]Processed Data'!I171</f>
        <v>1</v>
      </c>
      <c r="J134">
        <f>'[1]Processed Data'!J171</f>
        <v>1</v>
      </c>
      <c r="K134">
        <f>'[1]Processed Data'!K171</f>
        <v>0</v>
      </c>
      <c r="L134">
        <f>'[1]Processed Data'!L171</f>
        <v>9</v>
      </c>
      <c r="M134">
        <f>'[1]Processed Data'!M171</f>
        <v>88</v>
      </c>
      <c r="N134">
        <f>'[1]Processed Data'!N171</f>
        <v>1</v>
      </c>
      <c r="O134">
        <f>'[1]Processed Data'!O171</f>
        <v>0</v>
      </c>
      <c r="P134">
        <f>'[1]Processed Data'!P171</f>
        <v>26.8</v>
      </c>
      <c r="Q134">
        <f>'[1]Processed Data'!Q171</f>
        <v>1</v>
      </c>
    </row>
    <row r="135" spans="2:17" hidden="1">
      <c r="B135">
        <f>'[1]Processed Data'!B172</f>
        <v>2020</v>
      </c>
      <c r="C135">
        <f>'[1]Processed Data'!C172</f>
        <v>48</v>
      </c>
      <c r="D135" t="str">
        <f>'[1]Processed Data'!D172</f>
        <v>Chad Henne</v>
      </c>
      <c r="E135">
        <f>Table1[[#This Row],[Year]]</f>
        <v>2020</v>
      </c>
      <c r="F135">
        <f>'[1]Processed Data'!F172</f>
        <v>28</v>
      </c>
      <c r="G135">
        <f>'[1]Processed Data'!G172</f>
        <v>38</v>
      </c>
      <c r="H135">
        <f>'[1]Processed Data'!H172</f>
        <v>73.7</v>
      </c>
      <c r="I135">
        <f>'[1]Processed Data'!I172</f>
        <v>2</v>
      </c>
      <c r="J135">
        <f>'[1]Processed Data'!J172</f>
        <v>0</v>
      </c>
      <c r="K135">
        <f>'[1]Processed Data'!K172</f>
        <v>2</v>
      </c>
      <c r="L135">
        <f>'[1]Processed Data'!L172</f>
        <v>7</v>
      </c>
      <c r="M135">
        <f>'[1]Processed Data'!M172</f>
        <v>-2</v>
      </c>
      <c r="N135">
        <f>'[1]Processed Data'!N172</f>
        <v>1</v>
      </c>
      <c r="O135">
        <f>'[1]Processed Data'!O172</f>
        <v>0</v>
      </c>
      <c r="P135">
        <f>'[1]Processed Data'!P172</f>
        <v>23.7</v>
      </c>
      <c r="Q135">
        <f>'[1]Processed Data'!Q172</f>
        <v>3</v>
      </c>
    </row>
    <row r="136" spans="2:17" hidden="1">
      <c r="B136">
        <f>'[1]Processed Data'!B173</f>
        <v>2020</v>
      </c>
      <c r="C136">
        <f>'[1]Processed Data'!C173</f>
        <v>49</v>
      </c>
      <c r="D136" t="str">
        <f>'[1]Processed Data'!D173</f>
        <v>Ryan Finley</v>
      </c>
      <c r="E136">
        <f>Table1[[#This Row],[Year]]</f>
        <v>2020</v>
      </c>
      <c r="F136">
        <f>'[1]Processed Data'!F173</f>
        <v>17</v>
      </c>
      <c r="G136">
        <f>'[1]Processed Data'!G173</f>
        <v>32</v>
      </c>
      <c r="H136">
        <f>'[1]Processed Data'!H173</f>
        <v>53.1</v>
      </c>
      <c r="I136">
        <f>'[1]Processed Data'!I173</f>
        <v>1</v>
      </c>
      <c r="J136">
        <f>'[1]Processed Data'!J173</f>
        <v>2</v>
      </c>
      <c r="K136">
        <f>'[1]Processed Data'!K173</f>
        <v>9</v>
      </c>
      <c r="L136">
        <f>'[1]Processed Data'!L173</f>
        <v>11</v>
      </c>
      <c r="M136">
        <f>'[1]Processed Data'!M173</f>
        <v>66</v>
      </c>
      <c r="N136">
        <f>'[1]Processed Data'!N173</f>
        <v>1</v>
      </c>
      <c r="O136">
        <f>'[1]Processed Data'!O173</f>
        <v>0</v>
      </c>
      <c r="P136">
        <f>'[1]Processed Data'!P173</f>
        <v>21.2</v>
      </c>
      <c r="Q136">
        <f>'[1]Processed Data'!Q173</f>
        <v>5</v>
      </c>
    </row>
    <row r="137" spans="2:17" hidden="1">
      <c r="B137">
        <f>'[1]Processed Data'!B174</f>
        <v>2020</v>
      </c>
      <c r="C137">
        <f>'[1]Processed Data'!C174</f>
        <v>50</v>
      </c>
      <c r="D137" t="str">
        <f>'[1]Processed Data'!D174</f>
        <v>Jacoby Brissett</v>
      </c>
      <c r="E137">
        <f>Table1[[#This Row],[Year]]</f>
        <v>2020</v>
      </c>
      <c r="F137">
        <f>'[1]Processed Data'!F174</f>
        <v>2</v>
      </c>
      <c r="G137">
        <f>'[1]Processed Data'!G174</f>
        <v>8</v>
      </c>
      <c r="H137">
        <f>'[1]Processed Data'!H174</f>
        <v>25</v>
      </c>
      <c r="I137">
        <f>'[1]Processed Data'!I174</f>
        <v>0</v>
      </c>
      <c r="J137">
        <f>'[1]Processed Data'!J174</f>
        <v>0</v>
      </c>
      <c r="K137">
        <f>'[1]Processed Data'!K174</f>
        <v>2</v>
      </c>
      <c r="L137">
        <f>'[1]Processed Data'!L174</f>
        <v>17</v>
      </c>
      <c r="M137">
        <f>'[1]Processed Data'!M174</f>
        <v>19</v>
      </c>
      <c r="N137">
        <f>'[1]Processed Data'!N174</f>
        <v>3</v>
      </c>
      <c r="O137">
        <f>'[1]Processed Data'!O174</f>
        <v>0</v>
      </c>
      <c r="P137">
        <f>'[1]Processed Data'!P174</f>
        <v>20.6</v>
      </c>
      <c r="Q137">
        <f>'[1]Processed Data'!Q174</f>
        <v>11</v>
      </c>
    </row>
    <row r="138" spans="2:17" hidden="1">
      <c r="B138">
        <f>'[1]Processed Data'!B175</f>
        <v>2020</v>
      </c>
      <c r="C138">
        <f>'[1]Processed Data'!C175</f>
        <v>51</v>
      </c>
      <c r="D138" t="str">
        <f>'[1]Processed Data'!D175</f>
        <v>Mason Rudolph</v>
      </c>
      <c r="E138">
        <f>Table1[[#This Row],[Year]]</f>
        <v>2020</v>
      </c>
      <c r="F138">
        <f>'[1]Processed Data'!F175</f>
        <v>25</v>
      </c>
      <c r="G138">
        <f>'[1]Processed Data'!G175</f>
        <v>43</v>
      </c>
      <c r="H138">
        <f>'[1]Processed Data'!H175</f>
        <v>58.1</v>
      </c>
      <c r="I138">
        <f>'[1]Processed Data'!I175</f>
        <v>2</v>
      </c>
      <c r="J138">
        <f>'[1]Processed Data'!J175</f>
        <v>1</v>
      </c>
      <c r="K138">
        <f>'[1]Processed Data'!K175</f>
        <v>1</v>
      </c>
      <c r="L138">
        <f>'[1]Processed Data'!L175</f>
        <v>7</v>
      </c>
      <c r="M138">
        <f>'[1]Processed Data'!M175</f>
        <v>-6</v>
      </c>
      <c r="N138">
        <f>'[1]Processed Data'!N175</f>
        <v>0</v>
      </c>
      <c r="O138">
        <f>'[1]Processed Data'!O175</f>
        <v>0</v>
      </c>
      <c r="P138">
        <f>'[1]Processed Data'!P175</f>
        <v>19.3</v>
      </c>
      <c r="Q138">
        <f>'[1]Processed Data'!Q175</f>
        <v>5</v>
      </c>
    </row>
    <row r="139" spans="2:17" hidden="1">
      <c r="B139">
        <f>'[1]Processed Data'!B176</f>
        <v>2020</v>
      </c>
      <c r="C139">
        <f>'[1]Processed Data'!C176</f>
        <v>52</v>
      </c>
      <c r="D139" t="str">
        <f>'[1]Processed Data'!D176</f>
        <v>Colt McCoy</v>
      </c>
      <c r="E139">
        <f>Table1[[#This Row],[Year]]</f>
        <v>2020</v>
      </c>
      <c r="F139">
        <f>'[1]Processed Data'!F176</f>
        <v>40</v>
      </c>
      <c r="G139">
        <f>'[1]Processed Data'!G176</f>
        <v>66</v>
      </c>
      <c r="H139">
        <f>'[1]Processed Data'!H176</f>
        <v>60.6</v>
      </c>
      <c r="I139">
        <f>'[1]Processed Data'!I176</f>
        <v>1</v>
      </c>
      <c r="J139">
        <f>'[1]Processed Data'!J176</f>
        <v>1</v>
      </c>
      <c r="K139">
        <f>'[1]Processed Data'!K176</f>
        <v>5</v>
      </c>
      <c r="L139">
        <f>'[1]Processed Data'!L176</f>
        <v>9</v>
      </c>
      <c r="M139">
        <f>'[1]Processed Data'!M176</f>
        <v>12</v>
      </c>
      <c r="N139">
        <f>'[1]Processed Data'!N176</f>
        <v>0</v>
      </c>
      <c r="O139">
        <f>'[1]Processed Data'!O176</f>
        <v>1</v>
      </c>
      <c r="P139">
        <f>'[1]Processed Data'!P176</f>
        <v>19.100000000000001</v>
      </c>
      <c r="Q139">
        <f>'[1]Processed Data'!Q176</f>
        <v>4</v>
      </c>
    </row>
    <row r="140" spans="2:17" hidden="1">
      <c r="B140">
        <f>'[1]Processed Data'!B177</f>
        <v>2020</v>
      </c>
      <c r="C140">
        <f>'[1]Processed Data'!C177</f>
        <v>53</v>
      </c>
      <c r="D140" t="str">
        <f>'[1]Processed Data'!D177</f>
        <v>Jarrett Stidham</v>
      </c>
      <c r="E140">
        <f>Table1[[#This Row],[Year]]</f>
        <v>2020</v>
      </c>
      <c r="F140">
        <f>'[1]Processed Data'!F177</f>
        <v>22</v>
      </c>
      <c r="G140">
        <f>'[1]Processed Data'!G177</f>
        <v>44</v>
      </c>
      <c r="H140">
        <f>'[1]Processed Data'!H177</f>
        <v>50</v>
      </c>
      <c r="I140">
        <f>'[1]Processed Data'!I177</f>
        <v>2</v>
      </c>
      <c r="J140">
        <f>'[1]Processed Data'!J177</f>
        <v>3</v>
      </c>
      <c r="K140">
        <f>'[1]Processed Data'!K177</f>
        <v>4</v>
      </c>
      <c r="L140">
        <f>'[1]Processed Data'!L177</f>
        <v>7</v>
      </c>
      <c r="M140">
        <f>'[1]Processed Data'!M177</f>
        <v>7</v>
      </c>
      <c r="N140">
        <f>'[1]Processed Data'!N177</f>
        <v>0</v>
      </c>
      <c r="O140">
        <f>'[1]Processed Data'!O177</f>
        <v>0</v>
      </c>
      <c r="P140">
        <f>'[1]Processed Data'!P177</f>
        <v>16</v>
      </c>
      <c r="Q140">
        <f>'[1]Processed Data'!Q177</f>
        <v>5</v>
      </c>
    </row>
    <row r="141" spans="2:17" hidden="1">
      <c r="B141">
        <f>'[1]Processed Data'!B178</f>
        <v>2020</v>
      </c>
      <c r="C141">
        <f>'[1]Processed Data'!C178</f>
        <v>54</v>
      </c>
      <c r="D141" t="str">
        <f>'[1]Processed Data'!D178</f>
        <v>Garrett Gilbert</v>
      </c>
      <c r="E141">
        <f>Table1[[#This Row],[Year]]</f>
        <v>2020</v>
      </c>
      <c r="F141">
        <f>'[1]Processed Data'!F178</f>
        <v>21</v>
      </c>
      <c r="G141">
        <f>'[1]Processed Data'!G178</f>
        <v>38</v>
      </c>
      <c r="H141">
        <f>'[1]Processed Data'!H178</f>
        <v>55.3</v>
      </c>
      <c r="I141">
        <f>'[1]Processed Data'!I178</f>
        <v>1</v>
      </c>
      <c r="J141">
        <f>'[1]Processed Data'!J178</f>
        <v>1</v>
      </c>
      <c r="K141">
        <f>'[1]Processed Data'!K178</f>
        <v>2</v>
      </c>
      <c r="L141">
        <f>'[1]Processed Data'!L178</f>
        <v>3</v>
      </c>
      <c r="M141">
        <f>'[1]Processed Data'!M178</f>
        <v>28</v>
      </c>
      <c r="N141">
        <f>'[1]Processed Data'!N178</f>
        <v>0</v>
      </c>
      <c r="O141">
        <f>'[1]Processed Data'!O178</f>
        <v>0</v>
      </c>
      <c r="P141">
        <f>'[1]Processed Data'!P178</f>
        <v>15.5</v>
      </c>
      <c r="Q141">
        <f>'[1]Processed Data'!Q178</f>
        <v>2</v>
      </c>
    </row>
    <row r="142" spans="2:17" hidden="1">
      <c r="B142">
        <f>'[1]Processed Data'!B179</f>
        <v>2020</v>
      </c>
      <c r="C142">
        <f>'[1]Processed Data'!C179</f>
        <v>55</v>
      </c>
      <c r="D142" t="str">
        <f>'[1]Processed Data'!D179</f>
        <v>Blaine Gabbert</v>
      </c>
      <c r="E142">
        <f>Table1[[#This Row],[Year]]</f>
        <v>2020</v>
      </c>
      <c r="F142">
        <f>'[1]Processed Data'!F179</f>
        <v>9</v>
      </c>
      <c r="G142">
        <f>'[1]Processed Data'!G179</f>
        <v>16</v>
      </c>
      <c r="H142">
        <f>'[1]Processed Data'!H179</f>
        <v>56.3</v>
      </c>
      <c r="I142">
        <f>'[1]Processed Data'!I179</f>
        <v>2</v>
      </c>
      <c r="J142">
        <f>'[1]Processed Data'!J179</f>
        <v>0</v>
      </c>
      <c r="K142">
        <f>'[1]Processed Data'!K179</f>
        <v>1</v>
      </c>
      <c r="L142">
        <f>'[1]Processed Data'!L179</f>
        <v>9</v>
      </c>
      <c r="M142">
        <f>'[1]Processed Data'!M179</f>
        <v>16</v>
      </c>
      <c r="N142">
        <f>'[1]Processed Data'!N179</f>
        <v>0</v>
      </c>
      <c r="O142">
        <f>'[1]Processed Data'!O179</f>
        <v>0</v>
      </c>
      <c r="P142">
        <f>'[1]Processed Data'!P179</f>
        <v>15.3</v>
      </c>
      <c r="Q142">
        <f>'[1]Processed Data'!Q179</f>
        <v>4</v>
      </c>
    </row>
    <row r="143" spans="2:17" hidden="1">
      <c r="B143">
        <f>'[1]Processed Data'!B180</f>
        <v>2020</v>
      </c>
      <c r="C143">
        <f>'[1]Processed Data'!C180</f>
        <v>56</v>
      </c>
      <c r="D143" t="str">
        <f>'[1]Processed Data'!D180</f>
        <v>Brett Rypien</v>
      </c>
      <c r="E143">
        <f>Table1[[#This Row],[Year]]</f>
        <v>2020</v>
      </c>
      <c r="F143">
        <f>'[1]Processed Data'!F180</f>
        <v>27</v>
      </c>
      <c r="G143">
        <f>'[1]Processed Data'!G180</f>
        <v>40</v>
      </c>
      <c r="H143">
        <f>'[1]Processed Data'!H180</f>
        <v>67.5</v>
      </c>
      <c r="I143">
        <f>'[1]Processed Data'!I180</f>
        <v>2</v>
      </c>
      <c r="J143">
        <f>'[1]Processed Data'!J180</f>
        <v>4</v>
      </c>
      <c r="K143">
        <f>'[1]Processed Data'!K180</f>
        <v>1</v>
      </c>
      <c r="L143">
        <f>'[1]Processed Data'!L180</f>
        <v>5</v>
      </c>
      <c r="M143">
        <f>'[1]Processed Data'!M180</f>
        <v>-5</v>
      </c>
      <c r="N143">
        <f>'[1]Processed Data'!N180</f>
        <v>0</v>
      </c>
      <c r="O143">
        <f>'[1]Processed Data'!O180</f>
        <v>0</v>
      </c>
      <c r="P143">
        <f>'[1]Processed Data'!P180</f>
        <v>15.3</v>
      </c>
      <c r="Q143">
        <f>'[1]Processed Data'!Q180</f>
        <v>3</v>
      </c>
    </row>
    <row r="144" spans="2:17" hidden="1">
      <c r="B144">
        <f>'[1]Processed Data'!B181</f>
        <v>2020</v>
      </c>
      <c r="C144">
        <f>'[1]Processed Data'!C181</f>
        <v>57</v>
      </c>
      <c r="D144" t="str">
        <f>'[1]Processed Data'!D181</f>
        <v>Chase Daniel</v>
      </c>
      <c r="E144">
        <f>Table1[[#This Row],[Year]]</f>
        <v>2020</v>
      </c>
      <c r="F144">
        <f>'[1]Processed Data'!F181</f>
        <v>29</v>
      </c>
      <c r="G144">
        <f>'[1]Processed Data'!G181</f>
        <v>43</v>
      </c>
      <c r="H144">
        <f>'[1]Processed Data'!H181</f>
        <v>67.400000000000006</v>
      </c>
      <c r="I144">
        <f>'[1]Processed Data'!I181</f>
        <v>1</v>
      </c>
      <c r="J144">
        <f>'[1]Processed Data'!J181</f>
        <v>2</v>
      </c>
      <c r="K144">
        <f>'[1]Processed Data'!K181</f>
        <v>3</v>
      </c>
      <c r="L144">
        <f>'[1]Processed Data'!L181</f>
        <v>2</v>
      </c>
      <c r="M144">
        <f>'[1]Processed Data'!M181</f>
        <v>16</v>
      </c>
      <c r="N144">
        <f>'[1]Processed Data'!N181</f>
        <v>0</v>
      </c>
      <c r="O144">
        <f>'[1]Processed Data'!O181</f>
        <v>0</v>
      </c>
      <c r="P144">
        <f>'[1]Processed Data'!P181</f>
        <v>14.2</v>
      </c>
      <c r="Q144">
        <f>'[1]Processed Data'!Q181</f>
        <v>4</v>
      </c>
    </row>
    <row r="145" spans="2:17" hidden="1">
      <c r="B145">
        <f>'[1]Processed Data'!B182</f>
        <v>2020</v>
      </c>
      <c r="C145">
        <f>'[1]Processed Data'!C182</f>
        <v>58</v>
      </c>
      <c r="D145" t="str">
        <f>'[1]Processed Data'!D182</f>
        <v>John Wolford</v>
      </c>
      <c r="E145">
        <f>Table1[[#This Row],[Year]]</f>
        <v>2020</v>
      </c>
      <c r="F145">
        <f>'[1]Processed Data'!F182</f>
        <v>22</v>
      </c>
      <c r="G145">
        <f>'[1]Processed Data'!G182</f>
        <v>38</v>
      </c>
      <c r="H145">
        <f>'[1]Processed Data'!H182</f>
        <v>57.9</v>
      </c>
      <c r="I145">
        <f>'[1]Processed Data'!I182</f>
        <v>0</v>
      </c>
      <c r="J145">
        <f>'[1]Processed Data'!J182</f>
        <v>1</v>
      </c>
      <c r="K145">
        <f>'[1]Processed Data'!K182</f>
        <v>2</v>
      </c>
      <c r="L145">
        <f>'[1]Processed Data'!L182</f>
        <v>6</v>
      </c>
      <c r="M145">
        <f>'[1]Processed Data'!M182</f>
        <v>56</v>
      </c>
      <c r="N145">
        <f>'[1]Processed Data'!N182</f>
        <v>0</v>
      </c>
      <c r="O145">
        <f>'[1]Processed Data'!O182</f>
        <v>0</v>
      </c>
      <c r="P145">
        <f>'[1]Processed Data'!P182</f>
        <v>13.8</v>
      </c>
      <c r="Q145">
        <f>'[1]Processed Data'!Q182</f>
        <v>1</v>
      </c>
    </row>
    <row r="146" spans="2:17" hidden="1">
      <c r="B146">
        <f>'[1]Processed Data'!B183</f>
        <v>2020</v>
      </c>
      <c r="C146">
        <f>'[1]Processed Data'!C183</f>
        <v>59</v>
      </c>
      <c r="D146" t="str">
        <f>'[1]Processed Data'!D183</f>
        <v>P.J. Walker</v>
      </c>
      <c r="E146">
        <f>Table1[[#This Row],[Year]]</f>
        <v>2020</v>
      </c>
      <c r="F146">
        <f>'[1]Processed Data'!F183</f>
        <v>32</v>
      </c>
      <c r="G146">
        <f>'[1]Processed Data'!G183</f>
        <v>56</v>
      </c>
      <c r="H146">
        <f>'[1]Processed Data'!H183</f>
        <v>57.1</v>
      </c>
      <c r="I146">
        <f>'[1]Processed Data'!I183</f>
        <v>1</v>
      </c>
      <c r="J146">
        <f>'[1]Processed Data'!J183</f>
        <v>5</v>
      </c>
      <c r="K146">
        <f>'[1]Processed Data'!K183</f>
        <v>4</v>
      </c>
      <c r="L146">
        <f>'[1]Processed Data'!L183</f>
        <v>5</v>
      </c>
      <c r="M146">
        <f>'[1]Processed Data'!M183</f>
        <v>-2</v>
      </c>
      <c r="N146">
        <f>'[1]Processed Data'!N183</f>
        <v>0</v>
      </c>
      <c r="O146">
        <f>'[1]Processed Data'!O183</f>
        <v>0</v>
      </c>
      <c r="P146">
        <f>'[1]Processed Data'!P183</f>
        <v>13.5</v>
      </c>
      <c r="Q146">
        <f>'[1]Processed Data'!Q183</f>
        <v>4</v>
      </c>
    </row>
    <row r="147" spans="2:17" hidden="1">
      <c r="B147">
        <f>'[1]Processed Data'!B184</f>
        <v>2020</v>
      </c>
      <c r="C147">
        <f>'[1]Processed Data'!C184</f>
        <v>60</v>
      </c>
      <c r="D147" t="str">
        <f>'[1]Processed Data'!D184</f>
        <v>Taylor Heinicke</v>
      </c>
      <c r="E147">
        <f>Table1[[#This Row],[Year]]</f>
        <v>2020</v>
      </c>
      <c r="F147">
        <f>'[1]Processed Data'!F184</f>
        <v>12</v>
      </c>
      <c r="G147">
        <f>'[1]Processed Data'!G184</f>
        <v>19</v>
      </c>
      <c r="H147">
        <f>'[1]Processed Data'!H184</f>
        <v>63.2</v>
      </c>
      <c r="I147">
        <f>'[1]Processed Data'!I184</f>
        <v>1</v>
      </c>
      <c r="J147">
        <f>'[1]Processed Data'!J184</f>
        <v>0</v>
      </c>
      <c r="K147">
        <f>'[1]Processed Data'!K184</f>
        <v>1</v>
      </c>
      <c r="L147">
        <f>'[1]Processed Data'!L184</f>
        <v>3</v>
      </c>
      <c r="M147">
        <f>'[1]Processed Data'!M184</f>
        <v>22</v>
      </c>
      <c r="N147">
        <f>'[1]Processed Data'!N184</f>
        <v>0</v>
      </c>
      <c r="O147">
        <f>'[1]Processed Data'!O184</f>
        <v>0</v>
      </c>
      <c r="P147">
        <f>'[1]Processed Data'!P184</f>
        <v>11.7</v>
      </c>
      <c r="Q147">
        <f>'[1]Processed Data'!Q184</f>
        <v>1</v>
      </c>
    </row>
    <row r="148" spans="2:17" hidden="1">
      <c r="B148">
        <f>'[1]Processed Data'!B185</f>
        <v>2020</v>
      </c>
      <c r="C148">
        <f>'[1]Processed Data'!C185</f>
        <v>61</v>
      </c>
      <c r="D148" t="str">
        <f>'[1]Processed Data'!D185</f>
        <v>Matt Barkley</v>
      </c>
      <c r="E148">
        <f>Table1[[#This Row],[Year]]</f>
        <v>2020</v>
      </c>
      <c r="F148">
        <f>'[1]Processed Data'!F185</f>
        <v>11</v>
      </c>
      <c r="G148">
        <f>'[1]Processed Data'!G185</f>
        <v>21</v>
      </c>
      <c r="H148">
        <f>'[1]Processed Data'!H185</f>
        <v>52.4</v>
      </c>
      <c r="I148">
        <f>'[1]Processed Data'!I185</f>
        <v>1</v>
      </c>
      <c r="J148">
        <f>'[1]Processed Data'!J185</f>
        <v>1</v>
      </c>
      <c r="K148">
        <f>'[1]Processed Data'!K185</f>
        <v>1</v>
      </c>
      <c r="L148">
        <f>'[1]Processed Data'!L185</f>
        <v>6</v>
      </c>
      <c r="M148">
        <f>'[1]Processed Data'!M185</f>
        <v>-6</v>
      </c>
      <c r="N148">
        <f>'[1]Processed Data'!N185</f>
        <v>0</v>
      </c>
      <c r="O148">
        <f>'[1]Processed Data'!O185</f>
        <v>0</v>
      </c>
      <c r="P148">
        <f>'[1]Processed Data'!P185</f>
        <v>10.3</v>
      </c>
      <c r="Q148">
        <f>'[1]Processed Data'!Q185</f>
        <v>5</v>
      </c>
    </row>
    <row r="149" spans="2:17" hidden="1">
      <c r="B149">
        <f>'[1]Processed Data'!B186</f>
        <v>2020</v>
      </c>
      <c r="C149">
        <f>'[1]Processed Data'!C186</f>
        <v>62</v>
      </c>
      <c r="D149" t="str">
        <f>'[1]Processed Data'!D186</f>
        <v>Trace McSorley</v>
      </c>
      <c r="E149">
        <f>Table1[[#This Row],[Year]]</f>
        <v>2020</v>
      </c>
      <c r="F149">
        <f>'[1]Processed Data'!F186</f>
        <v>3</v>
      </c>
      <c r="G149">
        <f>'[1]Processed Data'!G186</f>
        <v>10</v>
      </c>
      <c r="H149">
        <f>'[1]Processed Data'!H186</f>
        <v>30</v>
      </c>
      <c r="I149">
        <f>'[1]Processed Data'!I186</f>
        <v>1</v>
      </c>
      <c r="J149">
        <f>'[1]Processed Data'!J186</f>
        <v>0</v>
      </c>
      <c r="K149">
        <f>'[1]Processed Data'!K186</f>
        <v>0</v>
      </c>
      <c r="L149">
        <f>'[1]Processed Data'!L186</f>
        <v>5</v>
      </c>
      <c r="M149">
        <f>'[1]Processed Data'!M186</f>
        <v>17</v>
      </c>
      <c r="N149">
        <f>'[1]Processed Data'!N186</f>
        <v>0</v>
      </c>
      <c r="O149">
        <f>'[1]Processed Data'!O186</f>
        <v>0</v>
      </c>
      <c r="P149">
        <f>'[1]Processed Data'!P186</f>
        <v>9.3000000000000007</v>
      </c>
      <c r="Q149">
        <f>'[1]Processed Data'!Q186</f>
        <v>2</v>
      </c>
    </row>
    <row r="150" spans="2:17" hidden="1">
      <c r="B150">
        <f>'[1]Processed Data'!B187</f>
        <v>2020</v>
      </c>
      <c r="C150">
        <f>'[1]Processed Data'!C187</f>
        <v>63</v>
      </c>
      <c r="D150" t="str">
        <f>'[1]Processed Data'!D187</f>
        <v>Tyrod Taylor</v>
      </c>
      <c r="E150">
        <f>Table1[[#This Row],[Year]]</f>
        <v>2020</v>
      </c>
      <c r="F150">
        <f>'[1]Processed Data'!F187</f>
        <v>16</v>
      </c>
      <c r="G150">
        <f>'[1]Processed Data'!G187</f>
        <v>30</v>
      </c>
      <c r="H150">
        <f>'[1]Processed Data'!H187</f>
        <v>53.3</v>
      </c>
      <c r="I150">
        <f>'[1]Processed Data'!I187</f>
        <v>0</v>
      </c>
      <c r="J150">
        <f>'[1]Processed Data'!J187</f>
        <v>0</v>
      </c>
      <c r="K150">
        <f>'[1]Processed Data'!K187</f>
        <v>2</v>
      </c>
      <c r="L150">
        <f>'[1]Processed Data'!L187</f>
        <v>6</v>
      </c>
      <c r="M150">
        <f>'[1]Processed Data'!M187</f>
        <v>7</v>
      </c>
      <c r="N150">
        <f>'[1]Processed Data'!N187</f>
        <v>0</v>
      </c>
      <c r="O150">
        <f>'[1]Processed Data'!O187</f>
        <v>0</v>
      </c>
      <c r="P150">
        <f>'[1]Processed Data'!P187</f>
        <v>9</v>
      </c>
      <c r="Q150">
        <f>'[1]Processed Data'!Q187</f>
        <v>2</v>
      </c>
    </row>
    <row r="151" spans="2:17" hidden="1">
      <c r="B151">
        <f>'[1]Processed Data'!B188</f>
        <v>2020</v>
      </c>
      <c r="C151">
        <f>'[1]Processed Data'!C188</f>
        <v>64</v>
      </c>
      <c r="D151" t="str">
        <f>'[1]Processed Data'!D188</f>
        <v>Chris Streveler</v>
      </c>
      <c r="E151">
        <f>Table1[[#This Row],[Year]]</f>
        <v>2020</v>
      </c>
      <c r="F151">
        <f>'[1]Processed Data'!F188</f>
        <v>11</v>
      </c>
      <c r="G151">
        <f>'[1]Processed Data'!G188</f>
        <v>16</v>
      </c>
      <c r="H151">
        <f>'[1]Processed Data'!H188</f>
        <v>68.8</v>
      </c>
      <c r="I151">
        <f>'[1]Processed Data'!I188</f>
        <v>1</v>
      </c>
      <c r="J151">
        <f>'[1]Processed Data'!J188</f>
        <v>1</v>
      </c>
      <c r="K151">
        <f>'[1]Processed Data'!K188</f>
        <v>2</v>
      </c>
      <c r="L151">
        <f>'[1]Processed Data'!L188</f>
        <v>4</v>
      </c>
      <c r="M151">
        <f>'[1]Processed Data'!M188</f>
        <v>15</v>
      </c>
      <c r="N151">
        <f>'[1]Processed Data'!N188</f>
        <v>0</v>
      </c>
      <c r="O151">
        <f>'[1]Processed Data'!O188</f>
        <v>0</v>
      </c>
      <c r="P151">
        <f>'[1]Processed Data'!P188</f>
        <v>8.6999999999999993</v>
      </c>
      <c r="Q151">
        <f>'[1]Processed Data'!Q188</f>
        <v>5</v>
      </c>
    </row>
    <row r="152" spans="2:17" hidden="1">
      <c r="B152">
        <f>'[1]Processed Data'!B189</f>
        <v>2020</v>
      </c>
      <c r="C152">
        <f>'[1]Processed Data'!C189</f>
        <v>65</v>
      </c>
      <c r="D152" t="str">
        <f>'[1]Processed Data'!D189</f>
        <v>Ben DiNucci</v>
      </c>
      <c r="E152">
        <f>Table1[[#This Row],[Year]]</f>
        <v>2020</v>
      </c>
      <c r="F152">
        <f>'[1]Processed Data'!F189</f>
        <v>23</v>
      </c>
      <c r="G152">
        <f>'[1]Processed Data'!G189</f>
        <v>43</v>
      </c>
      <c r="H152">
        <f>'[1]Processed Data'!H189</f>
        <v>53.5</v>
      </c>
      <c r="I152">
        <f>'[1]Processed Data'!I189</f>
        <v>0</v>
      </c>
      <c r="J152">
        <f>'[1]Processed Data'!J189</f>
        <v>0</v>
      </c>
      <c r="K152">
        <f>'[1]Processed Data'!K189</f>
        <v>7</v>
      </c>
      <c r="L152">
        <f>'[1]Processed Data'!L189</f>
        <v>6</v>
      </c>
      <c r="M152">
        <f>'[1]Processed Data'!M189</f>
        <v>22</v>
      </c>
      <c r="N152">
        <f>'[1]Processed Data'!N189</f>
        <v>0</v>
      </c>
      <c r="O152">
        <f>'[1]Processed Data'!O189</f>
        <v>2</v>
      </c>
      <c r="P152">
        <f>'[1]Processed Data'!P189</f>
        <v>7</v>
      </c>
      <c r="Q152">
        <f>'[1]Processed Data'!Q189</f>
        <v>3</v>
      </c>
    </row>
    <row r="153" spans="2:17" hidden="1">
      <c r="B153">
        <f>'[1]Processed Data'!B190</f>
        <v>2020</v>
      </c>
      <c r="C153">
        <f>'[1]Processed Data'!C190</f>
        <v>66</v>
      </c>
      <c r="D153" t="str">
        <f>'[1]Processed Data'!D190</f>
        <v>Robert Griffin III</v>
      </c>
      <c r="E153">
        <f>Table1[[#This Row],[Year]]</f>
        <v>2020</v>
      </c>
      <c r="F153">
        <f>'[1]Processed Data'!F190</f>
        <v>8</v>
      </c>
      <c r="G153">
        <f>'[1]Processed Data'!G190</f>
        <v>14</v>
      </c>
      <c r="H153">
        <f>'[1]Processed Data'!H190</f>
        <v>57.1</v>
      </c>
      <c r="I153">
        <f>'[1]Processed Data'!I190</f>
        <v>0</v>
      </c>
      <c r="J153">
        <f>'[1]Processed Data'!J190</f>
        <v>2</v>
      </c>
      <c r="K153">
        <f>'[1]Processed Data'!K190</f>
        <v>3</v>
      </c>
      <c r="L153">
        <f>'[1]Processed Data'!L190</f>
        <v>12</v>
      </c>
      <c r="M153">
        <f>'[1]Processed Data'!M190</f>
        <v>69</v>
      </c>
      <c r="N153">
        <f>'[1]Processed Data'!N190</f>
        <v>0</v>
      </c>
      <c r="O153">
        <f>'[1]Processed Data'!O190</f>
        <v>1</v>
      </c>
      <c r="P153">
        <f>'[1]Processed Data'!P190</f>
        <v>4.5999999999999996</v>
      </c>
      <c r="Q153">
        <f>'[1]Processed Data'!Q190</f>
        <v>4</v>
      </c>
    </row>
    <row r="154" spans="2:17" hidden="1">
      <c r="B154">
        <f>'[1]Processed Data'!B191</f>
        <v>2020</v>
      </c>
      <c r="C154">
        <f>'[1]Processed Data'!C191</f>
        <v>67</v>
      </c>
      <c r="D154" t="str">
        <f>'[1]Processed Data'!D191</f>
        <v>Brian Hoyer</v>
      </c>
      <c r="E154">
        <f>Table1[[#This Row],[Year]]</f>
        <v>2020</v>
      </c>
      <c r="F154">
        <f>'[1]Processed Data'!F191</f>
        <v>15</v>
      </c>
      <c r="G154">
        <f>'[1]Processed Data'!G191</f>
        <v>24</v>
      </c>
      <c r="H154">
        <f>'[1]Processed Data'!H191</f>
        <v>62.5</v>
      </c>
      <c r="I154">
        <f>'[1]Processed Data'!I191</f>
        <v>0</v>
      </c>
      <c r="J154">
        <f>'[1]Processed Data'!J191</f>
        <v>1</v>
      </c>
      <c r="K154">
        <f>'[1]Processed Data'!K191</f>
        <v>2</v>
      </c>
      <c r="L154">
        <f>'[1]Processed Data'!L191</f>
        <v>1</v>
      </c>
      <c r="M154">
        <f>'[1]Processed Data'!M191</f>
        <v>8</v>
      </c>
      <c r="N154">
        <f>'[1]Processed Data'!N191</f>
        <v>0</v>
      </c>
      <c r="O154">
        <f>'[1]Processed Data'!O191</f>
        <v>1</v>
      </c>
      <c r="P154">
        <f>'[1]Processed Data'!P191</f>
        <v>3</v>
      </c>
      <c r="Q154">
        <f>'[1]Processed Data'!Q191</f>
        <v>1</v>
      </c>
    </row>
    <row r="155" spans="2:17" hidden="1">
      <c r="B155">
        <f>'[1]Processed Data'!B192</f>
        <v>2020</v>
      </c>
      <c r="C155">
        <f>'[1]Processed Data'!C192</f>
        <v>68</v>
      </c>
      <c r="D155" t="str">
        <f>'[1]Processed Data'!D192</f>
        <v>Tyler Huntley</v>
      </c>
      <c r="E155">
        <f>Table1[[#This Row],[Year]]</f>
        <v>2020</v>
      </c>
      <c r="F155">
        <f>'[1]Processed Data'!F192</f>
        <v>3</v>
      </c>
      <c r="G155">
        <f>'[1]Processed Data'!G192</f>
        <v>5</v>
      </c>
      <c r="H155">
        <f>'[1]Processed Data'!H192</f>
        <v>60</v>
      </c>
      <c r="I155">
        <f>'[1]Processed Data'!I192</f>
        <v>0</v>
      </c>
      <c r="J155">
        <f>'[1]Processed Data'!J192</f>
        <v>0</v>
      </c>
      <c r="K155">
        <f>'[1]Processed Data'!K192</f>
        <v>0</v>
      </c>
      <c r="L155">
        <f>'[1]Processed Data'!L192</f>
        <v>10</v>
      </c>
      <c r="M155">
        <f>'[1]Processed Data'!M192</f>
        <v>23</v>
      </c>
      <c r="N155">
        <f>'[1]Processed Data'!N192</f>
        <v>0</v>
      </c>
      <c r="O155">
        <f>'[1]Processed Data'!O192</f>
        <v>0</v>
      </c>
      <c r="P155">
        <f>'[1]Processed Data'!P192</f>
        <v>2.9</v>
      </c>
      <c r="Q155">
        <f>'[1]Processed Data'!Q192</f>
        <v>2</v>
      </c>
    </row>
    <row r="156" spans="2:17" hidden="1">
      <c r="B156">
        <f>'[1]Processed Data'!B193</f>
        <v>2020</v>
      </c>
      <c r="C156">
        <f>'[1]Processed Data'!C193</f>
        <v>69</v>
      </c>
      <c r="D156" t="str">
        <f>'[1]Processed Data'!D193</f>
        <v>David Blough</v>
      </c>
      <c r="E156">
        <f>Table1[[#This Row],[Year]]</f>
        <v>2020</v>
      </c>
      <c r="F156">
        <f>'[1]Processed Data'!F193</f>
        <v>6</v>
      </c>
      <c r="G156">
        <f>'[1]Processed Data'!G193</f>
        <v>10</v>
      </c>
      <c r="H156">
        <f>'[1]Processed Data'!H193</f>
        <v>60</v>
      </c>
      <c r="I156">
        <f>'[1]Processed Data'!I193</f>
        <v>0</v>
      </c>
      <c r="J156">
        <f>'[1]Processed Data'!J193</f>
        <v>1</v>
      </c>
      <c r="K156">
        <f>'[1]Processed Data'!K193</f>
        <v>1</v>
      </c>
      <c r="L156">
        <f>'[1]Processed Data'!L193</f>
        <v>1</v>
      </c>
      <c r="M156">
        <f>'[1]Processed Data'!M193</f>
        <v>18</v>
      </c>
      <c r="N156">
        <f>'[1]Processed Data'!N193</f>
        <v>0</v>
      </c>
      <c r="O156">
        <f>'[1]Processed Data'!O193</f>
        <v>0</v>
      </c>
      <c r="P156">
        <f>'[1]Processed Data'!P193</f>
        <v>2.8</v>
      </c>
      <c r="Q156">
        <f>'[1]Processed Data'!Q193</f>
        <v>1</v>
      </c>
    </row>
    <row r="157" spans="2:17" hidden="1">
      <c r="B157">
        <f>'[1]Processed Data'!B194</f>
        <v>2020</v>
      </c>
      <c r="C157">
        <f>'[1]Processed Data'!C194</f>
        <v>70</v>
      </c>
      <c r="D157" t="str">
        <f>'[1]Processed Data'!D194</f>
        <v>Tommy Stevens</v>
      </c>
      <c r="E157">
        <f>Table1[[#This Row],[Year]]</f>
        <v>2020</v>
      </c>
      <c r="F157">
        <f>'[1]Processed Data'!F194</f>
        <v>0</v>
      </c>
      <c r="G157">
        <f>'[1]Processed Data'!G194</f>
        <v>0</v>
      </c>
      <c r="H157">
        <f>'[1]Processed Data'!H194</f>
        <v>0</v>
      </c>
      <c r="I157">
        <f>'[1]Processed Data'!I194</f>
        <v>0</v>
      </c>
      <c r="J157">
        <f>'[1]Processed Data'!J194</f>
        <v>0</v>
      </c>
      <c r="K157">
        <f>'[1]Processed Data'!K194</f>
        <v>0</v>
      </c>
      <c r="L157">
        <f>'[1]Processed Data'!L194</f>
        <v>4</v>
      </c>
      <c r="M157">
        <f>'[1]Processed Data'!M194</f>
        <v>24</v>
      </c>
      <c r="N157">
        <f>'[1]Processed Data'!N194</f>
        <v>0</v>
      </c>
      <c r="O157">
        <f>'[1]Processed Data'!O194</f>
        <v>0</v>
      </c>
      <c r="P157">
        <f>'[1]Processed Data'!P194</f>
        <v>2.4</v>
      </c>
      <c r="Q157">
        <f>'[1]Processed Data'!Q194</f>
        <v>1</v>
      </c>
    </row>
    <row r="158" spans="2:17" hidden="1">
      <c r="B158">
        <f>'[1]Processed Data'!B195</f>
        <v>2020</v>
      </c>
      <c r="C158">
        <f>'[1]Processed Data'!C195</f>
        <v>71</v>
      </c>
      <c r="D158" t="str">
        <f>'[1]Processed Data'!D195</f>
        <v>Jameis Winston</v>
      </c>
      <c r="E158">
        <f>Table1[[#This Row],[Year]]</f>
        <v>2020</v>
      </c>
      <c r="F158">
        <f>'[1]Processed Data'!F195</f>
        <v>7</v>
      </c>
      <c r="G158">
        <f>'[1]Processed Data'!G195</f>
        <v>11</v>
      </c>
      <c r="H158">
        <f>'[1]Processed Data'!H195</f>
        <v>63.6</v>
      </c>
      <c r="I158">
        <f>'[1]Processed Data'!I195</f>
        <v>0</v>
      </c>
      <c r="J158">
        <f>'[1]Processed Data'!J195</f>
        <v>0</v>
      </c>
      <c r="K158">
        <f>'[1]Processed Data'!K195</f>
        <v>2</v>
      </c>
      <c r="L158">
        <f>'[1]Processed Data'!L195</f>
        <v>8</v>
      </c>
      <c r="M158">
        <f>'[1]Processed Data'!M195</f>
        <v>-6</v>
      </c>
      <c r="N158">
        <f>'[1]Processed Data'!N195</f>
        <v>0</v>
      </c>
      <c r="O158">
        <f>'[1]Processed Data'!O195</f>
        <v>0</v>
      </c>
      <c r="P158">
        <f>'[1]Processed Data'!P195</f>
        <v>2.4</v>
      </c>
      <c r="Q158">
        <f>'[1]Processed Data'!Q195</f>
        <v>4</v>
      </c>
    </row>
    <row r="159" spans="2:17" hidden="1">
      <c r="B159">
        <f>'[1]Processed Data'!B196</f>
        <v>2020</v>
      </c>
      <c r="C159">
        <f>'[1]Processed Data'!C196</f>
        <v>72</v>
      </c>
      <c r="D159" t="str">
        <f>'[1]Processed Data'!D196</f>
        <v>Joshua Dobbs</v>
      </c>
      <c r="E159">
        <f>Table1[[#This Row],[Year]]</f>
        <v>2020</v>
      </c>
      <c r="F159">
        <f>'[1]Processed Data'!F196</f>
        <v>4</v>
      </c>
      <c r="G159">
        <f>'[1]Processed Data'!G196</f>
        <v>5</v>
      </c>
      <c r="H159">
        <f>'[1]Processed Data'!H196</f>
        <v>80</v>
      </c>
      <c r="I159">
        <f>'[1]Processed Data'!I196</f>
        <v>0</v>
      </c>
      <c r="J159">
        <f>'[1]Processed Data'!J196</f>
        <v>0</v>
      </c>
      <c r="K159">
        <f>'[1]Processed Data'!K196</f>
        <v>0</v>
      </c>
      <c r="L159">
        <f>'[1]Processed Data'!L196</f>
        <v>2</v>
      </c>
      <c r="M159">
        <f>'[1]Processed Data'!M196</f>
        <v>20</v>
      </c>
      <c r="N159">
        <f>'[1]Processed Data'!N196</f>
        <v>0</v>
      </c>
      <c r="O159">
        <f>'[1]Processed Data'!O196</f>
        <v>0</v>
      </c>
      <c r="P159">
        <f>'[1]Processed Data'!P196</f>
        <v>2.1</v>
      </c>
      <c r="Q159">
        <f>'[1]Processed Data'!Q196</f>
        <v>1</v>
      </c>
    </row>
    <row r="160" spans="2:17" hidden="1">
      <c r="B160">
        <f>'[1]Processed Data'!B197</f>
        <v>2020</v>
      </c>
      <c r="C160">
        <f>'[1]Processed Data'!C197</f>
        <v>73</v>
      </c>
      <c r="D160" t="str">
        <f>'[1]Processed Data'!D197</f>
        <v>Nathan Peterman</v>
      </c>
      <c r="E160">
        <f>Table1[[#This Row],[Year]]</f>
        <v>2020</v>
      </c>
      <c r="F160">
        <f>'[1]Processed Data'!F197</f>
        <v>3</v>
      </c>
      <c r="G160">
        <f>'[1]Processed Data'!G197</f>
        <v>5</v>
      </c>
      <c r="H160">
        <f>'[1]Processed Data'!H197</f>
        <v>60</v>
      </c>
      <c r="I160">
        <f>'[1]Processed Data'!I197</f>
        <v>0</v>
      </c>
      <c r="J160">
        <f>'[1]Processed Data'!J197</f>
        <v>0</v>
      </c>
      <c r="K160">
        <f>'[1]Processed Data'!K197</f>
        <v>2</v>
      </c>
      <c r="L160">
        <f>'[1]Processed Data'!L197</f>
        <v>1</v>
      </c>
      <c r="M160">
        <f>'[1]Processed Data'!M197</f>
        <v>9</v>
      </c>
      <c r="N160">
        <f>'[1]Processed Data'!N197</f>
        <v>0</v>
      </c>
      <c r="O160">
        <f>'[1]Processed Data'!O197</f>
        <v>0</v>
      </c>
      <c r="P160">
        <f>'[1]Processed Data'!P197</f>
        <v>1.9</v>
      </c>
      <c r="Q160">
        <f>'[1]Processed Data'!Q197</f>
        <v>1</v>
      </c>
    </row>
    <row r="161" spans="2:17" hidden="1">
      <c r="B161">
        <f>'[1]Processed Data'!B198</f>
        <v>2020</v>
      </c>
      <c r="C161">
        <f>'[1]Processed Data'!C198</f>
        <v>74</v>
      </c>
      <c r="D161" t="str">
        <f>'[1]Processed Data'!D198</f>
        <v>Case Keenum</v>
      </c>
      <c r="E161">
        <f>Table1[[#This Row],[Year]]</f>
        <v>2020</v>
      </c>
      <c r="F161">
        <f>'[1]Processed Data'!F198</f>
        <v>5</v>
      </c>
      <c r="G161">
        <f>'[1]Processed Data'!G198</f>
        <v>10</v>
      </c>
      <c r="H161">
        <f>'[1]Processed Data'!H198</f>
        <v>50</v>
      </c>
      <c r="I161">
        <f>'[1]Processed Data'!I198</f>
        <v>0</v>
      </c>
      <c r="J161">
        <f>'[1]Processed Data'!J198</f>
        <v>0</v>
      </c>
      <c r="K161">
        <f>'[1]Processed Data'!K198</f>
        <v>0</v>
      </c>
      <c r="L161">
        <f>'[1]Processed Data'!L198</f>
        <v>0</v>
      </c>
      <c r="M161">
        <f>'[1]Processed Data'!M198</f>
        <v>0</v>
      </c>
      <c r="N161">
        <f>'[1]Processed Data'!N198</f>
        <v>0</v>
      </c>
      <c r="O161">
        <f>'[1]Processed Data'!O198</f>
        <v>0</v>
      </c>
      <c r="P161">
        <f>'[1]Processed Data'!P198</f>
        <v>1.8</v>
      </c>
      <c r="Q161">
        <f>'[1]Processed Data'!Q198</f>
        <v>2</v>
      </c>
    </row>
    <row r="162" spans="2:17" hidden="1">
      <c r="B162">
        <f>'[1]Processed Data'!B199</f>
        <v>2020</v>
      </c>
      <c r="C162">
        <f>'[1]Processed Data'!C199</f>
        <v>75</v>
      </c>
      <c r="D162" t="str">
        <f>'[1]Processed Data'!D199</f>
        <v>Logan Woodside</v>
      </c>
      <c r="E162">
        <f>Table1[[#This Row],[Year]]</f>
        <v>2020</v>
      </c>
      <c r="F162">
        <f>'[1]Processed Data'!F199</f>
        <v>1</v>
      </c>
      <c r="G162">
        <f>'[1]Processed Data'!G199</f>
        <v>3</v>
      </c>
      <c r="H162">
        <f>'[1]Processed Data'!H199</f>
        <v>33.299999999999997</v>
      </c>
      <c r="I162">
        <f>'[1]Processed Data'!I199</f>
        <v>0</v>
      </c>
      <c r="J162">
        <f>'[1]Processed Data'!J199</f>
        <v>0</v>
      </c>
      <c r="K162">
        <f>'[1]Processed Data'!K199</f>
        <v>0</v>
      </c>
      <c r="L162">
        <f>'[1]Processed Data'!L199</f>
        <v>7</v>
      </c>
      <c r="M162">
        <f>'[1]Processed Data'!M199</f>
        <v>10</v>
      </c>
      <c r="N162">
        <f>'[1]Processed Data'!N199</f>
        <v>0</v>
      </c>
      <c r="O162">
        <f>'[1]Processed Data'!O199</f>
        <v>0</v>
      </c>
      <c r="P162">
        <f>'[1]Processed Data'!P199</f>
        <v>1.3</v>
      </c>
      <c r="Q162">
        <f>'[1]Processed Data'!Q199</f>
        <v>6</v>
      </c>
    </row>
    <row r="163" spans="2:17" hidden="1">
      <c r="B163">
        <f>'[1]Processed Data'!B200</f>
        <v>2020</v>
      </c>
      <c r="C163">
        <f>'[1]Processed Data'!C200</f>
        <v>76</v>
      </c>
      <c r="D163" t="str">
        <f>'[1]Processed Data'!D200</f>
        <v>Geno Smith</v>
      </c>
      <c r="E163">
        <f>Table1[[#This Row],[Year]]</f>
        <v>2020</v>
      </c>
      <c r="F163">
        <f>'[1]Processed Data'!F200</f>
        <v>4</v>
      </c>
      <c r="G163">
        <f>'[1]Processed Data'!G200</f>
        <v>5</v>
      </c>
      <c r="H163">
        <f>'[1]Processed Data'!H200</f>
        <v>80</v>
      </c>
      <c r="I163">
        <f>'[1]Processed Data'!I200</f>
        <v>0</v>
      </c>
      <c r="J163">
        <f>'[1]Processed Data'!J200</f>
        <v>0</v>
      </c>
      <c r="K163">
        <f>'[1]Processed Data'!K200</f>
        <v>1</v>
      </c>
      <c r="L163">
        <f>'[1]Processed Data'!L200</f>
        <v>2</v>
      </c>
      <c r="M163">
        <f>'[1]Processed Data'!M200</f>
        <v>-2</v>
      </c>
      <c r="N163">
        <f>'[1]Processed Data'!N200</f>
        <v>0</v>
      </c>
      <c r="O163">
        <f>'[1]Processed Data'!O200</f>
        <v>0</v>
      </c>
      <c r="P163">
        <f>'[1]Processed Data'!P200</f>
        <v>1.1000000000000001</v>
      </c>
      <c r="Q163">
        <f>'[1]Processed Data'!Q200</f>
        <v>1</v>
      </c>
    </row>
    <row r="164" spans="2:17" hidden="1">
      <c r="B164">
        <f>'[1]Processed Data'!B201</f>
        <v>2020</v>
      </c>
      <c r="C164">
        <f>'[1]Processed Data'!C201</f>
        <v>77</v>
      </c>
      <c r="D164" t="str">
        <f>'[1]Processed Data'!D201</f>
        <v>AJ McCarron</v>
      </c>
      <c r="E164">
        <f>Table1[[#This Row],[Year]]</f>
        <v>2020</v>
      </c>
      <c r="F164">
        <f>'[1]Processed Data'!F201</f>
        <v>1</v>
      </c>
      <c r="G164">
        <f>'[1]Processed Data'!G201</f>
        <v>1</v>
      </c>
      <c r="H164">
        <f>'[1]Processed Data'!H201</f>
        <v>100</v>
      </c>
      <c r="I164">
        <f>'[1]Processed Data'!I201</f>
        <v>0</v>
      </c>
      <c r="J164">
        <f>'[1]Processed Data'!J201</f>
        <v>0</v>
      </c>
      <c r="K164">
        <f>'[1]Processed Data'!K201</f>
        <v>1</v>
      </c>
      <c r="L164">
        <f>'[1]Processed Data'!L201</f>
        <v>0</v>
      </c>
      <c r="M164">
        <f>'[1]Processed Data'!M201</f>
        <v>0</v>
      </c>
      <c r="N164">
        <f>'[1]Processed Data'!N201</f>
        <v>0</v>
      </c>
      <c r="O164">
        <f>'[1]Processed Data'!O201</f>
        <v>0</v>
      </c>
      <c r="P164">
        <f>'[1]Processed Data'!P201</f>
        <v>0.8</v>
      </c>
      <c r="Q164">
        <f>'[1]Processed Data'!Q201</f>
        <v>2</v>
      </c>
    </row>
    <row r="165" spans="2:17" hidden="1">
      <c r="B165">
        <f>'[1]Processed Data'!B202</f>
        <v>2020</v>
      </c>
      <c r="C165">
        <f>'[1]Processed Data'!C202</f>
        <v>78</v>
      </c>
      <c r="D165" t="str">
        <f>'[1]Processed Data'!D202</f>
        <v>Tyler Bray</v>
      </c>
      <c r="E165">
        <f>Table1[[#This Row],[Year]]</f>
        <v>2020</v>
      </c>
      <c r="F165">
        <f>'[1]Processed Data'!F202</f>
        <v>1</v>
      </c>
      <c r="G165">
        <f>'[1]Processed Data'!G202</f>
        <v>5</v>
      </c>
      <c r="H165">
        <f>'[1]Processed Data'!H202</f>
        <v>20</v>
      </c>
      <c r="I165">
        <f>'[1]Processed Data'!I202</f>
        <v>0</v>
      </c>
      <c r="J165">
        <f>'[1]Processed Data'!J202</f>
        <v>0</v>
      </c>
      <c r="K165">
        <f>'[1]Processed Data'!K202</f>
        <v>0</v>
      </c>
      <c r="L165">
        <f>'[1]Processed Data'!L202</f>
        <v>0</v>
      </c>
      <c r="M165">
        <f>'[1]Processed Data'!M202</f>
        <v>0</v>
      </c>
      <c r="N165">
        <f>'[1]Processed Data'!N202</f>
        <v>0</v>
      </c>
      <c r="O165">
        <f>'[1]Processed Data'!O202</f>
        <v>0</v>
      </c>
      <c r="P165">
        <f>'[1]Processed Data'!P202</f>
        <v>0.7</v>
      </c>
      <c r="Q165">
        <f>'[1]Processed Data'!Q202</f>
        <v>1</v>
      </c>
    </row>
    <row r="166" spans="2:17" hidden="1">
      <c r="B166">
        <f>'[1]Processed Data'!B203</f>
        <v>2020</v>
      </c>
      <c r="C166">
        <f>'[1]Processed Data'!C203</f>
        <v>79</v>
      </c>
      <c r="D166" t="str">
        <f>'[1]Processed Data'!D203</f>
        <v>John Lovett</v>
      </c>
      <c r="E166">
        <f>Table1[[#This Row],[Year]]</f>
        <v>2020</v>
      </c>
      <c r="F166">
        <f>'[1]Processed Data'!F203</f>
        <v>0</v>
      </c>
      <c r="G166">
        <f>'[1]Processed Data'!G203</f>
        <v>0</v>
      </c>
      <c r="H166">
        <f>'[1]Processed Data'!H203</f>
        <v>0</v>
      </c>
      <c r="I166">
        <f>'[1]Processed Data'!I203</f>
        <v>0</v>
      </c>
      <c r="J166">
        <f>'[1]Processed Data'!J203</f>
        <v>0</v>
      </c>
      <c r="K166">
        <f>'[1]Processed Data'!K203</f>
        <v>0</v>
      </c>
      <c r="L166">
        <f>'[1]Processed Data'!L203</f>
        <v>3</v>
      </c>
      <c r="M166">
        <f>'[1]Processed Data'!M203</f>
        <v>6</v>
      </c>
      <c r="N166">
        <f>'[1]Processed Data'!N203</f>
        <v>0</v>
      </c>
      <c r="O166">
        <f>'[1]Processed Data'!O203</f>
        <v>0</v>
      </c>
      <c r="P166">
        <f>'[1]Processed Data'!P203</f>
        <v>0.6</v>
      </c>
      <c r="Q166">
        <f>'[1]Processed Data'!Q203</f>
        <v>8</v>
      </c>
    </row>
    <row r="167" spans="2:17" hidden="1">
      <c r="B167">
        <f>'[1]Processed Data'!B205</f>
        <v>2020</v>
      </c>
      <c r="C167">
        <f>'[1]Processed Data'!C205</f>
        <v>81</v>
      </c>
      <c r="D167" t="str">
        <f>'[1]Processed Data'!D205</f>
        <v>Easton Stick</v>
      </c>
      <c r="E167">
        <f>Table1[[#This Row],[Year]]</f>
        <v>2020</v>
      </c>
      <c r="F167">
        <f>'[1]Processed Data'!F205</f>
        <v>1</v>
      </c>
      <c r="G167">
        <f>'[1]Processed Data'!G205</f>
        <v>1</v>
      </c>
      <c r="H167">
        <f>'[1]Processed Data'!H205</f>
        <v>100</v>
      </c>
      <c r="I167">
        <f>'[1]Processed Data'!I205</f>
        <v>0</v>
      </c>
      <c r="J167">
        <f>'[1]Processed Data'!J205</f>
        <v>0</v>
      </c>
      <c r="K167">
        <f>'[1]Processed Data'!K205</f>
        <v>0</v>
      </c>
      <c r="L167">
        <f>'[1]Processed Data'!L205</f>
        <v>1</v>
      </c>
      <c r="M167">
        <f>'[1]Processed Data'!M205</f>
        <v>-2</v>
      </c>
      <c r="N167">
        <f>'[1]Processed Data'!N205</f>
        <v>0</v>
      </c>
      <c r="O167">
        <f>'[1]Processed Data'!O205</f>
        <v>0</v>
      </c>
      <c r="P167">
        <f>'[1]Processed Data'!P205</f>
        <v>0</v>
      </c>
      <c r="Q167">
        <f>'[1]Processed Data'!Q205</f>
        <v>1</v>
      </c>
    </row>
    <row r="168" spans="2:17" hidden="1">
      <c r="B168">
        <f>'[1]Processed Data'!B238</f>
        <v>2020</v>
      </c>
      <c r="C168">
        <f>'[1]Processed Data'!C238</f>
        <v>114</v>
      </c>
      <c r="D168" t="str">
        <f>'[1]Processed Data'!D238</f>
        <v>Joe Webb III</v>
      </c>
      <c r="E168">
        <f>Table1[[#This Row],[Year]]</f>
        <v>2020</v>
      </c>
      <c r="F168">
        <f>'[1]Processed Data'!F238</f>
        <v>0</v>
      </c>
      <c r="G168">
        <f>'[1]Processed Data'!G238</f>
        <v>0</v>
      </c>
      <c r="H168">
        <f>'[1]Processed Data'!H238</f>
        <v>0</v>
      </c>
      <c r="I168">
        <f>'[1]Processed Data'!I238</f>
        <v>0</v>
      </c>
      <c r="J168">
        <f>'[1]Processed Data'!J238</f>
        <v>0</v>
      </c>
      <c r="K168">
        <f>'[1]Processed Data'!K238</f>
        <v>0</v>
      </c>
      <c r="L168">
        <f>'[1]Processed Data'!L238</f>
        <v>0</v>
      </c>
      <c r="M168">
        <f>'[1]Processed Data'!M238</f>
        <v>0</v>
      </c>
      <c r="N168">
        <f>'[1]Processed Data'!N238</f>
        <v>0</v>
      </c>
      <c r="O168">
        <f>'[1]Processed Data'!O238</f>
        <v>0</v>
      </c>
      <c r="P168">
        <f>'[1]Processed Data'!P238</f>
        <v>0</v>
      </c>
      <c r="Q168">
        <f>'[1]Processed Data'!Q238</f>
        <v>2</v>
      </c>
    </row>
    <row r="169" spans="2:17" hidden="1">
      <c r="B169">
        <f>'[1]Processed Data'!B246</f>
        <v>2020</v>
      </c>
      <c r="C169">
        <f>'[1]Processed Data'!C246</f>
        <v>122</v>
      </c>
      <c r="D169" t="str">
        <f>'[1]Processed Data'!D246</f>
        <v>Mike White</v>
      </c>
      <c r="E169">
        <f>Table1[[#This Row],[Year]]</f>
        <v>2020</v>
      </c>
      <c r="F169">
        <f>'[1]Processed Data'!F246</f>
        <v>0</v>
      </c>
      <c r="G169">
        <f>'[1]Processed Data'!G246</f>
        <v>0</v>
      </c>
      <c r="H169">
        <f>'[1]Processed Data'!H246</f>
        <v>0</v>
      </c>
      <c r="I169">
        <f>'[1]Processed Data'!I246</f>
        <v>0</v>
      </c>
      <c r="J169">
        <f>'[1]Processed Data'!J246</f>
        <v>0</v>
      </c>
      <c r="K169">
        <f>'[1]Processed Data'!K246</f>
        <v>0</v>
      </c>
      <c r="L169">
        <f>'[1]Processed Data'!L246</f>
        <v>0</v>
      </c>
      <c r="M169">
        <f>'[1]Processed Data'!M246</f>
        <v>0</v>
      </c>
      <c r="N169">
        <f>'[1]Processed Data'!N246</f>
        <v>0</v>
      </c>
      <c r="O169">
        <f>'[1]Processed Data'!O246</f>
        <v>0</v>
      </c>
      <c r="P169">
        <f>'[1]Processed Data'!P246</f>
        <v>0</v>
      </c>
      <c r="Q169">
        <f>'[1]Processed Data'!Q246</f>
        <v>1</v>
      </c>
    </row>
    <row r="170" spans="2:17" hidden="1">
      <c r="B170">
        <f>'[1]Processed Data'!B253</f>
        <v>2020</v>
      </c>
      <c r="C170">
        <f>'[1]Processed Data'!C253</f>
        <v>129</v>
      </c>
      <c r="D170" t="str">
        <f>'[1]Processed Data'!D253</f>
        <v>Matt Schaub</v>
      </c>
      <c r="E170">
        <f>Table1[[#This Row],[Year]]</f>
        <v>2020</v>
      </c>
      <c r="F170">
        <f>'[1]Processed Data'!F253</f>
        <v>0</v>
      </c>
      <c r="G170">
        <f>'[1]Processed Data'!G253</f>
        <v>0</v>
      </c>
      <c r="H170">
        <f>'[1]Processed Data'!H253</f>
        <v>0</v>
      </c>
      <c r="I170">
        <f>'[1]Processed Data'!I253</f>
        <v>0</v>
      </c>
      <c r="J170">
        <f>'[1]Processed Data'!J253</f>
        <v>0</v>
      </c>
      <c r="K170">
        <f>'[1]Processed Data'!K253</f>
        <v>0</v>
      </c>
      <c r="L170">
        <f>'[1]Processed Data'!L253</f>
        <v>3</v>
      </c>
      <c r="M170">
        <f>'[1]Processed Data'!M253</f>
        <v>-4</v>
      </c>
      <c r="N170">
        <f>'[1]Processed Data'!N253</f>
        <v>0</v>
      </c>
      <c r="O170">
        <f>'[1]Processed Data'!O253</f>
        <v>0</v>
      </c>
      <c r="P170">
        <f>'[1]Processed Data'!P253</f>
        <v>-0.4</v>
      </c>
      <c r="Q170">
        <f>'[1]Processed Data'!Q253</f>
        <v>1</v>
      </c>
    </row>
    <row r="171" spans="2:17" hidden="1">
      <c r="B171">
        <f>'[1]Processed Data'!B254</f>
        <v>2020</v>
      </c>
      <c r="C171">
        <f>'[1]Processed Data'!C254</f>
        <v>130</v>
      </c>
      <c r="D171" t="str">
        <f>'[1]Processed Data'!D254</f>
        <v>Nate Sudfeld</v>
      </c>
      <c r="E171">
        <f>Table1[[#This Row],[Year]]</f>
        <v>2020</v>
      </c>
      <c r="F171">
        <f>'[1]Processed Data'!F254</f>
        <v>5</v>
      </c>
      <c r="G171">
        <f>'[1]Processed Data'!G254</f>
        <v>12</v>
      </c>
      <c r="H171">
        <f>'[1]Processed Data'!H254</f>
        <v>41.7</v>
      </c>
      <c r="I171">
        <f>'[1]Processed Data'!I254</f>
        <v>0</v>
      </c>
      <c r="J171">
        <f>'[1]Processed Data'!J254</f>
        <v>1</v>
      </c>
      <c r="K171">
        <f>'[1]Processed Data'!K254</f>
        <v>2</v>
      </c>
      <c r="L171">
        <f>'[1]Processed Data'!L254</f>
        <v>2</v>
      </c>
      <c r="M171">
        <f>'[1]Processed Data'!M254</f>
        <v>12</v>
      </c>
      <c r="N171">
        <f>'[1]Processed Data'!N254</f>
        <v>0</v>
      </c>
      <c r="O171">
        <f>'[1]Processed Data'!O254</f>
        <v>1</v>
      </c>
      <c r="P171">
        <f>'[1]Processed Data'!P254</f>
        <v>-0.5</v>
      </c>
      <c r="Q171">
        <f>'[1]Processed Data'!Q254</f>
        <v>1</v>
      </c>
    </row>
    <row r="172" spans="2:17" hidden="1">
      <c r="B172">
        <f>'[1]Processed Data'!B255</f>
        <v>2020</v>
      </c>
      <c r="C172">
        <f>'[1]Processed Data'!C255</f>
        <v>131</v>
      </c>
      <c r="D172" t="str">
        <f>'[1]Processed Data'!D255</f>
        <v>Tim Boyle</v>
      </c>
      <c r="E172">
        <f>Table1[[#This Row],[Year]]</f>
        <v>2020</v>
      </c>
      <c r="F172">
        <f>'[1]Processed Data'!F255</f>
        <v>0</v>
      </c>
      <c r="G172">
        <f>'[1]Processed Data'!G255</f>
        <v>0</v>
      </c>
      <c r="H172">
        <f>'[1]Processed Data'!H255</f>
        <v>0</v>
      </c>
      <c r="I172">
        <f>'[1]Processed Data'!I255</f>
        <v>0</v>
      </c>
      <c r="J172">
        <f>'[1]Processed Data'!J255</f>
        <v>0</v>
      </c>
      <c r="K172">
        <f>'[1]Processed Data'!K255</f>
        <v>1</v>
      </c>
      <c r="L172">
        <f>'[1]Processed Data'!L255</f>
        <v>13</v>
      </c>
      <c r="M172">
        <f>'[1]Processed Data'!M255</f>
        <v>-9</v>
      </c>
      <c r="N172">
        <f>'[1]Processed Data'!N255</f>
        <v>0</v>
      </c>
      <c r="O172">
        <f>'[1]Processed Data'!O255</f>
        <v>0</v>
      </c>
      <c r="P172">
        <f>'[1]Processed Data'!P255</f>
        <v>-0.9</v>
      </c>
      <c r="Q172">
        <f>'[1]Processed Data'!Q255</f>
        <v>8</v>
      </c>
    </row>
    <row r="173" spans="2:17">
      <c r="B173">
        <f>'[1]Processed Data'!B256</f>
        <v>2019</v>
      </c>
      <c r="C173">
        <f>'[1]Processed Data'!C256</f>
        <v>1</v>
      </c>
      <c r="D173" t="str">
        <f>'[1]Processed Data'!D256</f>
        <v>Lamar Jackson</v>
      </c>
      <c r="E173">
        <f>Table1[[#This Row],[Year]]</f>
        <v>2019</v>
      </c>
      <c r="F173">
        <f>'[1]Processed Data'!F256</f>
        <v>265</v>
      </c>
      <c r="G173">
        <f>'[1]Processed Data'!G256</f>
        <v>401</v>
      </c>
      <c r="H173">
        <f>'[1]Processed Data'!H256</f>
        <v>66.099999999999994</v>
      </c>
      <c r="I173">
        <f>'[1]Processed Data'!I256</f>
        <v>36</v>
      </c>
      <c r="J173">
        <f>'[1]Processed Data'!J256</f>
        <v>6</v>
      </c>
      <c r="K173">
        <f>'[1]Processed Data'!K256</f>
        <v>23</v>
      </c>
      <c r="L173">
        <f>'[1]Processed Data'!L256</f>
        <v>176</v>
      </c>
      <c r="M173">
        <f>'[1]Processed Data'!M256</f>
        <v>1206</v>
      </c>
      <c r="N173">
        <f>'[1]Processed Data'!N256</f>
        <v>7</v>
      </c>
      <c r="O173">
        <f>'[1]Processed Data'!O256</f>
        <v>2</v>
      </c>
      <c r="P173">
        <f>'[1]Processed Data'!P256</f>
        <v>421.7</v>
      </c>
      <c r="Q173">
        <f>'[1]Processed Data'!Q256</f>
        <v>15</v>
      </c>
    </row>
    <row r="174" spans="2:17">
      <c r="B174">
        <f>'[1]Processed Data'!B257</f>
        <v>2019</v>
      </c>
      <c r="C174">
        <f>'[1]Processed Data'!C257</f>
        <v>2</v>
      </c>
      <c r="D174" t="str">
        <f>'[1]Processed Data'!D257</f>
        <v>Dak Prescott</v>
      </c>
      <c r="E174">
        <f>Table1[[#This Row],[Year]]</f>
        <v>2019</v>
      </c>
      <c r="F174">
        <f>'[1]Processed Data'!F257</f>
        <v>388</v>
      </c>
      <c r="G174">
        <f>'[1]Processed Data'!G257</f>
        <v>596</v>
      </c>
      <c r="H174">
        <f>'[1]Processed Data'!H257</f>
        <v>65.099999999999994</v>
      </c>
      <c r="I174">
        <f>'[1]Processed Data'!I257</f>
        <v>30</v>
      </c>
      <c r="J174">
        <f>'[1]Processed Data'!J257</f>
        <v>11</v>
      </c>
      <c r="K174">
        <f>'[1]Processed Data'!K257</f>
        <v>23</v>
      </c>
      <c r="L174">
        <f>'[1]Processed Data'!L257</f>
        <v>52</v>
      </c>
      <c r="M174">
        <f>'[1]Processed Data'!M257</f>
        <v>277</v>
      </c>
      <c r="N174">
        <f>'[1]Processed Data'!N257</f>
        <v>3</v>
      </c>
      <c r="O174">
        <f>'[1]Processed Data'!O257</f>
        <v>2</v>
      </c>
      <c r="P174">
        <f>'[1]Processed Data'!P257</f>
        <v>348.9</v>
      </c>
      <c r="Q174">
        <f>'[1]Processed Data'!Q257</f>
        <v>16</v>
      </c>
    </row>
    <row r="175" spans="2:17">
      <c r="B175">
        <f>'[1]Processed Data'!B258</f>
        <v>2019</v>
      </c>
      <c r="C175">
        <f>'[1]Processed Data'!C258</f>
        <v>3</v>
      </c>
      <c r="D175" t="str">
        <f>'[1]Processed Data'!D258</f>
        <v>Jameis Winston</v>
      </c>
      <c r="E175">
        <f>Table1[[#This Row],[Year]]</f>
        <v>2019</v>
      </c>
      <c r="F175">
        <f>'[1]Processed Data'!F258</f>
        <v>380</v>
      </c>
      <c r="G175">
        <f>'[1]Processed Data'!G258</f>
        <v>626</v>
      </c>
      <c r="H175">
        <f>'[1]Processed Data'!H258</f>
        <v>60.7</v>
      </c>
      <c r="I175">
        <f>'[1]Processed Data'!I258</f>
        <v>33</v>
      </c>
      <c r="J175">
        <f>'[1]Processed Data'!J258</f>
        <v>30</v>
      </c>
      <c r="K175">
        <f>'[1]Processed Data'!K258</f>
        <v>47</v>
      </c>
      <c r="L175">
        <f>'[1]Processed Data'!L258</f>
        <v>59</v>
      </c>
      <c r="M175">
        <f>'[1]Processed Data'!M258</f>
        <v>250</v>
      </c>
      <c r="N175">
        <f>'[1]Processed Data'!N258</f>
        <v>1</v>
      </c>
      <c r="O175">
        <f>'[1]Processed Data'!O258</f>
        <v>5</v>
      </c>
      <c r="P175">
        <f>'[1]Processed Data'!P258</f>
        <v>335.2</v>
      </c>
      <c r="Q175">
        <f>'[1]Processed Data'!Q258</f>
        <v>16</v>
      </c>
    </row>
    <row r="176" spans="2:17">
      <c r="B176">
        <f>'[1]Processed Data'!B259</f>
        <v>2019</v>
      </c>
      <c r="C176">
        <f>'[1]Processed Data'!C259</f>
        <v>4</v>
      </c>
      <c r="D176" t="str">
        <f>'[1]Processed Data'!D259</f>
        <v>Russell Wilson</v>
      </c>
      <c r="E176">
        <f>Table1[[#This Row],[Year]]</f>
        <v>2019</v>
      </c>
      <c r="F176">
        <f>'[1]Processed Data'!F259</f>
        <v>341</v>
      </c>
      <c r="G176">
        <f>'[1]Processed Data'!G259</f>
        <v>516</v>
      </c>
      <c r="H176">
        <f>'[1]Processed Data'!H259</f>
        <v>66.099999999999994</v>
      </c>
      <c r="I176">
        <f>'[1]Processed Data'!I259</f>
        <v>31</v>
      </c>
      <c r="J176">
        <f>'[1]Processed Data'!J259</f>
        <v>5</v>
      </c>
      <c r="K176">
        <f>'[1]Processed Data'!K259</f>
        <v>48</v>
      </c>
      <c r="L176">
        <f>'[1]Processed Data'!L259</f>
        <v>75</v>
      </c>
      <c r="M176">
        <f>'[1]Processed Data'!M259</f>
        <v>342</v>
      </c>
      <c r="N176">
        <f>'[1]Processed Data'!N259</f>
        <v>3</v>
      </c>
      <c r="O176">
        <f>'[1]Processed Data'!O259</f>
        <v>2</v>
      </c>
      <c r="P176">
        <f>'[1]Processed Data'!P259</f>
        <v>333.5</v>
      </c>
      <c r="Q176">
        <f>'[1]Processed Data'!Q259</f>
        <v>16</v>
      </c>
    </row>
    <row r="177" spans="2:17">
      <c r="B177">
        <f>'[1]Processed Data'!B260</f>
        <v>2019</v>
      </c>
      <c r="C177">
        <f>'[1]Processed Data'!C260</f>
        <v>5</v>
      </c>
      <c r="D177" t="str">
        <f>'[1]Processed Data'!D260</f>
        <v>Deshaun Watson</v>
      </c>
      <c r="E177">
        <f>Table1[[#This Row],[Year]]</f>
        <v>2019</v>
      </c>
      <c r="F177">
        <f>'[1]Processed Data'!F260</f>
        <v>333</v>
      </c>
      <c r="G177">
        <f>'[1]Processed Data'!G260</f>
        <v>495</v>
      </c>
      <c r="H177">
        <f>'[1]Processed Data'!H260</f>
        <v>67.3</v>
      </c>
      <c r="I177">
        <f>'[1]Processed Data'!I260</f>
        <v>26</v>
      </c>
      <c r="J177">
        <f>'[1]Processed Data'!J260</f>
        <v>12</v>
      </c>
      <c r="K177">
        <f>'[1]Processed Data'!K260</f>
        <v>44</v>
      </c>
      <c r="L177">
        <f>'[1]Processed Data'!L260</f>
        <v>82</v>
      </c>
      <c r="M177">
        <f>'[1]Processed Data'!M260</f>
        <v>413</v>
      </c>
      <c r="N177">
        <f>'[1]Processed Data'!N260</f>
        <v>7</v>
      </c>
      <c r="O177">
        <f>'[1]Processed Data'!O260</f>
        <v>3</v>
      </c>
      <c r="P177">
        <f>'[1]Processed Data'!P260</f>
        <v>332.5</v>
      </c>
      <c r="Q177">
        <f>'[1]Processed Data'!Q260</f>
        <v>15</v>
      </c>
    </row>
    <row r="178" spans="2:17">
      <c r="B178">
        <f>'[1]Processed Data'!B261</f>
        <v>2019</v>
      </c>
      <c r="C178">
        <f>'[1]Processed Data'!C261</f>
        <v>6</v>
      </c>
      <c r="D178" t="str">
        <f>'[1]Processed Data'!D261</f>
        <v>Josh Allen</v>
      </c>
      <c r="E178">
        <f>Table1[[#This Row],[Year]]</f>
        <v>2019</v>
      </c>
      <c r="F178">
        <f>'[1]Processed Data'!F261</f>
        <v>271</v>
      </c>
      <c r="G178">
        <f>'[1]Processed Data'!G261</f>
        <v>461</v>
      </c>
      <c r="H178">
        <f>'[1]Processed Data'!H261</f>
        <v>58.8</v>
      </c>
      <c r="I178">
        <f>'[1]Processed Data'!I261</f>
        <v>20</v>
      </c>
      <c r="J178">
        <f>'[1]Processed Data'!J261</f>
        <v>9</v>
      </c>
      <c r="K178">
        <f>'[1]Processed Data'!K261</f>
        <v>38</v>
      </c>
      <c r="L178">
        <f>'[1]Processed Data'!L261</f>
        <v>109</v>
      </c>
      <c r="M178">
        <f>'[1]Processed Data'!M261</f>
        <v>510</v>
      </c>
      <c r="N178">
        <f>'[1]Processed Data'!N261</f>
        <v>9</v>
      </c>
      <c r="O178">
        <f>'[1]Processed Data'!O261</f>
        <v>4</v>
      </c>
      <c r="P178">
        <f>'[1]Processed Data'!P261</f>
        <v>297.5</v>
      </c>
      <c r="Q178">
        <f>'[1]Processed Data'!Q261</f>
        <v>16</v>
      </c>
    </row>
    <row r="179" spans="2:17">
      <c r="B179">
        <f>'[1]Processed Data'!B262</f>
        <v>2019</v>
      </c>
      <c r="C179">
        <f>'[1]Processed Data'!C262</f>
        <v>7</v>
      </c>
      <c r="D179" t="str">
        <f>'[1]Processed Data'!D262</f>
        <v>Kyler Murray</v>
      </c>
      <c r="E179">
        <f>Table1[[#This Row],[Year]]</f>
        <v>2019</v>
      </c>
      <c r="F179">
        <f>'[1]Processed Data'!F262</f>
        <v>349</v>
      </c>
      <c r="G179">
        <f>'[1]Processed Data'!G262</f>
        <v>542</v>
      </c>
      <c r="H179">
        <f>'[1]Processed Data'!H262</f>
        <v>64.400000000000006</v>
      </c>
      <c r="I179">
        <f>'[1]Processed Data'!I262</f>
        <v>20</v>
      </c>
      <c r="J179">
        <f>'[1]Processed Data'!J262</f>
        <v>12</v>
      </c>
      <c r="K179">
        <f>'[1]Processed Data'!K262</f>
        <v>48</v>
      </c>
      <c r="L179">
        <f>'[1]Processed Data'!L262</f>
        <v>93</v>
      </c>
      <c r="M179">
        <f>'[1]Processed Data'!M262</f>
        <v>544</v>
      </c>
      <c r="N179">
        <f>'[1]Processed Data'!N262</f>
        <v>4</v>
      </c>
      <c r="O179">
        <f>'[1]Processed Data'!O262</f>
        <v>2</v>
      </c>
      <c r="P179">
        <f>'[1]Processed Data'!P262</f>
        <v>297.3</v>
      </c>
      <c r="Q179">
        <f>'[1]Processed Data'!Q262</f>
        <v>16</v>
      </c>
    </row>
    <row r="180" spans="2:17">
      <c r="B180">
        <f>'[1]Processed Data'!B263</f>
        <v>2019</v>
      </c>
      <c r="C180">
        <f>'[1]Processed Data'!C263</f>
        <v>8</v>
      </c>
      <c r="D180" t="str">
        <f>'[1]Processed Data'!D263</f>
        <v>Patrick Mahomes II</v>
      </c>
      <c r="E180">
        <f>Table1[[#This Row],[Year]]</f>
        <v>2019</v>
      </c>
      <c r="F180">
        <f>'[1]Processed Data'!F263</f>
        <v>319</v>
      </c>
      <c r="G180">
        <f>'[1]Processed Data'!G263</f>
        <v>484</v>
      </c>
      <c r="H180">
        <f>'[1]Processed Data'!H263</f>
        <v>65.900000000000006</v>
      </c>
      <c r="I180">
        <f>'[1]Processed Data'!I263</f>
        <v>26</v>
      </c>
      <c r="J180">
        <f>'[1]Processed Data'!J263</f>
        <v>5</v>
      </c>
      <c r="K180">
        <f>'[1]Processed Data'!K263</f>
        <v>17</v>
      </c>
      <c r="L180">
        <f>'[1]Processed Data'!L263</f>
        <v>43</v>
      </c>
      <c r="M180">
        <f>'[1]Processed Data'!M263</f>
        <v>218</v>
      </c>
      <c r="N180">
        <f>'[1]Processed Data'!N263</f>
        <v>2</v>
      </c>
      <c r="O180">
        <f>'[1]Processed Data'!O263</f>
        <v>2</v>
      </c>
      <c r="P180">
        <f>'[1]Processed Data'!P263</f>
        <v>291.89999999999998</v>
      </c>
      <c r="Q180">
        <f>'[1]Processed Data'!Q263</f>
        <v>14</v>
      </c>
    </row>
    <row r="181" spans="2:17">
      <c r="B181">
        <f>'[1]Processed Data'!B264</f>
        <v>2019</v>
      </c>
      <c r="C181">
        <f>'[1]Processed Data'!C264</f>
        <v>9</v>
      </c>
      <c r="D181" t="str">
        <f>'[1]Processed Data'!D264</f>
        <v>Carson Wentz</v>
      </c>
      <c r="E181">
        <f>Table1[[#This Row],[Year]]</f>
        <v>2019</v>
      </c>
      <c r="F181">
        <f>'[1]Processed Data'!F264</f>
        <v>388</v>
      </c>
      <c r="G181">
        <f>'[1]Processed Data'!G264</f>
        <v>607</v>
      </c>
      <c r="H181">
        <f>'[1]Processed Data'!H264</f>
        <v>63.9</v>
      </c>
      <c r="I181">
        <f>'[1]Processed Data'!I264</f>
        <v>27</v>
      </c>
      <c r="J181">
        <f>'[1]Processed Data'!J264</f>
        <v>7</v>
      </c>
      <c r="K181">
        <f>'[1]Processed Data'!K264</f>
        <v>37</v>
      </c>
      <c r="L181">
        <f>'[1]Processed Data'!L264</f>
        <v>62</v>
      </c>
      <c r="M181">
        <f>'[1]Processed Data'!M264</f>
        <v>243</v>
      </c>
      <c r="N181">
        <f>'[1]Processed Data'!N264</f>
        <v>1</v>
      </c>
      <c r="O181">
        <f>'[1]Processed Data'!O264</f>
        <v>7</v>
      </c>
      <c r="P181">
        <f>'[1]Processed Data'!P264</f>
        <v>282.89999999999998</v>
      </c>
      <c r="Q181">
        <f>'[1]Processed Data'!Q264</f>
        <v>16</v>
      </c>
    </row>
    <row r="182" spans="2:17">
      <c r="B182">
        <f>'[1]Processed Data'!B265</f>
        <v>2019</v>
      </c>
      <c r="C182">
        <f>'[1]Processed Data'!C265</f>
        <v>10</v>
      </c>
      <c r="D182" t="str">
        <f>'[1]Processed Data'!D265</f>
        <v>Aaron Rodgers</v>
      </c>
      <c r="E182">
        <f>Table1[[#This Row],[Year]]</f>
        <v>2019</v>
      </c>
      <c r="F182">
        <f>'[1]Processed Data'!F265</f>
        <v>353</v>
      </c>
      <c r="G182">
        <f>'[1]Processed Data'!G265</f>
        <v>569</v>
      </c>
      <c r="H182">
        <f>'[1]Processed Data'!H265</f>
        <v>62</v>
      </c>
      <c r="I182">
        <f>'[1]Processed Data'!I265</f>
        <v>26</v>
      </c>
      <c r="J182">
        <f>'[1]Processed Data'!J265</f>
        <v>4</v>
      </c>
      <c r="K182">
        <f>'[1]Processed Data'!K265</f>
        <v>36</v>
      </c>
      <c r="L182">
        <f>'[1]Processed Data'!L265</f>
        <v>46</v>
      </c>
      <c r="M182">
        <f>'[1]Processed Data'!M265</f>
        <v>183</v>
      </c>
      <c r="N182">
        <f>'[1]Processed Data'!N265</f>
        <v>1</v>
      </c>
      <c r="O182">
        <f>'[1]Processed Data'!O265</f>
        <v>4</v>
      </c>
      <c r="P182">
        <f>'[1]Processed Data'!P265</f>
        <v>282.3</v>
      </c>
      <c r="Q182">
        <f>'[1]Processed Data'!Q265</f>
        <v>16</v>
      </c>
    </row>
    <row r="183" spans="2:17">
      <c r="B183">
        <f>'[1]Processed Data'!B266</f>
        <v>2019</v>
      </c>
      <c r="C183">
        <f>'[1]Processed Data'!C266</f>
        <v>11</v>
      </c>
      <c r="D183" t="str">
        <f>'[1]Processed Data'!D266</f>
        <v>Matt Ryan</v>
      </c>
      <c r="E183">
        <f>Table1[[#This Row],[Year]]</f>
        <v>2019</v>
      </c>
      <c r="F183">
        <f>'[1]Processed Data'!F266</f>
        <v>408</v>
      </c>
      <c r="G183">
        <f>'[1]Processed Data'!G266</f>
        <v>616</v>
      </c>
      <c r="H183">
        <f>'[1]Processed Data'!H266</f>
        <v>66.2</v>
      </c>
      <c r="I183">
        <f>'[1]Processed Data'!I266</f>
        <v>26</v>
      </c>
      <c r="J183">
        <f>'[1]Processed Data'!J266</f>
        <v>14</v>
      </c>
      <c r="K183">
        <f>'[1]Processed Data'!K266</f>
        <v>48</v>
      </c>
      <c r="L183">
        <f>'[1]Processed Data'!L266</f>
        <v>34</v>
      </c>
      <c r="M183">
        <f>'[1]Processed Data'!M266</f>
        <v>147</v>
      </c>
      <c r="N183">
        <f>'[1]Processed Data'!N266</f>
        <v>1</v>
      </c>
      <c r="O183">
        <f>'[1]Processed Data'!O266</f>
        <v>5</v>
      </c>
      <c r="P183">
        <f>'[1]Processed Data'!P266</f>
        <v>281.39999999999998</v>
      </c>
      <c r="Q183">
        <f>'[1]Processed Data'!Q266</f>
        <v>15</v>
      </c>
    </row>
    <row r="184" spans="2:17">
      <c r="B184">
        <f>'[1]Processed Data'!B267</f>
        <v>2019</v>
      </c>
      <c r="C184">
        <f>'[1]Processed Data'!C267</f>
        <v>12</v>
      </c>
      <c r="D184" t="str">
        <f>'[1]Processed Data'!D267</f>
        <v>Tom Brady</v>
      </c>
      <c r="E184">
        <f>Table1[[#This Row],[Year]]</f>
        <v>2019</v>
      </c>
      <c r="F184">
        <f>'[1]Processed Data'!F267</f>
        <v>373</v>
      </c>
      <c r="G184">
        <f>'[1]Processed Data'!G267</f>
        <v>613</v>
      </c>
      <c r="H184">
        <f>'[1]Processed Data'!H267</f>
        <v>60.8</v>
      </c>
      <c r="I184">
        <f>'[1]Processed Data'!I267</f>
        <v>24</v>
      </c>
      <c r="J184">
        <f>'[1]Processed Data'!J267</f>
        <v>8</v>
      </c>
      <c r="K184">
        <f>'[1]Processed Data'!K267</f>
        <v>27</v>
      </c>
      <c r="L184">
        <f>'[1]Processed Data'!L267</f>
        <v>26</v>
      </c>
      <c r="M184">
        <f>'[1]Processed Data'!M267</f>
        <v>34</v>
      </c>
      <c r="N184">
        <f>'[1]Processed Data'!N267</f>
        <v>3</v>
      </c>
      <c r="O184">
        <f>'[1]Processed Data'!O267</f>
        <v>1</v>
      </c>
      <c r="P184">
        <f>'[1]Processed Data'!P267</f>
        <v>271.60000000000002</v>
      </c>
      <c r="Q184">
        <f>'[1]Processed Data'!Q267</f>
        <v>16</v>
      </c>
    </row>
    <row r="185" spans="2:17">
      <c r="B185">
        <f>'[1]Processed Data'!B268</f>
        <v>2019</v>
      </c>
      <c r="C185">
        <f>'[1]Processed Data'!C268</f>
        <v>13</v>
      </c>
      <c r="D185" t="str">
        <f>'[1]Processed Data'!D268</f>
        <v>Jared Goff</v>
      </c>
      <c r="E185">
        <f>Table1[[#This Row],[Year]]</f>
        <v>2019</v>
      </c>
      <c r="F185">
        <f>'[1]Processed Data'!F268</f>
        <v>394</v>
      </c>
      <c r="G185">
        <f>'[1]Processed Data'!G268</f>
        <v>626</v>
      </c>
      <c r="H185">
        <f>'[1]Processed Data'!H268</f>
        <v>62.9</v>
      </c>
      <c r="I185">
        <f>'[1]Processed Data'!I268</f>
        <v>22</v>
      </c>
      <c r="J185">
        <f>'[1]Processed Data'!J268</f>
        <v>16</v>
      </c>
      <c r="K185">
        <f>'[1]Processed Data'!K268</f>
        <v>22</v>
      </c>
      <c r="L185">
        <f>'[1]Processed Data'!L268</f>
        <v>33</v>
      </c>
      <c r="M185">
        <f>'[1]Processed Data'!M268</f>
        <v>40</v>
      </c>
      <c r="N185">
        <f>'[1]Processed Data'!N268</f>
        <v>2</v>
      </c>
      <c r="O185">
        <f>'[1]Processed Data'!O268</f>
        <v>5</v>
      </c>
      <c r="P185">
        <f>'[1]Processed Data'!P268</f>
        <v>263.5</v>
      </c>
      <c r="Q185">
        <f>'[1]Processed Data'!Q268</f>
        <v>16</v>
      </c>
    </row>
    <row r="186" spans="2:17">
      <c r="B186">
        <f>'[1]Processed Data'!B269</f>
        <v>2019</v>
      </c>
      <c r="C186">
        <f>'[1]Processed Data'!C269</f>
        <v>14</v>
      </c>
      <c r="D186" t="str">
        <f>'[1]Processed Data'!D269</f>
        <v>Jimmy Garoppolo</v>
      </c>
      <c r="E186">
        <f>Table1[[#This Row],[Year]]</f>
        <v>2019</v>
      </c>
      <c r="F186">
        <f>'[1]Processed Data'!F269</f>
        <v>329</v>
      </c>
      <c r="G186">
        <f>'[1]Processed Data'!G269</f>
        <v>476</v>
      </c>
      <c r="H186">
        <f>'[1]Processed Data'!H269</f>
        <v>69.099999999999994</v>
      </c>
      <c r="I186">
        <f>'[1]Processed Data'!I269</f>
        <v>27</v>
      </c>
      <c r="J186">
        <f>'[1]Processed Data'!J269</f>
        <v>13</v>
      </c>
      <c r="K186">
        <f>'[1]Processed Data'!K269</f>
        <v>36</v>
      </c>
      <c r="L186">
        <f>'[1]Processed Data'!L269</f>
        <v>46</v>
      </c>
      <c r="M186">
        <f>'[1]Processed Data'!M269</f>
        <v>62</v>
      </c>
      <c r="N186">
        <f>'[1]Processed Data'!N269</f>
        <v>1</v>
      </c>
      <c r="O186">
        <f>'[1]Processed Data'!O269</f>
        <v>5</v>
      </c>
      <c r="P186">
        <f>'[1]Processed Data'!P269</f>
        <v>260.2</v>
      </c>
      <c r="Q186">
        <f>'[1]Processed Data'!Q269</f>
        <v>16</v>
      </c>
    </row>
    <row r="187" spans="2:17">
      <c r="B187">
        <f>'[1]Processed Data'!B270</f>
        <v>2019</v>
      </c>
      <c r="C187">
        <f>'[1]Processed Data'!C270</f>
        <v>15</v>
      </c>
      <c r="D187" t="str">
        <f>'[1]Processed Data'!D270</f>
        <v>Philip Rivers</v>
      </c>
      <c r="E187">
        <f>Table1[[#This Row],[Year]]</f>
        <v>2019</v>
      </c>
      <c r="F187">
        <f>'[1]Processed Data'!F270</f>
        <v>390</v>
      </c>
      <c r="G187">
        <f>'[1]Processed Data'!G270</f>
        <v>591</v>
      </c>
      <c r="H187">
        <f>'[1]Processed Data'!H270</f>
        <v>66</v>
      </c>
      <c r="I187">
        <f>'[1]Processed Data'!I270</f>
        <v>23</v>
      </c>
      <c r="J187">
        <f>'[1]Processed Data'!J270</f>
        <v>20</v>
      </c>
      <c r="K187">
        <f>'[1]Processed Data'!K270</f>
        <v>34</v>
      </c>
      <c r="L187">
        <f>'[1]Processed Data'!L270</f>
        <v>12</v>
      </c>
      <c r="M187">
        <f>'[1]Processed Data'!M270</f>
        <v>29</v>
      </c>
      <c r="N187">
        <f>'[1]Processed Data'!N270</f>
        <v>0</v>
      </c>
      <c r="O187">
        <f>'[1]Processed Data'!O270</f>
        <v>3</v>
      </c>
      <c r="P187">
        <f>'[1]Processed Data'!P270</f>
        <v>255.5</v>
      </c>
      <c r="Q187">
        <f>'[1]Processed Data'!Q270</f>
        <v>16</v>
      </c>
    </row>
    <row r="188" spans="2:17">
      <c r="B188">
        <f>'[1]Processed Data'!B271</f>
        <v>2019</v>
      </c>
      <c r="C188">
        <f>'[1]Processed Data'!C271</f>
        <v>16</v>
      </c>
      <c r="D188" t="str">
        <f>'[1]Processed Data'!D271</f>
        <v>Ryan Fitzpatrick</v>
      </c>
      <c r="E188">
        <f>Table1[[#This Row],[Year]]</f>
        <v>2019</v>
      </c>
      <c r="F188">
        <f>'[1]Processed Data'!F271</f>
        <v>311</v>
      </c>
      <c r="G188">
        <f>'[1]Processed Data'!G271</f>
        <v>502</v>
      </c>
      <c r="H188">
        <f>'[1]Processed Data'!H271</f>
        <v>62</v>
      </c>
      <c r="I188">
        <f>'[1]Processed Data'!I271</f>
        <v>20</v>
      </c>
      <c r="J188">
        <f>'[1]Processed Data'!J271</f>
        <v>13</v>
      </c>
      <c r="K188">
        <f>'[1]Processed Data'!K271</f>
        <v>40</v>
      </c>
      <c r="L188">
        <f>'[1]Processed Data'!L271</f>
        <v>54</v>
      </c>
      <c r="M188">
        <f>'[1]Processed Data'!M271</f>
        <v>243</v>
      </c>
      <c r="N188">
        <f>'[1]Processed Data'!N271</f>
        <v>4</v>
      </c>
      <c r="O188">
        <f>'[1]Processed Data'!O271</f>
        <v>2</v>
      </c>
      <c r="P188">
        <f>'[1]Processed Data'!P271</f>
        <v>254.7</v>
      </c>
      <c r="Q188">
        <f>'[1]Processed Data'!Q271</f>
        <v>15</v>
      </c>
    </row>
    <row r="189" spans="2:17">
      <c r="B189">
        <f>'[1]Processed Data'!B272</f>
        <v>2019</v>
      </c>
      <c r="C189">
        <f>'[1]Processed Data'!C272</f>
        <v>17</v>
      </c>
      <c r="D189" t="str">
        <f>'[1]Processed Data'!D272</f>
        <v>Derek Carr</v>
      </c>
      <c r="E189">
        <f>Table1[[#This Row],[Year]]</f>
        <v>2019</v>
      </c>
      <c r="F189">
        <f>'[1]Processed Data'!F272</f>
        <v>361</v>
      </c>
      <c r="G189">
        <f>'[1]Processed Data'!G272</f>
        <v>513</v>
      </c>
      <c r="H189">
        <f>'[1]Processed Data'!H272</f>
        <v>70.400000000000006</v>
      </c>
      <c r="I189">
        <f>'[1]Processed Data'!I272</f>
        <v>21</v>
      </c>
      <c r="J189">
        <f>'[1]Processed Data'!J272</f>
        <v>8</v>
      </c>
      <c r="K189">
        <f>'[1]Processed Data'!K272</f>
        <v>29</v>
      </c>
      <c r="L189">
        <f>'[1]Processed Data'!L272</f>
        <v>27</v>
      </c>
      <c r="M189">
        <f>'[1]Processed Data'!M272</f>
        <v>82</v>
      </c>
      <c r="N189">
        <f>'[1]Processed Data'!N272</f>
        <v>2</v>
      </c>
      <c r="O189">
        <f>'[1]Processed Data'!O272</f>
        <v>3</v>
      </c>
      <c r="P189">
        <f>'[1]Processed Data'!P272</f>
        <v>252.5</v>
      </c>
      <c r="Q189">
        <f>'[1]Processed Data'!Q272</f>
        <v>16</v>
      </c>
    </row>
    <row r="190" spans="2:17">
      <c r="B190">
        <f>'[1]Processed Data'!B273</f>
        <v>2019</v>
      </c>
      <c r="C190">
        <f>'[1]Processed Data'!C273</f>
        <v>18</v>
      </c>
      <c r="D190" t="str">
        <f>'[1]Processed Data'!D273</f>
        <v>Kirk Cousins</v>
      </c>
      <c r="E190">
        <f>Table1[[#This Row],[Year]]</f>
        <v>2019</v>
      </c>
      <c r="F190">
        <f>'[1]Processed Data'!F273</f>
        <v>307</v>
      </c>
      <c r="G190">
        <f>'[1]Processed Data'!G273</f>
        <v>444</v>
      </c>
      <c r="H190">
        <f>'[1]Processed Data'!H273</f>
        <v>69.099999999999994</v>
      </c>
      <c r="I190">
        <f>'[1]Processed Data'!I273</f>
        <v>26</v>
      </c>
      <c r="J190">
        <f>'[1]Processed Data'!J273</f>
        <v>6</v>
      </c>
      <c r="K190">
        <f>'[1]Processed Data'!K273</f>
        <v>28</v>
      </c>
      <c r="L190">
        <f>'[1]Processed Data'!L273</f>
        <v>31</v>
      </c>
      <c r="M190">
        <f>'[1]Processed Data'!M273</f>
        <v>63</v>
      </c>
      <c r="N190">
        <f>'[1]Processed Data'!N273</f>
        <v>1</v>
      </c>
      <c r="O190">
        <f>'[1]Processed Data'!O273</f>
        <v>3</v>
      </c>
      <c r="P190">
        <f>'[1]Processed Data'!P273</f>
        <v>250.4</v>
      </c>
      <c r="Q190">
        <f>'[1]Processed Data'!Q273</f>
        <v>15</v>
      </c>
    </row>
    <row r="191" spans="2:17">
      <c r="B191">
        <f>'[1]Processed Data'!B274</f>
        <v>2019</v>
      </c>
      <c r="C191">
        <f>'[1]Processed Data'!C274</f>
        <v>19</v>
      </c>
      <c r="D191" t="str">
        <f>'[1]Processed Data'!D274</f>
        <v>Baker Mayfield</v>
      </c>
      <c r="E191">
        <f>Table1[[#This Row],[Year]]</f>
        <v>2019</v>
      </c>
      <c r="F191">
        <f>'[1]Processed Data'!F274</f>
        <v>317</v>
      </c>
      <c r="G191">
        <f>'[1]Processed Data'!G274</f>
        <v>534</v>
      </c>
      <c r="H191">
        <f>'[1]Processed Data'!H274</f>
        <v>59.4</v>
      </c>
      <c r="I191">
        <f>'[1]Processed Data'!I274</f>
        <v>22</v>
      </c>
      <c r="J191">
        <f>'[1]Processed Data'!J274</f>
        <v>21</v>
      </c>
      <c r="K191">
        <f>'[1]Processed Data'!K274</f>
        <v>40</v>
      </c>
      <c r="L191">
        <f>'[1]Processed Data'!L274</f>
        <v>28</v>
      </c>
      <c r="M191">
        <f>'[1]Processed Data'!M274</f>
        <v>141</v>
      </c>
      <c r="N191">
        <f>'[1]Processed Data'!N274</f>
        <v>3</v>
      </c>
      <c r="O191">
        <f>'[1]Processed Data'!O274</f>
        <v>2</v>
      </c>
      <c r="P191">
        <f>'[1]Processed Data'!P274</f>
        <v>250.3</v>
      </c>
      <c r="Q191">
        <f>'[1]Processed Data'!Q274</f>
        <v>16</v>
      </c>
    </row>
    <row r="192" spans="2:17">
      <c r="B192">
        <f>'[1]Processed Data'!B275</f>
        <v>2019</v>
      </c>
      <c r="C192">
        <f>'[1]Processed Data'!C275</f>
        <v>20</v>
      </c>
      <c r="D192" t="str">
        <f>'[1]Processed Data'!D275</f>
        <v>Gardner Minshew II</v>
      </c>
      <c r="E192">
        <f>Table1[[#This Row],[Year]]</f>
        <v>2019</v>
      </c>
      <c r="F192">
        <f>'[1]Processed Data'!F275</f>
        <v>285</v>
      </c>
      <c r="G192">
        <f>'[1]Processed Data'!G275</f>
        <v>470</v>
      </c>
      <c r="H192">
        <f>'[1]Processed Data'!H275</f>
        <v>60.6</v>
      </c>
      <c r="I192">
        <f>'[1]Processed Data'!I275</f>
        <v>21</v>
      </c>
      <c r="J192">
        <f>'[1]Processed Data'!J275</f>
        <v>6</v>
      </c>
      <c r="K192">
        <f>'[1]Processed Data'!K275</f>
        <v>33</v>
      </c>
      <c r="L192">
        <f>'[1]Processed Data'!L275</f>
        <v>67</v>
      </c>
      <c r="M192">
        <f>'[1]Processed Data'!M275</f>
        <v>344</v>
      </c>
      <c r="N192">
        <f>'[1]Processed Data'!N275</f>
        <v>0</v>
      </c>
      <c r="O192">
        <f>'[1]Processed Data'!O275</f>
        <v>7</v>
      </c>
      <c r="P192">
        <f>'[1]Processed Data'!P275</f>
        <v>235.3</v>
      </c>
      <c r="Q192">
        <f>'[1]Processed Data'!Q275</f>
        <v>14</v>
      </c>
    </row>
    <row r="193" spans="2:17">
      <c r="B193">
        <f>'[1]Processed Data'!B276</f>
        <v>2019</v>
      </c>
      <c r="C193">
        <f>'[1]Processed Data'!C276</f>
        <v>21</v>
      </c>
      <c r="D193" t="str">
        <f>'[1]Processed Data'!D276</f>
        <v>Ryan Tannehill</v>
      </c>
      <c r="E193">
        <f>Table1[[#This Row],[Year]]</f>
        <v>2019</v>
      </c>
      <c r="F193">
        <f>'[1]Processed Data'!F276</f>
        <v>201</v>
      </c>
      <c r="G193">
        <f>'[1]Processed Data'!G276</f>
        <v>286</v>
      </c>
      <c r="H193">
        <f>'[1]Processed Data'!H276</f>
        <v>70.3</v>
      </c>
      <c r="I193">
        <f>'[1]Processed Data'!I276</f>
        <v>22</v>
      </c>
      <c r="J193">
        <f>'[1]Processed Data'!J276</f>
        <v>6</v>
      </c>
      <c r="K193">
        <f>'[1]Processed Data'!K276</f>
        <v>31</v>
      </c>
      <c r="L193">
        <f>'[1]Processed Data'!L276</f>
        <v>43</v>
      </c>
      <c r="M193">
        <f>'[1]Processed Data'!M276</f>
        <v>185</v>
      </c>
      <c r="N193">
        <f>'[1]Processed Data'!N276</f>
        <v>4</v>
      </c>
      <c r="O193">
        <f>'[1]Processed Data'!O276</f>
        <v>3</v>
      </c>
      <c r="P193">
        <f>'[1]Processed Data'!P276</f>
        <v>230.2</v>
      </c>
      <c r="Q193">
        <f>'[1]Processed Data'!Q276</f>
        <v>12</v>
      </c>
    </row>
    <row r="194" spans="2:17">
      <c r="B194">
        <f>'[1]Processed Data'!B277</f>
        <v>2019</v>
      </c>
      <c r="C194">
        <f>'[1]Processed Data'!C277</f>
        <v>22</v>
      </c>
      <c r="D194" t="str">
        <f>'[1]Processed Data'!D277</f>
        <v>Drew Brees</v>
      </c>
      <c r="E194">
        <f>Table1[[#This Row],[Year]]</f>
        <v>2019</v>
      </c>
      <c r="F194">
        <f>'[1]Processed Data'!F277</f>
        <v>281</v>
      </c>
      <c r="G194">
        <f>'[1]Processed Data'!G277</f>
        <v>378</v>
      </c>
      <c r="H194">
        <f>'[1]Processed Data'!H277</f>
        <v>74.3</v>
      </c>
      <c r="I194">
        <f>'[1]Processed Data'!I277</f>
        <v>27</v>
      </c>
      <c r="J194">
        <f>'[1]Processed Data'!J277</f>
        <v>4</v>
      </c>
      <c r="K194">
        <f>'[1]Processed Data'!K277</f>
        <v>12</v>
      </c>
      <c r="L194">
        <f>'[1]Processed Data'!L277</f>
        <v>9</v>
      </c>
      <c r="M194">
        <f>'[1]Processed Data'!M277</f>
        <v>-4</v>
      </c>
      <c r="N194">
        <f>'[1]Processed Data'!N277</f>
        <v>1</v>
      </c>
      <c r="O194">
        <f>'[1]Processed Data'!O277</f>
        <v>0</v>
      </c>
      <c r="P194">
        <f>'[1]Processed Data'!P277</f>
        <v>228.8</v>
      </c>
      <c r="Q194">
        <f>'[1]Processed Data'!Q277</f>
        <v>11</v>
      </c>
    </row>
    <row r="195" spans="2:17">
      <c r="B195">
        <f>'[1]Processed Data'!B278</f>
        <v>2019</v>
      </c>
      <c r="C195">
        <f>'[1]Processed Data'!C278</f>
        <v>23</v>
      </c>
      <c r="D195" t="str">
        <f>'[1]Processed Data'!D278</f>
        <v>Daniel Jones</v>
      </c>
      <c r="E195">
        <f>Table1[[#This Row],[Year]]</f>
        <v>2019</v>
      </c>
      <c r="F195">
        <f>'[1]Processed Data'!F278</f>
        <v>284</v>
      </c>
      <c r="G195">
        <f>'[1]Processed Data'!G278</f>
        <v>459</v>
      </c>
      <c r="H195">
        <f>'[1]Processed Data'!H278</f>
        <v>61.9</v>
      </c>
      <c r="I195">
        <f>'[1]Processed Data'!I278</f>
        <v>24</v>
      </c>
      <c r="J195">
        <f>'[1]Processed Data'!J278</f>
        <v>12</v>
      </c>
      <c r="K195">
        <f>'[1]Processed Data'!K278</f>
        <v>38</v>
      </c>
      <c r="L195">
        <f>'[1]Processed Data'!L278</f>
        <v>45</v>
      </c>
      <c r="M195">
        <f>'[1]Processed Data'!M278</f>
        <v>279</v>
      </c>
      <c r="N195">
        <f>'[1]Processed Data'!N278</f>
        <v>2</v>
      </c>
      <c r="O195">
        <f>'[1]Processed Data'!O278</f>
        <v>11</v>
      </c>
      <c r="P195">
        <f>'[1]Processed Data'!P278</f>
        <v>226.9</v>
      </c>
      <c r="Q195">
        <f>'[1]Processed Data'!Q278</f>
        <v>13</v>
      </c>
    </row>
    <row r="196" spans="2:17">
      <c r="B196">
        <f>'[1]Processed Data'!B279</f>
        <v>2019</v>
      </c>
      <c r="C196">
        <f>'[1]Processed Data'!C279</f>
        <v>24</v>
      </c>
      <c r="D196" t="str">
        <f>'[1]Processed Data'!D279</f>
        <v>Jacoby Brissett</v>
      </c>
      <c r="E196">
        <f>Table1[[#This Row],[Year]]</f>
        <v>2019</v>
      </c>
      <c r="F196">
        <f>'[1]Processed Data'!F279</f>
        <v>272</v>
      </c>
      <c r="G196">
        <f>'[1]Processed Data'!G279</f>
        <v>447</v>
      </c>
      <c r="H196">
        <f>'[1]Processed Data'!H279</f>
        <v>60.9</v>
      </c>
      <c r="I196">
        <f>'[1]Processed Data'!I279</f>
        <v>18</v>
      </c>
      <c r="J196">
        <f>'[1]Processed Data'!J279</f>
        <v>6</v>
      </c>
      <c r="K196">
        <f>'[1]Processed Data'!K279</f>
        <v>27</v>
      </c>
      <c r="L196">
        <f>'[1]Processed Data'!L279</f>
        <v>56</v>
      </c>
      <c r="M196">
        <f>'[1]Processed Data'!M279</f>
        <v>228</v>
      </c>
      <c r="N196">
        <f>'[1]Processed Data'!N279</f>
        <v>4</v>
      </c>
      <c r="O196">
        <f>'[1]Processed Data'!O279</f>
        <v>5</v>
      </c>
      <c r="P196">
        <f>'[1]Processed Data'!P279</f>
        <v>223.2</v>
      </c>
      <c r="Q196">
        <f>'[1]Processed Data'!Q279</f>
        <v>15</v>
      </c>
    </row>
    <row r="197" spans="2:17">
      <c r="B197">
        <f>'[1]Processed Data'!B280</f>
        <v>2019</v>
      </c>
      <c r="C197">
        <f>'[1]Processed Data'!C280</f>
        <v>25</v>
      </c>
      <c r="D197" t="str">
        <f>'[1]Processed Data'!D280</f>
        <v>Andy Dalton</v>
      </c>
      <c r="E197">
        <f>Table1[[#This Row],[Year]]</f>
        <v>2019</v>
      </c>
      <c r="F197">
        <f>'[1]Processed Data'!F280</f>
        <v>314</v>
      </c>
      <c r="G197">
        <f>'[1]Processed Data'!G280</f>
        <v>528</v>
      </c>
      <c r="H197">
        <f>'[1]Processed Data'!H280</f>
        <v>59.5</v>
      </c>
      <c r="I197">
        <f>'[1]Processed Data'!I280</f>
        <v>16</v>
      </c>
      <c r="J197">
        <f>'[1]Processed Data'!J280</f>
        <v>14</v>
      </c>
      <c r="K197">
        <f>'[1]Processed Data'!K280</f>
        <v>37</v>
      </c>
      <c r="L197">
        <f>'[1]Processed Data'!L280</f>
        <v>32</v>
      </c>
      <c r="M197">
        <f>'[1]Processed Data'!M280</f>
        <v>73</v>
      </c>
      <c r="N197">
        <f>'[1]Processed Data'!N280</f>
        <v>4</v>
      </c>
      <c r="O197">
        <f>'[1]Processed Data'!O280</f>
        <v>4</v>
      </c>
      <c r="P197">
        <f>'[1]Processed Data'!P280</f>
        <v>217</v>
      </c>
      <c r="Q197">
        <f>'[1]Processed Data'!Q280</f>
        <v>13</v>
      </c>
    </row>
    <row r="198" spans="2:17">
      <c r="B198">
        <f>'[1]Processed Data'!B281</f>
        <v>2019</v>
      </c>
      <c r="C198">
        <f>'[1]Processed Data'!C281</f>
        <v>26</v>
      </c>
      <c r="D198" t="str">
        <f>'[1]Processed Data'!D281</f>
        <v>Mitchell Trubisky</v>
      </c>
      <c r="E198">
        <f>Table1[[#This Row],[Year]]</f>
        <v>2019</v>
      </c>
      <c r="F198">
        <f>'[1]Processed Data'!F281</f>
        <v>326</v>
      </c>
      <c r="G198">
        <f>'[1]Processed Data'!G281</f>
        <v>516</v>
      </c>
      <c r="H198">
        <f>'[1]Processed Data'!H281</f>
        <v>63.2</v>
      </c>
      <c r="I198">
        <f>'[1]Processed Data'!I281</f>
        <v>17</v>
      </c>
      <c r="J198">
        <f>'[1]Processed Data'!J281</f>
        <v>10</v>
      </c>
      <c r="K198">
        <f>'[1]Processed Data'!K281</f>
        <v>38</v>
      </c>
      <c r="L198">
        <f>'[1]Processed Data'!L281</f>
        <v>48</v>
      </c>
      <c r="M198">
        <f>'[1]Processed Data'!M281</f>
        <v>193</v>
      </c>
      <c r="N198">
        <f>'[1]Processed Data'!N281</f>
        <v>2</v>
      </c>
      <c r="O198">
        <f>'[1]Processed Data'!O281</f>
        <v>2</v>
      </c>
      <c r="P198">
        <f>'[1]Processed Data'!P281</f>
        <v>212.8</v>
      </c>
      <c r="Q198">
        <f>'[1]Processed Data'!Q281</f>
        <v>15</v>
      </c>
    </row>
    <row r="199" spans="2:17">
      <c r="B199">
        <f>'[1]Processed Data'!B282</f>
        <v>2019</v>
      </c>
      <c r="C199">
        <f>'[1]Processed Data'!C282</f>
        <v>27</v>
      </c>
      <c r="D199" t="str">
        <f>'[1]Processed Data'!D282</f>
        <v>Sam Darnold</v>
      </c>
      <c r="E199">
        <f>Table1[[#This Row],[Year]]</f>
        <v>2019</v>
      </c>
      <c r="F199">
        <f>'[1]Processed Data'!F282</f>
        <v>273</v>
      </c>
      <c r="G199">
        <f>'[1]Processed Data'!G282</f>
        <v>441</v>
      </c>
      <c r="H199">
        <f>'[1]Processed Data'!H282</f>
        <v>61.9</v>
      </c>
      <c r="I199">
        <f>'[1]Processed Data'!I282</f>
        <v>19</v>
      </c>
      <c r="J199">
        <f>'[1]Processed Data'!J282</f>
        <v>13</v>
      </c>
      <c r="K199">
        <f>'[1]Processed Data'!K282</f>
        <v>33</v>
      </c>
      <c r="L199">
        <f>'[1]Processed Data'!L282</f>
        <v>33</v>
      </c>
      <c r="M199">
        <f>'[1]Processed Data'!M282</f>
        <v>62</v>
      </c>
      <c r="N199">
        <f>'[1]Processed Data'!N282</f>
        <v>2</v>
      </c>
      <c r="O199">
        <f>'[1]Processed Data'!O282</f>
        <v>3</v>
      </c>
      <c r="P199">
        <f>'[1]Processed Data'!P282</f>
        <v>202.1</v>
      </c>
      <c r="Q199">
        <f>'[1]Processed Data'!Q282</f>
        <v>13</v>
      </c>
    </row>
    <row r="200" spans="2:17">
      <c r="B200">
        <f>'[1]Processed Data'!B283</f>
        <v>2019</v>
      </c>
      <c r="C200">
        <f>'[1]Processed Data'!C283</f>
        <v>28</v>
      </c>
      <c r="D200" t="str">
        <f>'[1]Processed Data'!D283</f>
        <v>Kyle Allen</v>
      </c>
      <c r="E200">
        <f>Table1[[#This Row],[Year]]</f>
        <v>2019</v>
      </c>
      <c r="F200">
        <f>'[1]Processed Data'!F283</f>
        <v>303</v>
      </c>
      <c r="G200">
        <f>'[1]Processed Data'!G283</f>
        <v>489</v>
      </c>
      <c r="H200">
        <f>'[1]Processed Data'!H283</f>
        <v>62</v>
      </c>
      <c r="I200">
        <f>'[1]Processed Data'!I283</f>
        <v>17</v>
      </c>
      <c r="J200">
        <f>'[1]Processed Data'!J283</f>
        <v>16</v>
      </c>
      <c r="K200">
        <f>'[1]Processed Data'!K283</f>
        <v>46</v>
      </c>
      <c r="L200">
        <f>'[1]Processed Data'!L283</f>
        <v>32</v>
      </c>
      <c r="M200">
        <f>'[1]Processed Data'!M283</f>
        <v>106</v>
      </c>
      <c r="N200">
        <f>'[1]Processed Data'!N283</f>
        <v>2</v>
      </c>
      <c r="O200">
        <f>'[1]Processed Data'!O283</f>
        <v>7</v>
      </c>
      <c r="P200">
        <f>'[1]Processed Data'!P283</f>
        <v>193.4</v>
      </c>
      <c r="Q200">
        <f>'[1]Processed Data'!Q283</f>
        <v>14</v>
      </c>
    </row>
    <row r="201" spans="2:17">
      <c r="B201">
        <f>'[1]Processed Data'!B284</f>
        <v>2019</v>
      </c>
      <c r="C201">
        <f>'[1]Processed Data'!C284</f>
        <v>29</v>
      </c>
      <c r="D201" t="str">
        <f>'[1]Processed Data'!D284</f>
        <v>Matthew Stafford</v>
      </c>
      <c r="E201">
        <f>Table1[[#This Row],[Year]]</f>
        <v>2019</v>
      </c>
      <c r="F201">
        <f>'[1]Processed Data'!F284</f>
        <v>187</v>
      </c>
      <c r="G201">
        <f>'[1]Processed Data'!G284</f>
        <v>291</v>
      </c>
      <c r="H201">
        <f>'[1]Processed Data'!H284</f>
        <v>64.3</v>
      </c>
      <c r="I201">
        <f>'[1]Processed Data'!I284</f>
        <v>19</v>
      </c>
      <c r="J201">
        <f>'[1]Processed Data'!J284</f>
        <v>5</v>
      </c>
      <c r="K201">
        <f>'[1]Processed Data'!K284</f>
        <v>18</v>
      </c>
      <c r="L201">
        <f>'[1]Processed Data'!L284</f>
        <v>20</v>
      </c>
      <c r="M201">
        <f>'[1]Processed Data'!M284</f>
        <v>66</v>
      </c>
      <c r="N201">
        <f>'[1]Processed Data'!N284</f>
        <v>0</v>
      </c>
      <c r="O201">
        <f>'[1]Processed Data'!O284</f>
        <v>3</v>
      </c>
      <c r="P201">
        <f>'[1]Processed Data'!P284</f>
        <v>171.5</v>
      </c>
      <c r="Q201">
        <f>'[1]Processed Data'!Q284</f>
        <v>8</v>
      </c>
    </row>
    <row r="202" spans="2:17">
      <c r="B202">
        <f>'[1]Processed Data'!B285</f>
        <v>2019</v>
      </c>
      <c r="C202">
        <f>'[1]Processed Data'!C285</f>
        <v>30</v>
      </c>
      <c r="D202" t="str">
        <f>'[1]Processed Data'!D285</f>
        <v>Mason Rudolph</v>
      </c>
      <c r="E202">
        <f>Table1[[#This Row],[Year]]</f>
        <v>2019</v>
      </c>
      <c r="F202">
        <f>'[1]Processed Data'!F285</f>
        <v>176</v>
      </c>
      <c r="G202">
        <f>'[1]Processed Data'!G285</f>
        <v>283</v>
      </c>
      <c r="H202">
        <f>'[1]Processed Data'!H285</f>
        <v>62.2</v>
      </c>
      <c r="I202">
        <f>'[1]Processed Data'!I285</f>
        <v>13</v>
      </c>
      <c r="J202">
        <f>'[1]Processed Data'!J285</f>
        <v>9</v>
      </c>
      <c r="K202">
        <f>'[1]Processed Data'!K285</f>
        <v>15</v>
      </c>
      <c r="L202">
        <f>'[1]Processed Data'!L285</f>
        <v>21</v>
      </c>
      <c r="M202">
        <f>'[1]Processed Data'!M285</f>
        <v>42</v>
      </c>
      <c r="N202">
        <f>'[1]Processed Data'!N285</f>
        <v>0</v>
      </c>
      <c r="O202">
        <f>'[1]Processed Data'!O285</f>
        <v>0</v>
      </c>
      <c r="P202">
        <f>'[1]Processed Data'!P285</f>
        <v>117.8</v>
      </c>
      <c r="Q202">
        <f>'[1]Processed Data'!Q285</f>
        <v>10</v>
      </c>
    </row>
    <row r="203" spans="2:17">
      <c r="B203">
        <f>'[1]Processed Data'!B286</f>
        <v>2019</v>
      </c>
      <c r="C203">
        <f>'[1]Processed Data'!C286</f>
        <v>31</v>
      </c>
      <c r="D203" t="str">
        <f>'[1]Processed Data'!D286</f>
        <v>Case Keenum</v>
      </c>
      <c r="E203">
        <f>Table1[[#This Row],[Year]]</f>
        <v>2019</v>
      </c>
      <c r="F203">
        <f>'[1]Processed Data'!F286</f>
        <v>160</v>
      </c>
      <c r="G203">
        <f>'[1]Processed Data'!G286</f>
        <v>247</v>
      </c>
      <c r="H203">
        <f>'[1]Processed Data'!H286</f>
        <v>64.8</v>
      </c>
      <c r="I203">
        <f>'[1]Processed Data'!I286</f>
        <v>11</v>
      </c>
      <c r="J203">
        <f>'[1]Processed Data'!J286</f>
        <v>5</v>
      </c>
      <c r="K203">
        <f>'[1]Processed Data'!K286</f>
        <v>15</v>
      </c>
      <c r="L203">
        <f>'[1]Processed Data'!L286</f>
        <v>9</v>
      </c>
      <c r="M203">
        <f>'[1]Processed Data'!M286</f>
        <v>12</v>
      </c>
      <c r="N203">
        <f>'[1]Processed Data'!N286</f>
        <v>1</v>
      </c>
      <c r="O203">
        <f>'[1]Processed Data'!O286</f>
        <v>3</v>
      </c>
      <c r="P203">
        <f>'[1]Processed Data'!P286</f>
        <v>108.4</v>
      </c>
      <c r="Q203">
        <f>'[1]Processed Data'!Q286</f>
        <v>10</v>
      </c>
    </row>
    <row r="204" spans="2:17">
      <c r="B204">
        <f>'[1]Processed Data'!B287</f>
        <v>2019</v>
      </c>
      <c r="C204">
        <f>'[1]Processed Data'!C287</f>
        <v>32</v>
      </c>
      <c r="D204" t="str">
        <f>'[1]Processed Data'!D287</f>
        <v>Taysom Hill</v>
      </c>
      <c r="E204">
        <f>Table1[[#This Row],[Year]]</f>
        <v>2019</v>
      </c>
      <c r="F204">
        <f>'[1]Processed Data'!F287</f>
        <v>3</v>
      </c>
      <c r="G204">
        <f>'[1]Processed Data'!G287</f>
        <v>6</v>
      </c>
      <c r="H204">
        <f>'[1]Processed Data'!H287</f>
        <v>50</v>
      </c>
      <c r="I204">
        <f>'[1]Processed Data'!I287</f>
        <v>0</v>
      </c>
      <c r="J204">
        <f>'[1]Processed Data'!J287</f>
        <v>0</v>
      </c>
      <c r="K204">
        <f>'[1]Processed Data'!K287</f>
        <v>1</v>
      </c>
      <c r="L204">
        <f>'[1]Processed Data'!L287</f>
        <v>27</v>
      </c>
      <c r="M204">
        <f>'[1]Processed Data'!M287</f>
        <v>156</v>
      </c>
      <c r="N204">
        <f>'[1]Processed Data'!N287</f>
        <v>1</v>
      </c>
      <c r="O204">
        <f>'[1]Processed Data'!O287</f>
        <v>0</v>
      </c>
      <c r="P204">
        <f>'[1]Processed Data'!P287</f>
        <v>92.7</v>
      </c>
      <c r="Q204">
        <f>'[1]Processed Data'!Q287</f>
        <v>16</v>
      </c>
    </row>
    <row r="205" spans="2:17">
      <c r="B205">
        <f>'[1]Processed Data'!B288</f>
        <v>2019</v>
      </c>
      <c r="C205">
        <f>'[1]Processed Data'!C288</f>
        <v>33</v>
      </c>
      <c r="D205" t="str">
        <f>'[1]Processed Data'!D288</f>
        <v>Teddy Bridgewater</v>
      </c>
      <c r="E205">
        <f>Table1[[#This Row],[Year]]</f>
        <v>2019</v>
      </c>
      <c r="F205">
        <f>'[1]Processed Data'!F288</f>
        <v>133</v>
      </c>
      <c r="G205">
        <f>'[1]Processed Data'!G288</f>
        <v>196</v>
      </c>
      <c r="H205">
        <f>'[1]Processed Data'!H288</f>
        <v>67.900000000000006</v>
      </c>
      <c r="I205">
        <f>'[1]Processed Data'!I288</f>
        <v>9</v>
      </c>
      <c r="J205">
        <f>'[1]Processed Data'!J288</f>
        <v>2</v>
      </c>
      <c r="K205">
        <f>'[1]Processed Data'!K288</f>
        <v>12</v>
      </c>
      <c r="L205">
        <f>'[1]Processed Data'!L288</f>
        <v>28</v>
      </c>
      <c r="M205">
        <f>'[1]Processed Data'!M288</f>
        <v>31</v>
      </c>
      <c r="N205">
        <f>'[1]Processed Data'!N288</f>
        <v>0</v>
      </c>
      <c r="O205">
        <f>'[1]Processed Data'!O288</f>
        <v>0</v>
      </c>
      <c r="P205">
        <f>'[1]Processed Data'!P288</f>
        <v>92.5</v>
      </c>
      <c r="Q205">
        <f>'[1]Processed Data'!Q288</f>
        <v>10</v>
      </c>
    </row>
    <row r="206" spans="2:17">
      <c r="B206">
        <f>'[1]Processed Data'!B289</f>
        <v>2019</v>
      </c>
      <c r="C206">
        <f>'[1]Processed Data'!C289</f>
        <v>34</v>
      </c>
      <c r="D206" t="str">
        <f>'[1]Processed Data'!D289</f>
        <v>Joe Flacco</v>
      </c>
      <c r="E206">
        <f>Table1[[#This Row],[Year]]</f>
        <v>2019</v>
      </c>
      <c r="F206">
        <f>'[1]Processed Data'!F289</f>
        <v>171</v>
      </c>
      <c r="G206">
        <f>'[1]Processed Data'!G289</f>
        <v>262</v>
      </c>
      <c r="H206">
        <f>'[1]Processed Data'!H289</f>
        <v>65.3</v>
      </c>
      <c r="I206">
        <f>'[1]Processed Data'!I289</f>
        <v>6</v>
      </c>
      <c r="J206">
        <f>'[1]Processed Data'!J289</f>
        <v>5</v>
      </c>
      <c r="K206">
        <f>'[1]Processed Data'!K289</f>
        <v>26</v>
      </c>
      <c r="L206">
        <f>'[1]Processed Data'!L289</f>
        <v>12</v>
      </c>
      <c r="M206">
        <f>'[1]Processed Data'!M289</f>
        <v>20</v>
      </c>
      <c r="N206">
        <f>'[1]Processed Data'!N289</f>
        <v>0</v>
      </c>
      <c r="O206">
        <f>'[1]Processed Data'!O289</f>
        <v>3</v>
      </c>
      <c r="P206">
        <f>'[1]Processed Data'!P289</f>
        <v>89.9</v>
      </c>
      <c r="Q206">
        <f>'[1]Processed Data'!Q289</f>
        <v>8</v>
      </c>
    </row>
    <row r="207" spans="2:17">
      <c r="B207">
        <f>'[1]Processed Data'!B290</f>
        <v>2019</v>
      </c>
      <c r="C207">
        <f>'[1]Processed Data'!C290</f>
        <v>35</v>
      </c>
      <c r="D207" t="str">
        <f>'[1]Processed Data'!D290</f>
        <v>Marcus Mariota</v>
      </c>
      <c r="E207">
        <f>Table1[[#This Row],[Year]]</f>
        <v>2019</v>
      </c>
      <c r="F207">
        <f>'[1]Processed Data'!F290</f>
        <v>95</v>
      </c>
      <c r="G207">
        <f>'[1]Processed Data'!G290</f>
        <v>160</v>
      </c>
      <c r="H207">
        <f>'[1]Processed Data'!H290</f>
        <v>59.4</v>
      </c>
      <c r="I207">
        <f>'[1]Processed Data'!I290</f>
        <v>7</v>
      </c>
      <c r="J207">
        <f>'[1]Processed Data'!J290</f>
        <v>2</v>
      </c>
      <c r="K207">
        <f>'[1]Processed Data'!K290</f>
        <v>25</v>
      </c>
      <c r="L207">
        <f>'[1]Processed Data'!L290</f>
        <v>24</v>
      </c>
      <c r="M207">
        <f>'[1]Processed Data'!M290</f>
        <v>129</v>
      </c>
      <c r="N207">
        <f>'[1]Processed Data'!N290</f>
        <v>0</v>
      </c>
      <c r="O207">
        <f>'[1]Processed Data'!O290</f>
        <v>0</v>
      </c>
      <c r="P207">
        <f>'[1]Processed Data'!P290</f>
        <v>87.1</v>
      </c>
      <c r="Q207">
        <f>'[1]Processed Data'!Q290</f>
        <v>7</v>
      </c>
    </row>
    <row r="208" spans="2:17">
      <c r="B208">
        <f>'[1]Processed Data'!B291</f>
        <v>2019</v>
      </c>
      <c r="C208">
        <f>'[1]Processed Data'!C291</f>
        <v>36</v>
      </c>
      <c r="D208" t="str">
        <f>'[1]Processed Data'!D291</f>
        <v>Dwayne Haskins</v>
      </c>
      <c r="E208">
        <f>Table1[[#This Row],[Year]]</f>
        <v>2019</v>
      </c>
      <c r="F208">
        <f>'[1]Processed Data'!F291</f>
        <v>119</v>
      </c>
      <c r="G208">
        <f>'[1]Processed Data'!G291</f>
        <v>203</v>
      </c>
      <c r="H208">
        <f>'[1]Processed Data'!H291</f>
        <v>58.6</v>
      </c>
      <c r="I208">
        <f>'[1]Processed Data'!I291</f>
        <v>7</v>
      </c>
      <c r="J208">
        <f>'[1]Processed Data'!J291</f>
        <v>7</v>
      </c>
      <c r="K208">
        <f>'[1]Processed Data'!K291</f>
        <v>29</v>
      </c>
      <c r="L208">
        <f>'[1]Processed Data'!L291</f>
        <v>20</v>
      </c>
      <c r="M208">
        <f>'[1]Processed Data'!M291</f>
        <v>101</v>
      </c>
      <c r="N208">
        <f>'[1]Processed Data'!N291</f>
        <v>0</v>
      </c>
      <c r="O208">
        <f>'[1]Processed Data'!O291</f>
        <v>2</v>
      </c>
      <c r="P208">
        <f>'[1]Processed Data'!P291</f>
        <v>83.7</v>
      </c>
      <c r="Q208">
        <f>'[1]Processed Data'!Q291</f>
        <v>9</v>
      </c>
    </row>
    <row r="209" spans="2:17">
      <c r="B209">
        <f>'[1]Processed Data'!B292</f>
        <v>2019</v>
      </c>
      <c r="C209">
        <f>'[1]Processed Data'!C292</f>
        <v>37</v>
      </c>
      <c r="D209" t="str">
        <f>'[1]Processed Data'!D292</f>
        <v>Drew Lock</v>
      </c>
      <c r="E209">
        <f>Table1[[#This Row],[Year]]</f>
        <v>2019</v>
      </c>
      <c r="F209">
        <f>'[1]Processed Data'!F292</f>
        <v>100</v>
      </c>
      <c r="G209">
        <f>'[1]Processed Data'!G292</f>
        <v>156</v>
      </c>
      <c r="H209">
        <f>'[1]Processed Data'!H292</f>
        <v>64.099999999999994</v>
      </c>
      <c r="I209">
        <f>'[1]Processed Data'!I292</f>
        <v>7</v>
      </c>
      <c r="J209">
        <f>'[1]Processed Data'!J292</f>
        <v>3</v>
      </c>
      <c r="K209">
        <f>'[1]Processed Data'!K292</f>
        <v>5</v>
      </c>
      <c r="L209">
        <f>'[1]Processed Data'!L292</f>
        <v>18</v>
      </c>
      <c r="M209">
        <f>'[1]Processed Data'!M292</f>
        <v>72</v>
      </c>
      <c r="N209">
        <f>'[1]Processed Data'!N292</f>
        <v>0</v>
      </c>
      <c r="O209">
        <f>'[1]Processed Data'!O292</f>
        <v>1</v>
      </c>
      <c r="P209">
        <f>'[1]Processed Data'!P292</f>
        <v>71.099999999999994</v>
      </c>
      <c r="Q209">
        <f>'[1]Processed Data'!Q292</f>
        <v>5</v>
      </c>
    </row>
    <row r="210" spans="2:17">
      <c r="B210">
        <f>'[1]Processed Data'!B293</f>
        <v>2019</v>
      </c>
      <c r="C210">
        <f>'[1]Processed Data'!C293</f>
        <v>38</v>
      </c>
      <c r="D210" t="str">
        <f>'[1]Processed Data'!D293</f>
        <v>Jeff Driskel</v>
      </c>
      <c r="E210">
        <f>Table1[[#This Row],[Year]]</f>
        <v>2019</v>
      </c>
      <c r="F210">
        <f>'[1]Processed Data'!F293</f>
        <v>62</v>
      </c>
      <c r="G210">
        <f>'[1]Processed Data'!G293</f>
        <v>105</v>
      </c>
      <c r="H210">
        <f>'[1]Processed Data'!H293</f>
        <v>59</v>
      </c>
      <c r="I210">
        <f>'[1]Processed Data'!I293</f>
        <v>4</v>
      </c>
      <c r="J210">
        <f>'[1]Processed Data'!J293</f>
        <v>4</v>
      </c>
      <c r="K210">
        <f>'[1]Processed Data'!K293</f>
        <v>11</v>
      </c>
      <c r="L210">
        <f>'[1]Processed Data'!L293</f>
        <v>22</v>
      </c>
      <c r="M210">
        <f>'[1]Processed Data'!M293</f>
        <v>151</v>
      </c>
      <c r="N210">
        <f>'[1]Processed Data'!N293</f>
        <v>1</v>
      </c>
      <c r="O210">
        <f>'[1]Processed Data'!O293</f>
        <v>0</v>
      </c>
      <c r="P210">
        <f>'[1]Processed Data'!P293</f>
        <v>61.7</v>
      </c>
      <c r="Q210">
        <f>'[1]Processed Data'!Q293</f>
        <v>4</v>
      </c>
    </row>
    <row r="211" spans="2:17">
      <c r="B211">
        <f>'[1]Processed Data'!B294</f>
        <v>2019</v>
      </c>
      <c r="C211">
        <f>'[1]Processed Data'!C294</f>
        <v>39</v>
      </c>
      <c r="D211" t="str">
        <f>'[1]Processed Data'!D294</f>
        <v>David Blough</v>
      </c>
      <c r="E211">
        <f>Table1[[#This Row],[Year]]</f>
        <v>2019</v>
      </c>
      <c r="F211">
        <f>'[1]Processed Data'!F294</f>
        <v>94</v>
      </c>
      <c r="G211">
        <f>'[1]Processed Data'!G294</f>
        <v>174</v>
      </c>
      <c r="H211">
        <f>'[1]Processed Data'!H294</f>
        <v>54</v>
      </c>
      <c r="I211">
        <f>'[1]Processed Data'!I294</f>
        <v>4</v>
      </c>
      <c r="J211">
        <f>'[1]Processed Data'!J294</f>
        <v>6</v>
      </c>
      <c r="K211">
        <f>'[1]Processed Data'!K294</f>
        <v>14</v>
      </c>
      <c r="L211">
        <f>'[1]Processed Data'!L294</f>
        <v>8</v>
      </c>
      <c r="M211">
        <f>'[1]Processed Data'!M294</f>
        <v>31</v>
      </c>
      <c r="N211">
        <f>'[1]Processed Data'!N294</f>
        <v>0</v>
      </c>
      <c r="O211">
        <f>'[1]Processed Data'!O294</f>
        <v>0</v>
      </c>
      <c r="P211">
        <f>'[1]Processed Data'!P294</f>
        <v>60.9</v>
      </c>
      <c r="Q211">
        <f>'[1]Processed Data'!Q294</f>
        <v>5</v>
      </c>
    </row>
    <row r="212" spans="2:17">
      <c r="B212">
        <f>'[1]Processed Data'!B295</f>
        <v>2019</v>
      </c>
      <c r="C212">
        <f>'[1]Processed Data'!C295</f>
        <v>40</v>
      </c>
      <c r="D212" t="str">
        <f>'[1]Processed Data'!D295</f>
        <v>Devlin Hodges</v>
      </c>
      <c r="E212">
        <f>Table1[[#This Row],[Year]]</f>
        <v>2019</v>
      </c>
      <c r="F212">
        <f>'[1]Processed Data'!F295</f>
        <v>100</v>
      </c>
      <c r="G212">
        <f>'[1]Processed Data'!G295</f>
        <v>160</v>
      </c>
      <c r="H212">
        <f>'[1]Processed Data'!H295</f>
        <v>62.5</v>
      </c>
      <c r="I212">
        <f>'[1]Processed Data'!I295</f>
        <v>5</v>
      </c>
      <c r="J212">
        <f>'[1]Processed Data'!J295</f>
        <v>8</v>
      </c>
      <c r="K212">
        <f>'[1]Processed Data'!K295</f>
        <v>15</v>
      </c>
      <c r="L212">
        <f>'[1]Processed Data'!L295</f>
        <v>21</v>
      </c>
      <c r="M212">
        <f>'[1]Processed Data'!M295</f>
        <v>68</v>
      </c>
      <c r="N212">
        <f>'[1]Processed Data'!N295</f>
        <v>0</v>
      </c>
      <c r="O212">
        <f>'[1]Processed Data'!O295</f>
        <v>1</v>
      </c>
      <c r="P212">
        <f>'[1]Processed Data'!P295</f>
        <v>59.4</v>
      </c>
      <c r="Q212">
        <f>'[1]Processed Data'!Q295</f>
        <v>8</v>
      </c>
    </row>
    <row r="213" spans="2:17">
      <c r="B213">
        <f>'[1]Processed Data'!B296</f>
        <v>2019</v>
      </c>
      <c r="C213">
        <f>'[1]Processed Data'!C296</f>
        <v>41</v>
      </c>
      <c r="D213" t="str">
        <f>'[1]Processed Data'!D296</f>
        <v>Eli Manning</v>
      </c>
      <c r="E213">
        <f>Table1[[#This Row],[Year]]</f>
        <v>2019</v>
      </c>
      <c r="F213">
        <f>'[1]Processed Data'!F296</f>
        <v>91</v>
      </c>
      <c r="G213">
        <f>'[1]Processed Data'!G296</f>
        <v>147</v>
      </c>
      <c r="H213">
        <f>'[1]Processed Data'!H296</f>
        <v>61.9</v>
      </c>
      <c r="I213">
        <f>'[1]Processed Data'!I296</f>
        <v>6</v>
      </c>
      <c r="J213">
        <f>'[1]Processed Data'!J296</f>
        <v>5</v>
      </c>
      <c r="K213">
        <f>'[1]Processed Data'!K296</f>
        <v>5</v>
      </c>
      <c r="L213">
        <f>'[1]Processed Data'!L296</f>
        <v>4</v>
      </c>
      <c r="M213">
        <f>'[1]Processed Data'!M296</f>
        <v>7</v>
      </c>
      <c r="N213">
        <f>'[1]Processed Data'!N296</f>
        <v>0</v>
      </c>
      <c r="O213">
        <f>'[1]Processed Data'!O296</f>
        <v>1</v>
      </c>
      <c r="P213">
        <f>'[1]Processed Data'!P296</f>
        <v>59.3</v>
      </c>
      <c r="Q213">
        <f>'[1]Processed Data'!Q296</f>
        <v>4</v>
      </c>
    </row>
    <row r="214" spans="2:17">
      <c r="B214">
        <f>'[1]Processed Data'!B297</f>
        <v>2019</v>
      </c>
      <c r="C214">
        <f>'[1]Processed Data'!C297</f>
        <v>42</v>
      </c>
      <c r="D214" t="str">
        <f>'[1]Processed Data'!D297</f>
        <v>Matt Moore</v>
      </c>
      <c r="E214">
        <f>Table1[[#This Row],[Year]]</f>
        <v>2019</v>
      </c>
      <c r="F214">
        <f>'[1]Processed Data'!F297</f>
        <v>59</v>
      </c>
      <c r="G214">
        <f>'[1]Processed Data'!G297</f>
        <v>91</v>
      </c>
      <c r="H214">
        <f>'[1]Processed Data'!H297</f>
        <v>64.8</v>
      </c>
      <c r="I214">
        <f>'[1]Processed Data'!I297</f>
        <v>4</v>
      </c>
      <c r="J214">
        <f>'[1]Processed Data'!J297</f>
        <v>0</v>
      </c>
      <c r="K214">
        <f>'[1]Processed Data'!K297</f>
        <v>8</v>
      </c>
      <c r="L214">
        <f>'[1]Processed Data'!L297</f>
        <v>5</v>
      </c>
      <c r="M214">
        <f>'[1]Processed Data'!M297</f>
        <v>-1</v>
      </c>
      <c r="N214">
        <f>'[1]Processed Data'!N297</f>
        <v>0</v>
      </c>
      <c r="O214">
        <f>'[1]Processed Data'!O297</f>
        <v>0</v>
      </c>
      <c r="P214">
        <f>'[1]Processed Data'!P297</f>
        <v>42.3</v>
      </c>
      <c r="Q214">
        <f>'[1]Processed Data'!Q297</f>
        <v>6</v>
      </c>
    </row>
    <row r="215" spans="2:17">
      <c r="B215">
        <f>'[1]Processed Data'!B298</f>
        <v>2019</v>
      </c>
      <c r="C215">
        <f>'[1]Processed Data'!C298</f>
        <v>43</v>
      </c>
      <c r="D215" t="str">
        <f>'[1]Processed Data'!D298</f>
        <v>Nick Foles</v>
      </c>
      <c r="E215">
        <f>Table1[[#This Row],[Year]]</f>
        <v>2019</v>
      </c>
      <c r="F215">
        <f>'[1]Processed Data'!F298</f>
        <v>77</v>
      </c>
      <c r="G215">
        <f>'[1]Processed Data'!G298</f>
        <v>117</v>
      </c>
      <c r="H215">
        <f>'[1]Processed Data'!H298</f>
        <v>65.8</v>
      </c>
      <c r="I215">
        <f>'[1]Processed Data'!I298</f>
        <v>3</v>
      </c>
      <c r="J215">
        <f>'[1]Processed Data'!J298</f>
        <v>2</v>
      </c>
      <c r="K215">
        <f>'[1]Processed Data'!K298</f>
        <v>8</v>
      </c>
      <c r="L215">
        <f>'[1]Processed Data'!L298</f>
        <v>4</v>
      </c>
      <c r="M215">
        <f>'[1]Processed Data'!M298</f>
        <v>23</v>
      </c>
      <c r="N215">
        <f>'[1]Processed Data'!N298</f>
        <v>0</v>
      </c>
      <c r="O215">
        <f>'[1]Processed Data'!O298</f>
        <v>2</v>
      </c>
      <c r="P215">
        <f>'[1]Processed Data'!P298</f>
        <v>39.700000000000003</v>
      </c>
      <c r="Q215">
        <f>'[1]Processed Data'!Q298</f>
        <v>4</v>
      </c>
    </row>
    <row r="216" spans="2:17">
      <c r="B216">
        <f>'[1]Processed Data'!B299</f>
        <v>2019</v>
      </c>
      <c r="C216">
        <f>'[1]Processed Data'!C299</f>
        <v>44</v>
      </c>
      <c r="D216" t="str">
        <f>'[1]Processed Data'!D299</f>
        <v>Brandon Allen</v>
      </c>
      <c r="E216">
        <f>Table1[[#This Row],[Year]]</f>
        <v>2019</v>
      </c>
      <c r="F216">
        <f>'[1]Processed Data'!F299</f>
        <v>39</v>
      </c>
      <c r="G216">
        <f>'[1]Processed Data'!G299</f>
        <v>84</v>
      </c>
      <c r="H216">
        <f>'[1]Processed Data'!H299</f>
        <v>46.4</v>
      </c>
      <c r="I216">
        <f>'[1]Processed Data'!I299</f>
        <v>3</v>
      </c>
      <c r="J216">
        <f>'[1]Processed Data'!J299</f>
        <v>2</v>
      </c>
      <c r="K216">
        <f>'[1]Processed Data'!K299</f>
        <v>9</v>
      </c>
      <c r="L216">
        <f>'[1]Processed Data'!L299</f>
        <v>10</v>
      </c>
      <c r="M216">
        <f>'[1]Processed Data'!M299</f>
        <v>39</v>
      </c>
      <c r="N216">
        <f>'[1]Processed Data'!N299</f>
        <v>0</v>
      </c>
      <c r="O216">
        <f>'[1]Processed Data'!O299</f>
        <v>0</v>
      </c>
      <c r="P216">
        <f>'[1]Processed Data'!P299</f>
        <v>34.5</v>
      </c>
      <c r="Q216">
        <f>'[1]Processed Data'!Q299</f>
        <v>3</v>
      </c>
    </row>
    <row r="217" spans="2:17">
      <c r="B217">
        <f>'[1]Processed Data'!B300</f>
        <v>2019</v>
      </c>
      <c r="C217">
        <f>'[1]Processed Data'!C300</f>
        <v>45</v>
      </c>
      <c r="D217" t="str">
        <f>'[1]Processed Data'!D300</f>
        <v>Matt Schaub</v>
      </c>
      <c r="E217">
        <f>Table1[[#This Row],[Year]]</f>
        <v>2019</v>
      </c>
      <c r="F217">
        <f>'[1]Processed Data'!F300</f>
        <v>50</v>
      </c>
      <c r="G217">
        <f>'[1]Processed Data'!G300</f>
        <v>67</v>
      </c>
      <c r="H217">
        <f>'[1]Processed Data'!H300</f>
        <v>74.599999999999994</v>
      </c>
      <c r="I217">
        <f>'[1]Processed Data'!I300</f>
        <v>3</v>
      </c>
      <c r="J217">
        <f>'[1]Processed Data'!J300</f>
        <v>1</v>
      </c>
      <c r="K217">
        <f>'[1]Processed Data'!K300</f>
        <v>2</v>
      </c>
      <c r="L217">
        <f>'[1]Processed Data'!L300</f>
        <v>3</v>
      </c>
      <c r="M217">
        <f>'[1]Processed Data'!M300</f>
        <v>-3</v>
      </c>
      <c r="N217">
        <f>'[1]Processed Data'!N300</f>
        <v>0</v>
      </c>
      <c r="O217">
        <f>'[1]Processed Data'!O300</f>
        <v>1</v>
      </c>
      <c r="P217">
        <f>'[1]Processed Data'!P300</f>
        <v>33.9</v>
      </c>
      <c r="Q217">
        <f>'[1]Processed Data'!Q300</f>
        <v>7</v>
      </c>
    </row>
    <row r="218" spans="2:17">
      <c r="B218">
        <f>'[1]Processed Data'!B301</f>
        <v>2019</v>
      </c>
      <c r="C218">
        <f>'[1]Processed Data'!C301</f>
        <v>46</v>
      </c>
      <c r="D218" t="str">
        <f>'[1]Processed Data'!D301</f>
        <v>Chase Daniel</v>
      </c>
      <c r="E218">
        <f>Table1[[#This Row],[Year]]</f>
        <v>2019</v>
      </c>
      <c r="F218">
        <f>'[1]Processed Data'!F301</f>
        <v>45</v>
      </c>
      <c r="G218">
        <f>'[1]Processed Data'!G301</f>
        <v>64</v>
      </c>
      <c r="H218">
        <f>'[1]Processed Data'!H301</f>
        <v>70.3</v>
      </c>
      <c r="I218">
        <f>'[1]Processed Data'!I301</f>
        <v>3</v>
      </c>
      <c r="J218">
        <f>'[1]Processed Data'!J301</f>
        <v>2</v>
      </c>
      <c r="K218">
        <f>'[1]Processed Data'!K301</f>
        <v>7</v>
      </c>
      <c r="L218">
        <f>'[1]Processed Data'!L301</f>
        <v>6</v>
      </c>
      <c r="M218">
        <f>'[1]Processed Data'!M301</f>
        <v>6</v>
      </c>
      <c r="N218">
        <f>'[1]Processed Data'!N301</f>
        <v>0</v>
      </c>
      <c r="O218">
        <f>'[1]Processed Data'!O301</f>
        <v>0</v>
      </c>
      <c r="P218">
        <f>'[1]Processed Data'!P301</f>
        <v>28</v>
      </c>
      <c r="Q218">
        <f>'[1]Processed Data'!Q301</f>
        <v>5</v>
      </c>
    </row>
    <row r="219" spans="2:17">
      <c r="B219">
        <f>'[1]Processed Data'!B302</f>
        <v>2019</v>
      </c>
      <c r="C219">
        <f>'[1]Processed Data'!C302</f>
        <v>47</v>
      </c>
      <c r="D219" t="str">
        <f>'[1]Processed Data'!D302</f>
        <v>Ryan Finley</v>
      </c>
      <c r="E219">
        <f>Table1[[#This Row],[Year]]</f>
        <v>2019</v>
      </c>
      <c r="F219">
        <f>'[1]Processed Data'!F302</f>
        <v>41</v>
      </c>
      <c r="G219">
        <f>'[1]Processed Data'!G302</f>
        <v>87</v>
      </c>
      <c r="H219">
        <f>'[1]Processed Data'!H302</f>
        <v>47.1</v>
      </c>
      <c r="I219">
        <f>'[1]Processed Data'!I302</f>
        <v>2</v>
      </c>
      <c r="J219">
        <f>'[1]Processed Data'!J302</f>
        <v>2</v>
      </c>
      <c r="K219">
        <f>'[1]Processed Data'!K302</f>
        <v>11</v>
      </c>
      <c r="L219">
        <f>'[1]Processed Data'!L302</f>
        <v>10</v>
      </c>
      <c r="M219">
        <f>'[1]Processed Data'!M302</f>
        <v>77</v>
      </c>
      <c r="N219">
        <f>'[1]Processed Data'!N302</f>
        <v>0</v>
      </c>
      <c r="O219">
        <f>'[1]Processed Data'!O302</f>
        <v>3</v>
      </c>
      <c r="P219">
        <f>'[1]Processed Data'!P302</f>
        <v>26.7</v>
      </c>
      <c r="Q219">
        <f>'[1]Processed Data'!Q302</f>
        <v>3</v>
      </c>
    </row>
    <row r="220" spans="2:17">
      <c r="B220">
        <f>'[1]Processed Data'!B303</f>
        <v>2019</v>
      </c>
      <c r="C220">
        <f>'[1]Processed Data'!C303</f>
        <v>48</v>
      </c>
      <c r="D220" t="str">
        <f>'[1]Processed Data'!D303</f>
        <v>Brian Hoyer</v>
      </c>
      <c r="E220">
        <f>Table1[[#This Row],[Year]]</f>
        <v>2019</v>
      </c>
      <c r="F220">
        <f>'[1]Processed Data'!F303</f>
        <v>35</v>
      </c>
      <c r="G220">
        <f>'[1]Processed Data'!G303</f>
        <v>65</v>
      </c>
      <c r="H220">
        <f>'[1]Processed Data'!H303</f>
        <v>53.8</v>
      </c>
      <c r="I220">
        <f>'[1]Processed Data'!I303</f>
        <v>4</v>
      </c>
      <c r="J220">
        <f>'[1]Processed Data'!J303</f>
        <v>4</v>
      </c>
      <c r="K220">
        <f>'[1]Processed Data'!K303</f>
        <v>5</v>
      </c>
      <c r="L220">
        <f>'[1]Processed Data'!L303</f>
        <v>8</v>
      </c>
      <c r="M220">
        <f>'[1]Processed Data'!M303</f>
        <v>2</v>
      </c>
      <c r="N220">
        <f>'[1]Processed Data'!N303</f>
        <v>0</v>
      </c>
      <c r="O220">
        <f>'[1]Processed Data'!O303</f>
        <v>1</v>
      </c>
      <c r="P220">
        <f>'[1]Processed Data'!P303</f>
        <v>25.1</v>
      </c>
      <c r="Q220">
        <f>'[1]Processed Data'!Q303</f>
        <v>5</v>
      </c>
    </row>
    <row r="221" spans="2:17">
      <c r="B221">
        <f>'[1]Processed Data'!B304</f>
        <v>2019</v>
      </c>
      <c r="C221">
        <f>'[1]Processed Data'!C304</f>
        <v>49</v>
      </c>
      <c r="D221" t="str">
        <f>'[1]Processed Data'!D304</f>
        <v>Josh Rosen</v>
      </c>
      <c r="E221">
        <f>Table1[[#This Row],[Year]]</f>
        <v>2019</v>
      </c>
      <c r="F221">
        <f>'[1]Processed Data'!F304</f>
        <v>58</v>
      </c>
      <c r="G221">
        <f>'[1]Processed Data'!G304</f>
        <v>109</v>
      </c>
      <c r="H221">
        <f>'[1]Processed Data'!H304</f>
        <v>53.2</v>
      </c>
      <c r="I221">
        <f>'[1]Processed Data'!I304</f>
        <v>1</v>
      </c>
      <c r="J221">
        <f>'[1]Processed Data'!J304</f>
        <v>5</v>
      </c>
      <c r="K221">
        <f>'[1]Processed Data'!K304</f>
        <v>16</v>
      </c>
      <c r="L221">
        <f>'[1]Processed Data'!L304</f>
        <v>3</v>
      </c>
      <c r="M221">
        <f>'[1]Processed Data'!M304</f>
        <v>13</v>
      </c>
      <c r="N221">
        <f>'[1]Processed Data'!N304</f>
        <v>0</v>
      </c>
      <c r="O221">
        <f>'[1]Processed Data'!O304</f>
        <v>0</v>
      </c>
      <c r="P221">
        <f>'[1]Processed Data'!P304</f>
        <v>23</v>
      </c>
      <c r="Q221">
        <f>'[1]Processed Data'!Q304</f>
        <v>6</v>
      </c>
    </row>
    <row r="222" spans="2:17">
      <c r="B222">
        <f>'[1]Processed Data'!B305</f>
        <v>2019</v>
      </c>
      <c r="C222">
        <f>'[1]Processed Data'!C305</f>
        <v>50</v>
      </c>
      <c r="D222" t="str">
        <f>'[1]Processed Data'!D305</f>
        <v>Robert Griffin III</v>
      </c>
      <c r="E222">
        <f>Table1[[#This Row],[Year]]</f>
        <v>2019</v>
      </c>
      <c r="F222">
        <f>'[1]Processed Data'!F305</f>
        <v>23</v>
      </c>
      <c r="G222">
        <f>'[1]Processed Data'!G305</f>
        <v>38</v>
      </c>
      <c r="H222">
        <f>'[1]Processed Data'!H305</f>
        <v>60.5</v>
      </c>
      <c r="I222">
        <f>'[1]Processed Data'!I305</f>
        <v>1</v>
      </c>
      <c r="J222">
        <f>'[1]Processed Data'!J305</f>
        <v>2</v>
      </c>
      <c r="K222">
        <f>'[1]Processed Data'!K305</f>
        <v>5</v>
      </c>
      <c r="L222">
        <f>'[1]Processed Data'!L305</f>
        <v>20</v>
      </c>
      <c r="M222">
        <f>'[1]Processed Data'!M305</f>
        <v>70</v>
      </c>
      <c r="N222">
        <f>'[1]Processed Data'!N305</f>
        <v>0</v>
      </c>
      <c r="O222">
        <f>'[1]Processed Data'!O305</f>
        <v>0</v>
      </c>
      <c r="P222">
        <f>'[1]Processed Data'!P305</f>
        <v>18</v>
      </c>
      <c r="Q222">
        <f>'[1]Processed Data'!Q305</f>
        <v>7</v>
      </c>
    </row>
    <row r="223" spans="2:17">
      <c r="B223">
        <f>'[1]Processed Data'!B306</f>
        <v>2019</v>
      </c>
      <c r="C223">
        <f>'[1]Processed Data'!C306</f>
        <v>51</v>
      </c>
      <c r="D223" t="str">
        <f>'[1]Processed Data'!D306</f>
        <v>AJ McCarron</v>
      </c>
      <c r="E223">
        <f>Table1[[#This Row],[Year]]</f>
        <v>2019</v>
      </c>
      <c r="F223">
        <f>'[1]Processed Data'!F306</f>
        <v>21</v>
      </c>
      <c r="G223">
        <f>'[1]Processed Data'!G306</f>
        <v>37</v>
      </c>
      <c r="H223">
        <f>'[1]Processed Data'!H306</f>
        <v>56.8</v>
      </c>
      <c r="I223">
        <f>'[1]Processed Data'!I306</f>
        <v>0</v>
      </c>
      <c r="J223">
        <f>'[1]Processed Data'!J306</f>
        <v>1</v>
      </c>
      <c r="K223">
        <f>'[1]Processed Data'!K306</f>
        <v>5</v>
      </c>
      <c r="L223">
        <f>'[1]Processed Data'!L306</f>
        <v>5</v>
      </c>
      <c r="M223">
        <f>'[1]Processed Data'!M306</f>
        <v>39</v>
      </c>
      <c r="N223">
        <f>'[1]Processed Data'!N306</f>
        <v>1</v>
      </c>
      <c r="O223">
        <f>'[1]Processed Data'!O306</f>
        <v>0</v>
      </c>
      <c r="P223">
        <f>'[1]Processed Data'!P306</f>
        <v>17.899999999999999</v>
      </c>
      <c r="Q223">
        <f>'[1]Processed Data'!Q306</f>
        <v>3</v>
      </c>
    </row>
    <row r="224" spans="2:17">
      <c r="B224">
        <f>'[1]Processed Data'!B307</f>
        <v>2019</v>
      </c>
      <c r="C224">
        <f>'[1]Processed Data'!C307</f>
        <v>52</v>
      </c>
      <c r="D224" t="str">
        <f>'[1]Processed Data'!D307</f>
        <v>Cam Newton</v>
      </c>
      <c r="E224">
        <f>Table1[[#This Row],[Year]]</f>
        <v>2019</v>
      </c>
      <c r="F224">
        <f>'[1]Processed Data'!F307</f>
        <v>50</v>
      </c>
      <c r="G224">
        <f>'[1]Processed Data'!G307</f>
        <v>89</v>
      </c>
      <c r="H224">
        <f>'[1]Processed Data'!H307</f>
        <v>56.2</v>
      </c>
      <c r="I224">
        <f>'[1]Processed Data'!I307</f>
        <v>0</v>
      </c>
      <c r="J224">
        <f>'[1]Processed Data'!J307</f>
        <v>1</v>
      </c>
      <c r="K224">
        <f>'[1]Processed Data'!K307</f>
        <v>6</v>
      </c>
      <c r="L224">
        <f>'[1]Processed Data'!L307</f>
        <v>5</v>
      </c>
      <c r="M224">
        <f>'[1]Processed Data'!M307</f>
        <v>-2</v>
      </c>
      <c r="N224">
        <f>'[1]Processed Data'!N307</f>
        <v>0</v>
      </c>
      <c r="O224">
        <f>'[1]Processed Data'!O307</f>
        <v>2</v>
      </c>
      <c r="P224">
        <f>'[1]Processed Data'!P307</f>
        <v>17.7</v>
      </c>
      <c r="Q224">
        <f>'[1]Processed Data'!Q307</f>
        <v>2</v>
      </c>
    </row>
    <row r="225" spans="2:17">
      <c r="B225">
        <f>'[1]Processed Data'!B308</f>
        <v>2019</v>
      </c>
      <c r="C225">
        <f>'[1]Processed Data'!C308</f>
        <v>53</v>
      </c>
      <c r="D225" t="str">
        <f>'[1]Processed Data'!D308</f>
        <v>Ben Roethlisberger</v>
      </c>
      <c r="E225">
        <f>Table1[[#This Row],[Year]]</f>
        <v>2019</v>
      </c>
      <c r="F225">
        <f>'[1]Processed Data'!F308</f>
        <v>35</v>
      </c>
      <c r="G225">
        <f>'[1]Processed Data'!G308</f>
        <v>62</v>
      </c>
      <c r="H225">
        <f>'[1]Processed Data'!H308</f>
        <v>56.5</v>
      </c>
      <c r="I225">
        <f>'[1]Processed Data'!I308</f>
        <v>0</v>
      </c>
      <c r="J225">
        <f>'[1]Processed Data'!J308</f>
        <v>1</v>
      </c>
      <c r="K225">
        <f>'[1]Processed Data'!K308</f>
        <v>2</v>
      </c>
      <c r="L225">
        <f>'[1]Processed Data'!L308</f>
        <v>1</v>
      </c>
      <c r="M225">
        <f>'[1]Processed Data'!M308</f>
        <v>7</v>
      </c>
      <c r="N225">
        <f>'[1]Processed Data'!N308</f>
        <v>0</v>
      </c>
      <c r="O225">
        <f>'[1]Processed Data'!O308</f>
        <v>0</v>
      </c>
      <c r="P225">
        <f>'[1]Processed Data'!P308</f>
        <v>13.7</v>
      </c>
      <c r="Q225">
        <f>'[1]Processed Data'!Q308</f>
        <v>2</v>
      </c>
    </row>
    <row r="226" spans="2:17">
      <c r="B226">
        <f>'[1]Processed Data'!B309</f>
        <v>2019</v>
      </c>
      <c r="C226">
        <f>'[1]Processed Data'!C309</f>
        <v>54</v>
      </c>
      <c r="D226" t="str">
        <f>'[1]Processed Data'!D309</f>
        <v>Luke Falk</v>
      </c>
      <c r="E226">
        <f>Table1[[#This Row],[Year]]</f>
        <v>2019</v>
      </c>
      <c r="F226">
        <f>'[1]Processed Data'!F309</f>
        <v>47</v>
      </c>
      <c r="G226">
        <f>'[1]Processed Data'!G309</f>
        <v>73</v>
      </c>
      <c r="H226">
        <f>'[1]Processed Data'!H309</f>
        <v>64.400000000000006</v>
      </c>
      <c r="I226">
        <f>'[1]Processed Data'!I309</f>
        <v>0</v>
      </c>
      <c r="J226">
        <f>'[1]Processed Data'!J309</f>
        <v>3</v>
      </c>
      <c r="K226">
        <f>'[1]Processed Data'!K309</f>
        <v>16</v>
      </c>
      <c r="L226">
        <f>'[1]Processed Data'!L309</f>
        <v>0</v>
      </c>
      <c r="M226">
        <f>'[1]Processed Data'!M309</f>
        <v>0</v>
      </c>
      <c r="N226">
        <f>'[1]Processed Data'!N309</f>
        <v>0</v>
      </c>
      <c r="O226">
        <f>'[1]Processed Data'!O309</f>
        <v>1</v>
      </c>
      <c r="P226">
        <f>'[1]Processed Data'!P309</f>
        <v>11.6</v>
      </c>
      <c r="Q226">
        <f>'[1]Processed Data'!Q309</f>
        <v>3</v>
      </c>
    </row>
    <row r="227" spans="2:17">
      <c r="B227">
        <f>'[1]Processed Data'!B310</f>
        <v>2019</v>
      </c>
      <c r="C227">
        <f>'[1]Processed Data'!C310</f>
        <v>55</v>
      </c>
      <c r="D227" t="str">
        <f>'[1]Processed Data'!D310</f>
        <v>Matt Barkley</v>
      </c>
      <c r="E227">
        <f>Table1[[#This Row],[Year]]</f>
        <v>2019</v>
      </c>
      <c r="F227">
        <f>'[1]Processed Data'!F310</f>
        <v>27</v>
      </c>
      <c r="G227">
        <f>'[1]Processed Data'!G310</f>
        <v>51</v>
      </c>
      <c r="H227">
        <f>'[1]Processed Data'!H310</f>
        <v>52.9</v>
      </c>
      <c r="I227">
        <f>'[1]Processed Data'!I310</f>
        <v>0</v>
      </c>
      <c r="J227">
        <f>'[1]Processed Data'!J310</f>
        <v>3</v>
      </c>
      <c r="K227">
        <f>'[1]Processed Data'!K310</f>
        <v>2</v>
      </c>
      <c r="L227">
        <f>'[1]Processed Data'!L310</f>
        <v>2</v>
      </c>
      <c r="M227">
        <f>'[1]Processed Data'!M310</f>
        <v>-4</v>
      </c>
      <c r="N227">
        <f>'[1]Processed Data'!N310</f>
        <v>0</v>
      </c>
      <c r="O227">
        <f>'[1]Processed Data'!O310</f>
        <v>1</v>
      </c>
      <c r="P227">
        <f>'[1]Processed Data'!P310</f>
        <v>9</v>
      </c>
      <c r="Q227">
        <f>'[1]Processed Data'!Q310</f>
        <v>3</v>
      </c>
    </row>
    <row r="228" spans="2:17">
      <c r="B228">
        <f>'[1]Processed Data'!B311</f>
        <v>2019</v>
      </c>
      <c r="C228">
        <f>'[1]Processed Data'!C311</f>
        <v>56</v>
      </c>
      <c r="D228" t="str">
        <f>'[1]Processed Data'!D311</f>
        <v>Brett Hundley</v>
      </c>
      <c r="E228">
        <f>Table1[[#This Row],[Year]]</f>
        <v>2019</v>
      </c>
      <c r="F228">
        <f>'[1]Processed Data'!F311</f>
        <v>5</v>
      </c>
      <c r="G228">
        <f>'[1]Processed Data'!G311</f>
        <v>11</v>
      </c>
      <c r="H228">
        <f>'[1]Processed Data'!H311</f>
        <v>45.5</v>
      </c>
      <c r="I228">
        <f>'[1]Processed Data'!I311</f>
        <v>0</v>
      </c>
      <c r="J228">
        <f>'[1]Processed Data'!J311</f>
        <v>0</v>
      </c>
      <c r="K228">
        <f>'[1]Processed Data'!K311</f>
        <v>2</v>
      </c>
      <c r="L228">
        <f>'[1]Processed Data'!L311</f>
        <v>7</v>
      </c>
      <c r="M228">
        <f>'[1]Processed Data'!M311</f>
        <v>41</v>
      </c>
      <c r="N228">
        <f>'[1]Processed Data'!N311</f>
        <v>0</v>
      </c>
      <c r="O228">
        <f>'[1]Processed Data'!O311</f>
        <v>0</v>
      </c>
      <c r="P228">
        <f>'[1]Processed Data'!P311</f>
        <v>6.1</v>
      </c>
      <c r="Q228">
        <f>'[1]Processed Data'!Q311</f>
        <v>3</v>
      </c>
    </row>
    <row r="229" spans="2:17">
      <c r="B229">
        <f>'[1]Processed Data'!B312</f>
        <v>2019</v>
      </c>
      <c r="C229">
        <f>'[1]Processed Data'!C312</f>
        <v>57</v>
      </c>
      <c r="D229" t="str">
        <f>'[1]Processed Data'!D312</f>
        <v>Tyrod Taylor</v>
      </c>
      <c r="E229">
        <f>Table1[[#This Row],[Year]]</f>
        <v>2019</v>
      </c>
      <c r="F229">
        <f>'[1]Processed Data'!F312</f>
        <v>4</v>
      </c>
      <c r="G229">
        <f>'[1]Processed Data'!G312</f>
        <v>6</v>
      </c>
      <c r="H229">
        <f>'[1]Processed Data'!H312</f>
        <v>66.7</v>
      </c>
      <c r="I229">
        <f>'[1]Processed Data'!I312</f>
        <v>1</v>
      </c>
      <c r="J229">
        <f>'[1]Processed Data'!J312</f>
        <v>0</v>
      </c>
      <c r="K229">
        <f>'[1]Processed Data'!K312</f>
        <v>0</v>
      </c>
      <c r="L229">
        <f>'[1]Processed Data'!L312</f>
        <v>10</v>
      </c>
      <c r="M229">
        <f>'[1]Processed Data'!M312</f>
        <v>7</v>
      </c>
      <c r="N229">
        <f>'[1]Processed Data'!N312</f>
        <v>0</v>
      </c>
      <c r="O229">
        <f>'[1]Processed Data'!O312</f>
        <v>0</v>
      </c>
      <c r="P229">
        <f>'[1]Processed Data'!P312</f>
        <v>6</v>
      </c>
      <c r="Q229">
        <f>'[1]Processed Data'!Q312</f>
        <v>8</v>
      </c>
    </row>
    <row r="230" spans="2:17">
      <c r="B230">
        <f>'[1]Processed Data'!B313</f>
        <v>2019</v>
      </c>
      <c r="C230">
        <f>'[1]Processed Data'!C313</f>
        <v>58</v>
      </c>
      <c r="D230" t="str">
        <f>'[1]Processed Data'!D313</f>
        <v>Will Grier</v>
      </c>
      <c r="E230">
        <f>Table1[[#This Row],[Year]]</f>
        <v>2019</v>
      </c>
      <c r="F230">
        <f>'[1]Processed Data'!F313</f>
        <v>28</v>
      </c>
      <c r="G230">
        <f>'[1]Processed Data'!G313</f>
        <v>52</v>
      </c>
      <c r="H230">
        <f>'[1]Processed Data'!H313</f>
        <v>53.8</v>
      </c>
      <c r="I230">
        <f>'[1]Processed Data'!I313</f>
        <v>0</v>
      </c>
      <c r="J230">
        <f>'[1]Processed Data'!J313</f>
        <v>4</v>
      </c>
      <c r="K230">
        <f>'[1]Processed Data'!K313</f>
        <v>6</v>
      </c>
      <c r="L230">
        <f>'[1]Processed Data'!L313</f>
        <v>7</v>
      </c>
      <c r="M230">
        <f>'[1]Processed Data'!M313</f>
        <v>22</v>
      </c>
      <c r="N230">
        <f>'[1]Processed Data'!N313</f>
        <v>0</v>
      </c>
      <c r="O230">
        <f>'[1]Processed Data'!O313</f>
        <v>1</v>
      </c>
      <c r="P230">
        <f>'[1]Processed Data'!P313</f>
        <v>5.4</v>
      </c>
      <c r="Q230">
        <f>'[1]Processed Data'!Q313</f>
        <v>2</v>
      </c>
    </row>
    <row r="231" spans="2:17">
      <c r="B231">
        <f>'[1]Processed Data'!B314</f>
        <v>2019</v>
      </c>
      <c r="C231">
        <f>'[1]Processed Data'!C314</f>
        <v>59</v>
      </c>
      <c r="D231" t="str">
        <f>'[1]Processed Data'!D314</f>
        <v>Colt McCoy</v>
      </c>
      <c r="E231">
        <f>Table1[[#This Row],[Year]]</f>
        <v>2019</v>
      </c>
      <c r="F231">
        <f>'[1]Processed Data'!F314</f>
        <v>18</v>
      </c>
      <c r="G231">
        <f>'[1]Processed Data'!G314</f>
        <v>27</v>
      </c>
      <c r="H231">
        <f>'[1]Processed Data'!H314</f>
        <v>66.7</v>
      </c>
      <c r="I231">
        <f>'[1]Processed Data'!I314</f>
        <v>0</v>
      </c>
      <c r="J231">
        <f>'[1]Processed Data'!J314</f>
        <v>1</v>
      </c>
      <c r="K231">
        <f>'[1]Processed Data'!K314</f>
        <v>6</v>
      </c>
      <c r="L231">
        <f>'[1]Processed Data'!L314</f>
        <v>2</v>
      </c>
      <c r="M231">
        <f>'[1]Processed Data'!M314</f>
        <v>14</v>
      </c>
      <c r="N231">
        <f>'[1]Processed Data'!N314</f>
        <v>0</v>
      </c>
      <c r="O231">
        <f>'[1]Processed Data'!O314</f>
        <v>0</v>
      </c>
      <c r="P231">
        <f>'[1]Processed Data'!P314</f>
        <v>5.3</v>
      </c>
      <c r="Q231">
        <f>'[1]Processed Data'!Q314</f>
        <v>2</v>
      </c>
    </row>
    <row r="232" spans="2:17">
      <c r="B232">
        <f>'[1]Processed Data'!B315</f>
        <v>2019</v>
      </c>
      <c r="C232">
        <f>'[1]Processed Data'!C315</f>
        <v>60</v>
      </c>
      <c r="D232" t="str">
        <f>'[1]Processed Data'!D315</f>
        <v>Mike Glennon</v>
      </c>
      <c r="E232">
        <f>Table1[[#This Row],[Year]]</f>
        <v>2019</v>
      </c>
      <c r="F232">
        <f>'[1]Processed Data'!F315</f>
        <v>6</v>
      </c>
      <c r="G232">
        <f>'[1]Processed Data'!G315</f>
        <v>10</v>
      </c>
      <c r="H232">
        <f>'[1]Processed Data'!H315</f>
        <v>60</v>
      </c>
      <c r="I232">
        <f>'[1]Processed Data'!I315</f>
        <v>1</v>
      </c>
      <c r="J232">
        <f>'[1]Processed Data'!J315</f>
        <v>0</v>
      </c>
      <c r="K232">
        <f>'[1]Processed Data'!K315</f>
        <v>0</v>
      </c>
      <c r="L232">
        <f>'[1]Processed Data'!L315</f>
        <v>2</v>
      </c>
      <c r="M232">
        <f>'[1]Processed Data'!M315</f>
        <v>0</v>
      </c>
      <c r="N232">
        <f>'[1]Processed Data'!N315</f>
        <v>0</v>
      </c>
      <c r="O232">
        <f>'[1]Processed Data'!O315</f>
        <v>1</v>
      </c>
      <c r="P232">
        <f>'[1]Processed Data'!P315</f>
        <v>4.2</v>
      </c>
      <c r="Q232">
        <f>'[1]Processed Data'!Q315</f>
        <v>3</v>
      </c>
    </row>
    <row r="233" spans="2:17">
      <c r="B233">
        <f>'[1]Processed Data'!B316</f>
        <v>2019</v>
      </c>
      <c r="C233">
        <f>'[1]Processed Data'!C316</f>
        <v>61</v>
      </c>
      <c r="D233" t="str">
        <f>'[1]Processed Data'!D316</f>
        <v>Josh McCown</v>
      </c>
      <c r="E233">
        <f>Table1[[#This Row],[Year]]</f>
        <v>2019</v>
      </c>
      <c r="F233">
        <f>'[1]Processed Data'!F316</f>
        <v>3</v>
      </c>
      <c r="G233">
        <f>'[1]Processed Data'!G316</f>
        <v>5</v>
      </c>
      <c r="H233">
        <f>'[1]Processed Data'!H316</f>
        <v>60</v>
      </c>
      <c r="I233">
        <f>'[1]Processed Data'!I316</f>
        <v>0</v>
      </c>
      <c r="J233">
        <f>'[1]Processed Data'!J316</f>
        <v>0</v>
      </c>
      <c r="K233">
        <f>'[1]Processed Data'!K316</f>
        <v>0</v>
      </c>
      <c r="L233">
        <f>'[1]Processed Data'!L316</f>
        <v>2</v>
      </c>
      <c r="M233">
        <f>'[1]Processed Data'!M316</f>
        <v>-2</v>
      </c>
      <c r="N233">
        <f>'[1]Processed Data'!N316</f>
        <v>0</v>
      </c>
      <c r="O233">
        <f>'[1]Processed Data'!O316</f>
        <v>0</v>
      </c>
      <c r="P233">
        <f>'[1]Processed Data'!P316</f>
        <v>0.8</v>
      </c>
      <c r="Q233">
        <f>'[1]Processed Data'!Q316</f>
        <v>3</v>
      </c>
    </row>
    <row r="234" spans="2:17">
      <c r="B234">
        <f>'[1]Processed Data'!B317</f>
        <v>2019</v>
      </c>
      <c r="C234">
        <f>'[1]Processed Data'!C317</f>
        <v>62</v>
      </c>
      <c r="D234" t="str">
        <f>'[1]Processed Data'!D317</f>
        <v>Ryan Griffin</v>
      </c>
      <c r="E234">
        <f>Table1[[#This Row],[Year]]</f>
        <v>2019</v>
      </c>
      <c r="F234">
        <f>'[1]Processed Data'!F317</f>
        <v>2</v>
      </c>
      <c r="G234">
        <f>'[1]Processed Data'!G317</f>
        <v>4</v>
      </c>
      <c r="H234">
        <f>'[1]Processed Data'!H317</f>
        <v>50</v>
      </c>
      <c r="I234">
        <f>'[1]Processed Data'!I317</f>
        <v>0</v>
      </c>
      <c r="J234">
        <f>'[1]Processed Data'!J317</f>
        <v>0</v>
      </c>
      <c r="K234">
        <f>'[1]Processed Data'!K317</f>
        <v>0</v>
      </c>
      <c r="L234">
        <f>'[1]Processed Data'!L317</f>
        <v>4</v>
      </c>
      <c r="M234">
        <f>'[1]Processed Data'!M317</f>
        <v>-1</v>
      </c>
      <c r="N234">
        <f>'[1]Processed Data'!N317</f>
        <v>0</v>
      </c>
      <c r="O234">
        <f>'[1]Processed Data'!O317</f>
        <v>0</v>
      </c>
      <c r="P234">
        <f>'[1]Processed Data'!P317</f>
        <v>0.6</v>
      </c>
      <c r="Q234">
        <f>'[1]Processed Data'!Q317</f>
        <v>2</v>
      </c>
    </row>
    <row r="235" spans="2:17">
      <c r="B235">
        <f>'[1]Processed Data'!B318</f>
        <v>2019</v>
      </c>
      <c r="C235">
        <f>'[1]Processed Data'!C318</f>
        <v>63</v>
      </c>
      <c r="D235" t="str">
        <f>'[1]Processed Data'!D318</f>
        <v>Sean Mannion</v>
      </c>
      <c r="E235">
        <f>Table1[[#This Row],[Year]]</f>
        <v>2019</v>
      </c>
      <c r="F235">
        <f>'[1]Processed Data'!F318</f>
        <v>12</v>
      </c>
      <c r="G235">
        <f>'[1]Processed Data'!G318</f>
        <v>21</v>
      </c>
      <c r="H235">
        <f>'[1]Processed Data'!H318</f>
        <v>57.1</v>
      </c>
      <c r="I235">
        <f>'[1]Processed Data'!I318</f>
        <v>0</v>
      </c>
      <c r="J235">
        <f>'[1]Processed Data'!J318</f>
        <v>2</v>
      </c>
      <c r="K235">
        <f>'[1]Processed Data'!K318</f>
        <v>0</v>
      </c>
      <c r="L235">
        <f>'[1]Processed Data'!L318</f>
        <v>6</v>
      </c>
      <c r="M235">
        <f>'[1]Processed Data'!M318</f>
        <v>-5</v>
      </c>
      <c r="N235">
        <f>'[1]Processed Data'!N318</f>
        <v>0</v>
      </c>
      <c r="O235">
        <f>'[1]Processed Data'!O318</f>
        <v>1</v>
      </c>
      <c r="P235">
        <f>'[1]Processed Data'!P318</f>
        <v>0.5</v>
      </c>
      <c r="Q235">
        <f>'[1]Processed Data'!Q318</f>
        <v>3</v>
      </c>
    </row>
    <row r="236" spans="2:17">
      <c r="B236">
        <f>'[1]Processed Data'!B319</f>
        <v>2019</v>
      </c>
      <c r="C236">
        <f>'[1]Processed Data'!C319</f>
        <v>64</v>
      </c>
      <c r="D236" t="str">
        <f>'[1]Processed Data'!D319</f>
        <v>Trevor Siemian</v>
      </c>
      <c r="E236">
        <f>Table1[[#This Row],[Year]]</f>
        <v>2019</v>
      </c>
      <c r="F236">
        <f>'[1]Processed Data'!F319</f>
        <v>3</v>
      </c>
      <c r="G236">
        <f>'[1]Processed Data'!G319</f>
        <v>6</v>
      </c>
      <c r="H236">
        <f>'[1]Processed Data'!H319</f>
        <v>50</v>
      </c>
      <c r="I236">
        <f>'[1]Processed Data'!I319</f>
        <v>0</v>
      </c>
      <c r="J236">
        <f>'[1]Processed Data'!J319</f>
        <v>0</v>
      </c>
      <c r="K236">
        <f>'[1]Processed Data'!K319</f>
        <v>2</v>
      </c>
      <c r="L236">
        <f>'[1]Processed Data'!L319</f>
        <v>0</v>
      </c>
      <c r="M236">
        <f>'[1]Processed Data'!M319</f>
        <v>0</v>
      </c>
      <c r="N236">
        <f>'[1]Processed Data'!N319</f>
        <v>0</v>
      </c>
      <c r="O236">
        <f>'[1]Processed Data'!O319</f>
        <v>0</v>
      </c>
      <c r="P236">
        <f>'[1]Processed Data'!P319</f>
        <v>0.1</v>
      </c>
      <c r="Q236">
        <f>'[1]Processed Data'!Q319</f>
        <v>1</v>
      </c>
    </row>
    <row r="237" spans="2:17">
      <c r="B237">
        <f>'[1]Processed Data'!B320</f>
        <v>2019</v>
      </c>
      <c r="C237">
        <f>'[1]Processed Data'!C320</f>
        <v>65</v>
      </c>
      <c r="D237" t="str">
        <f>'[1]Processed Data'!D320</f>
        <v>Trace McSorley</v>
      </c>
      <c r="E237">
        <f>Table1[[#This Row],[Year]]</f>
        <v>2019</v>
      </c>
      <c r="F237">
        <f>'[1]Processed Data'!F320</f>
        <v>0</v>
      </c>
      <c r="G237">
        <f>'[1]Processed Data'!G320</f>
        <v>0</v>
      </c>
      <c r="H237">
        <f>'[1]Processed Data'!H320</f>
        <v>0</v>
      </c>
      <c r="I237">
        <f>'[1]Processed Data'!I320</f>
        <v>0</v>
      </c>
      <c r="J237">
        <f>'[1]Processed Data'!J320</f>
        <v>0</v>
      </c>
      <c r="K237">
        <f>'[1]Processed Data'!K320</f>
        <v>0</v>
      </c>
      <c r="L237">
        <f>'[1]Processed Data'!L320</f>
        <v>1</v>
      </c>
      <c r="M237">
        <f>'[1]Processed Data'!M320</f>
        <v>1</v>
      </c>
      <c r="N237">
        <f>'[1]Processed Data'!N320</f>
        <v>0</v>
      </c>
      <c r="O237">
        <f>'[1]Processed Data'!O320</f>
        <v>0</v>
      </c>
      <c r="P237">
        <f>'[1]Processed Data'!P320</f>
        <v>0.1</v>
      </c>
      <c r="Q237">
        <f>'[1]Processed Data'!Q320</f>
        <v>1</v>
      </c>
    </row>
    <row r="238" spans="2:17">
      <c r="B238">
        <f>'[1]Processed Data'!B326</f>
        <v>2019</v>
      </c>
      <c r="C238">
        <f>'[1]Processed Data'!C326</f>
        <v>71</v>
      </c>
      <c r="D238" t="str">
        <f>'[1]Processed Data'!D326</f>
        <v>Drew Anderson</v>
      </c>
      <c r="E238">
        <f>Table1[[#This Row],[Year]]</f>
        <v>2019</v>
      </c>
      <c r="F238">
        <f>'[1]Processed Data'!F326</f>
        <v>0</v>
      </c>
      <c r="G238">
        <f>'[1]Processed Data'!G326</f>
        <v>0</v>
      </c>
      <c r="H238">
        <f>'[1]Processed Data'!H326</f>
        <v>0</v>
      </c>
      <c r="I238">
        <f>'[1]Processed Data'!I326</f>
        <v>0</v>
      </c>
      <c r="J238">
        <f>'[1]Processed Data'!J326</f>
        <v>0</v>
      </c>
      <c r="K238">
        <f>'[1]Processed Data'!K326</f>
        <v>0</v>
      </c>
      <c r="L238">
        <f>'[1]Processed Data'!L326</f>
        <v>0</v>
      </c>
      <c r="M238">
        <f>'[1]Processed Data'!M326</f>
        <v>0</v>
      </c>
      <c r="N238">
        <f>'[1]Processed Data'!N326</f>
        <v>0</v>
      </c>
      <c r="O238">
        <f>'[1]Processed Data'!O326</f>
        <v>0</v>
      </c>
      <c r="P238">
        <f>'[1]Processed Data'!P326</f>
        <v>0</v>
      </c>
      <c r="Q238">
        <f>'[1]Processed Data'!Q326</f>
        <v>1</v>
      </c>
    </row>
    <row r="239" spans="2:17">
      <c r="B239">
        <f>'[1]Processed Data'!B364</f>
        <v>2019</v>
      </c>
      <c r="C239">
        <f>'[1]Processed Data'!C364</f>
        <v>109</v>
      </c>
      <c r="D239" t="str">
        <f>'[1]Processed Data'!D364</f>
        <v>Andrew Luck</v>
      </c>
      <c r="E239">
        <f>Table1[[#This Row],[Year]]</f>
        <v>2019</v>
      </c>
      <c r="F239">
        <f>'[1]Processed Data'!F364</f>
        <v>0</v>
      </c>
      <c r="G239">
        <f>'[1]Processed Data'!G364</f>
        <v>0</v>
      </c>
      <c r="H239">
        <f>'[1]Processed Data'!H364</f>
        <v>0</v>
      </c>
      <c r="I239">
        <f>'[1]Processed Data'!I364</f>
        <v>0</v>
      </c>
      <c r="J239">
        <f>'[1]Processed Data'!J364</f>
        <v>0</v>
      </c>
      <c r="K239">
        <f>'[1]Processed Data'!K364</f>
        <v>0</v>
      </c>
      <c r="L239">
        <f>'[1]Processed Data'!L364</f>
        <v>0</v>
      </c>
      <c r="M239">
        <f>'[1]Processed Data'!M364</f>
        <v>0</v>
      </c>
      <c r="N239">
        <f>'[1]Processed Data'!N364</f>
        <v>0</v>
      </c>
      <c r="O239">
        <f>'[1]Processed Data'!O364</f>
        <v>0</v>
      </c>
      <c r="P239">
        <f>'[1]Processed Data'!P364</f>
        <v>0</v>
      </c>
      <c r="Q239">
        <f>'[1]Processed Data'!Q364</f>
        <v>1</v>
      </c>
    </row>
    <row r="240" spans="2:17">
      <c r="B240">
        <f>'[1]Processed Data'!B365</f>
        <v>2019</v>
      </c>
      <c r="C240">
        <f>'[1]Processed Data'!C365</f>
        <v>110</v>
      </c>
      <c r="D240" t="str">
        <f>'[1]Processed Data'!D365</f>
        <v>Brandon Weeden</v>
      </c>
      <c r="E240">
        <f>Table1[[#This Row],[Year]]</f>
        <v>2019</v>
      </c>
      <c r="F240">
        <f>'[1]Processed Data'!F365</f>
        <v>0</v>
      </c>
      <c r="G240">
        <f>'[1]Processed Data'!G365</f>
        <v>0</v>
      </c>
      <c r="H240">
        <f>'[1]Processed Data'!H365</f>
        <v>0</v>
      </c>
      <c r="I240">
        <f>'[1]Processed Data'!I365</f>
        <v>0</v>
      </c>
      <c r="J240">
        <f>'[1]Processed Data'!J365</f>
        <v>0</v>
      </c>
      <c r="K240">
        <f>'[1]Processed Data'!K365</f>
        <v>0</v>
      </c>
      <c r="L240">
        <f>'[1]Processed Data'!L365</f>
        <v>0</v>
      </c>
      <c r="M240">
        <f>'[1]Processed Data'!M365</f>
        <v>0</v>
      </c>
      <c r="N240">
        <f>'[1]Processed Data'!N365</f>
        <v>0</v>
      </c>
      <c r="O240">
        <f>'[1]Processed Data'!O365</f>
        <v>0</v>
      </c>
      <c r="P240">
        <f>'[1]Processed Data'!P365</f>
        <v>0</v>
      </c>
      <c r="Q240">
        <f>'[1]Processed Data'!Q365</f>
        <v>1</v>
      </c>
    </row>
    <row r="241" spans="2:17">
      <c r="B241">
        <f>'[1]Processed Data'!B366</f>
        <v>2019</v>
      </c>
      <c r="C241">
        <f>'[1]Processed Data'!C366</f>
        <v>111</v>
      </c>
      <c r="D241" t="str">
        <f>'[1]Processed Data'!D366</f>
        <v>Brock Osweiler</v>
      </c>
      <c r="E241">
        <f>Table1[[#This Row],[Year]]</f>
        <v>2019</v>
      </c>
      <c r="F241">
        <f>'[1]Processed Data'!F366</f>
        <v>0</v>
      </c>
      <c r="G241">
        <f>'[1]Processed Data'!G366</f>
        <v>0</v>
      </c>
      <c r="H241">
        <f>'[1]Processed Data'!H366</f>
        <v>0</v>
      </c>
      <c r="I241">
        <f>'[1]Processed Data'!I366</f>
        <v>0</v>
      </c>
      <c r="J241">
        <f>'[1]Processed Data'!J366</f>
        <v>0</v>
      </c>
      <c r="K241">
        <f>'[1]Processed Data'!K366</f>
        <v>0</v>
      </c>
      <c r="L241">
        <f>'[1]Processed Data'!L366</f>
        <v>0</v>
      </c>
      <c r="M241">
        <f>'[1]Processed Data'!M366</f>
        <v>0</v>
      </c>
      <c r="N241">
        <f>'[1]Processed Data'!N366</f>
        <v>0</v>
      </c>
      <c r="O241">
        <f>'[1]Processed Data'!O366</f>
        <v>0</v>
      </c>
      <c r="P241">
        <f>'[1]Processed Data'!P366</f>
        <v>0</v>
      </c>
      <c r="Q241">
        <f>'[1]Processed Data'!Q366</f>
        <v>1</v>
      </c>
    </row>
    <row r="242" spans="2:17">
      <c r="B242">
        <f>'[1]Processed Data'!B367</f>
        <v>2019</v>
      </c>
      <c r="C242">
        <f>'[1]Processed Data'!C367</f>
        <v>112</v>
      </c>
      <c r="D242" t="str">
        <f>'[1]Processed Data'!D367</f>
        <v>Alex Tanney</v>
      </c>
      <c r="E242">
        <f>Table1[[#This Row],[Year]]</f>
        <v>2019</v>
      </c>
      <c r="F242">
        <f>'[1]Processed Data'!F367</f>
        <v>1</v>
      </c>
      <c r="G242">
        <f>'[1]Processed Data'!G367</f>
        <v>1</v>
      </c>
      <c r="H242">
        <f>'[1]Processed Data'!H367</f>
        <v>100</v>
      </c>
      <c r="I242">
        <f>'[1]Processed Data'!I367</f>
        <v>0</v>
      </c>
      <c r="J242">
        <f>'[1]Processed Data'!J367</f>
        <v>0</v>
      </c>
      <c r="K242">
        <f>'[1]Processed Data'!K367</f>
        <v>0</v>
      </c>
      <c r="L242">
        <f>'[1]Processed Data'!L367</f>
        <v>0</v>
      </c>
      <c r="M242">
        <f>'[1]Processed Data'!M367</f>
        <v>0</v>
      </c>
      <c r="N242">
        <f>'[1]Processed Data'!N367</f>
        <v>0</v>
      </c>
      <c r="O242">
        <f>'[1]Processed Data'!O367</f>
        <v>0</v>
      </c>
      <c r="P242">
        <f>'[1]Processed Data'!P367</f>
        <v>0</v>
      </c>
      <c r="Q242">
        <f>'[1]Processed Data'!Q367</f>
        <v>1</v>
      </c>
    </row>
    <row r="243" spans="2:17">
      <c r="B243">
        <f>'[1]Processed Data'!B371</f>
        <v>2019</v>
      </c>
      <c r="C243">
        <f>'[1]Processed Data'!C371</f>
        <v>116</v>
      </c>
      <c r="D243" t="str">
        <f>'[1]Processed Data'!D371</f>
        <v>Chad Henne</v>
      </c>
      <c r="E243">
        <f>Table1[[#This Row],[Year]]</f>
        <v>2019</v>
      </c>
      <c r="F243">
        <f>'[1]Processed Data'!F371</f>
        <v>0</v>
      </c>
      <c r="G243">
        <f>'[1]Processed Data'!G371</f>
        <v>0</v>
      </c>
      <c r="H243">
        <f>'[1]Processed Data'!H371</f>
        <v>0</v>
      </c>
      <c r="I243">
        <f>'[1]Processed Data'!I371</f>
        <v>0</v>
      </c>
      <c r="J243">
        <f>'[1]Processed Data'!J371</f>
        <v>0</v>
      </c>
      <c r="K243">
        <f>'[1]Processed Data'!K371</f>
        <v>0</v>
      </c>
      <c r="L243">
        <f>'[1]Processed Data'!L371</f>
        <v>0</v>
      </c>
      <c r="M243">
        <f>'[1]Processed Data'!M371</f>
        <v>0</v>
      </c>
      <c r="N243">
        <f>'[1]Processed Data'!N371</f>
        <v>0</v>
      </c>
      <c r="O243">
        <f>'[1]Processed Data'!O371</f>
        <v>0</v>
      </c>
      <c r="P243">
        <f>'[1]Processed Data'!P371</f>
        <v>0</v>
      </c>
      <c r="Q243">
        <f>'[1]Processed Data'!Q371</f>
        <v>1</v>
      </c>
    </row>
    <row r="244" spans="2:17">
      <c r="B244">
        <f>'[1]Processed Data'!B372</f>
        <v>2019</v>
      </c>
      <c r="C244">
        <f>'[1]Processed Data'!C372</f>
        <v>117</v>
      </c>
      <c r="D244" t="str">
        <f>'[1]Processed Data'!D372</f>
        <v>Sam Bradford</v>
      </c>
      <c r="E244">
        <f>Table1[[#This Row],[Year]]</f>
        <v>2019</v>
      </c>
      <c r="F244">
        <f>'[1]Processed Data'!F372</f>
        <v>0</v>
      </c>
      <c r="G244">
        <f>'[1]Processed Data'!G372</f>
        <v>0</v>
      </c>
      <c r="H244">
        <f>'[1]Processed Data'!H372</f>
        <v>0</v>
      </c>
      <c r="I244">
        <f>'[1]Processed Data'!I372</f>
        <v>0</v>
      </c>
      <c r="J244">
        <f>'[1]Processed Data'!J372</f>
        <v>0</v>
      </c>
      <c r="K244">
        <f>'[1]Processed Data'!K372</f>
        <v>0</v>
      </c>
      <c r="L244">
        <f>'[1]Processed Data'!L372</f>
        <v>0</v>
      </c>
      <c r="M244">
        <f>'[1]Processed Data'!M372</f>
        <v>0</v>
      </c>
      <c r="N244">
        <f>'[1]Processed Data'!N372</f>
        <v>0</v>
      </c>
      <c r="O244">
        <f>'[1]Processed Data'!O372</f>
        <v>0</v>
      </c>
      <c r="P244">
        <f>'[1]Processed Data'!P372</f>
        <v>0</v>
      </c>
      <c r="Q244">
        <f>'[1]Processed Data'!Q372</f>
        <v>1</v>
      </c>
    </row>
    <row r="245" spans="2:17">
      <c r="B245">
        <f>'[1]Processed Data'!B373</f>
        <v>2019</v>
      </c>
      <c r="C245">
        <f>'[1]Processed Data'!C373</f>
        <v>118</v>
      </c>
      <c r="D245" t="str">
        <f>'[1]Processed Data'!D373</f>
        <v>Joe Webb III</v>
      </c>
      <c r="E245">
        <f>Table1[[#This Row],[Year]]</f>
        <v>2019</v>
      </c>
      <c r="F245">
        <f>'[1]Processed Data'!F373</f>
        <v>0</v>
      </c>
      <c r="G245">
        <f>'[1]Processed Data'!G373</f>
        <v>0</v>
      </c>
      <c r="H245">
        <f>'[1]Processed Data'!H373</f>
        <v>0</v>
      </c>
      <c r="I245">
        <f>'[1]Processed Data'!I373</f>
        <v>0</v>
      </c>
      <c r="J245">
        <f>'[1]Processed Data'!J373</f>
        <v>0</v>
      </c>
      <c r="K245">
        <f>'[1]Processed Data'!K373</f>
        <v>0</v>
      </c>
      <c r="L245">
        <f>'[1]Processed Data'!L373</f>
        <v>0</v>
      </c>
      <c r="M245">
        <f>'[1]Processed Data'!M373</f>
        <v>0</v>
      </c>
      <c r="N245">
        <f>'[1]Processed Data'!N373</f>
        <v>0</v>
      </c>
      <c r="O245">
        <f>'[1]Processed Data'!O373</f>
        <v>0</v>
      </c>
      <c r="P245">
        <f>'[1]Processed Data'!P373</f>
        <v>0</v>
      </c>
      <c r="Q245">
        <f>'[1]Processed Data'!Q373</f>
        <v>1</v>
      </c>
    </row>
    <row r="246" spans="2:17">
      <c r="B246">
        <f>'[1]Processed Data'!B374</f>
        <v>2019</v>
      </c>
      <c r="C246">
        <f>'[1]Processed Data'!C374</f>
        <v>119</v>
      </c>
      <c r="D246" t="str">
        <f>'[1]Processed Data'!D374</f>
        <v>Mark Sanchez</v>
      </c>
      <c r="E246">
        <f>Table1[[#This Row],[Year]]</f>
        <v>2019</v>
      </c>
      <c r="F246">
        <f>'[1]Processed Data'!F374</f>
        <v>0</v>
      </c>
      <c r="G246">
        <f>'[1]Processed Data'!G374</f>
        <v>0</v>
      </c>
      <c r="H246">
        <f>'[1]Processed Data'!H374</f>
        <v>0</v>
      </c>
      <c r="I246">
        <f>'[1]Processed Data'!I374</f>
        <v>0</v>
      </c>
      <c r="J246">
        <f>'[1]Processed Data'!J374</f>
        <v>0</v>
      </c>
      <c r="K246">
        <f>'[1]Processed Data'!K374</f>
        <v>0</v>
      </c>
      <c r="L246">
        <f>'[1]Processed Data'!L374</f>
        <v>0</v>
      </c>
      <c r="M246">
        <f>'[1]Processed Data'!M374</f>
        <v>0</v>
      </c>
      <c r="N246">
        <f>'[1]Processed Data'!N374</f>
        <v>0</v>
      </c>
      <c r="O246">
        <f>'[1]Processed Data'!O374</f>
        <v>0</v>
      </c>
      <c r="P246">
        <f>'[1]Processed Data'!P374</f>
        <v>0</v>
      </c>
      <c r="Q246">
        <f>'[1]Processed Data'!Q374</f>
        <v>1</v>
      </c>
    </row>
    <row r="247" spans="2:17">
      <c r="B247">
        <f>'[1]Processed Data'!B375</f>
        <v>2019</v>
      </c>
      <c r="C247">
        <f>'[1]Processed Data'!C375</f>
        <v>120</v>
      </c>
      <c r="D247" t="str">
        <f>'[1]Processed Data'!D375</f>
        <v>Matt Cassel</v>
      </c>
      <c r="E247">
        <f>Table1[[#This Row],[Year]]</f>
        <v>2019</v>
      </c>
      <c r="F247">
        <f>'[1]Processed Data'!F375</f>
        <v>0</v>
      </c>
      <c r="G247">
        <f>'[1]Processed Data'!G375</f>
        <v>0</v>
      </c>
      <c r="H247">
        <f>'[1]Processed Data'!H375</f>
        <v>0</v>
      </c>
      <c r="I247">
        <f>'[1]Processed Data'!I375</f>
        <v>0</v>
      </c>
      <c r="J247">
        <f>'[1]Processed Data'!J375</f>
        <v>0</v>
      </c>
      <c r="K247">
        <f>'[1]Processed Data'!K375</f>
        <v>0</v>
      </c>
      <c r="L247">
        <f>'[1]Processed Data'!L375</f>
        <v>0</v>
      </c>
      <c r="M247">
        <f>'[1]Processed Data'!M375</f>
        <v>0</v>
      </c>
      <c r="N247">
        <f>'[1]Processed Data'!N375</f>
        <v>0</v>
      </c>
      <c r="O247">
        <f>'[1]Processed Data'!O375</f>
        <v>0</v>
      </c>
      <c r="P247">
        <f>'[1]Processed Data'!P375</f>
        <v>0</v>
      </c>
      <c r="Q247">
        <f>'[1]Processed Data'!Q375</f>
        <v>1</v>
      </c>
    </row>
    <row r="248" spans="2:17">
      <c r="B248">
        <f>'[1]Processed Data'!B377</f>
        <v>2019</v>
      </c>
      <c r="C248">
        <f>'[1]Processed Data'!C377</f>
        <v>122</v>
      </c>
      <c r="D248" t="str">
        <f>'[1]Processed Data'!D377</f>
        <v>C.J. Beathard</v>
      </c>
      <c r="E248">
        <f>Table1[[#This Row],[Year]]</f>
        <v>2019</v>
      </c>
      <c r="F248">
        <f>'[1]Processed Data'!F377</f>
        <v>0</v>
      </c>
      <c r="G248">
        <f>'[1]Processed Data'!G377</f>
        <v>0</v>
      </c>
      <c r="H248">
        <f>'[1]Processed Data'!H377</f>
        <v>0</v>
      </c>
      <c r="I248">
        <f>'[1]Processed Data'!I377</f>
        <v>0</v>
      </c>
      <c r="J248">
        <f>'[1]Processed Data'!J377</f>
        <v>0</v>
      </c>
      <c r="K248">
        <f>'[1]Processed Data'!K377</f>
        <v>0</v>
      </c>
      <c r="L248">
        <f>'[1]Processed Data'!L377</f>
        <v>0</v>
      </c>
      <c r="M248">
        <f>'[1]Processed Data'!M377</f>
        <v>0</v>
      </c>
      <c r="N248">
        <f>'[1]Processed Data'!N377</f>
        <v>0</v>
      </c>
      <c r="O248">
        <f>'[1]Processed Data'!O377</f>
        <v>0</v>
      </c>
      <c r="P248">
        <f>'[1]Processed Data'!P377</f>
        <v>0</v>
      </c>
      <c r="Q248">
        <f>'[1]Processed Data'!Q377</f>
        <v>1</v>
      </c>
    </row>
    <row r="249" spans="2:17">
      <c r="B249">
        <f>'[1]Processed Data'!B379</f>
        <v>2019</v>
      </c>
      <c r="C249">
        <f>'[1]Processed Data'!C379</f>
        <v>124</v>
      </c>
      <c r="D249" t="str">
        <f>'[1]Processed Data'!D379</f>
        <v>Joshua Dobbs</v>
      </c>
      <c r="E249">
        <f>Table1[[#This Row],[Year]]</f>
        <v>2019</v>
      </c>
      <c r="F249">
        <f>'[1]Processed Data'!F379</f>
        <v>0</v>
      </c>
      <c r="G249">
        <f>'[1]Processed Data'!G379</f>
        <v>0</v>
      </c>
      <c r="H249">
        <f>'[1]Processed Data'!H379</f>
        <v>0</v>
      </c>
      <c r="I249">
        <f>'[1]Processed Data'!I379</f>
        <v>0</v>
      </c>
      <c r="J249">
        <f>'[1]Processed Data'!J379</f>
        <v>0</v>
      </c>
      <c r="K249">
        <f>'[1]Processed Data'!K379</f>
        <v>0</v>
      </c>
      <c r="L249">
        <f>'[1]Processed Data'!L379</f>
        <v>0</v>
      </c>
      <c r="M249">
        <f>'[1]Processed Data'!M379</f>
        <v>0</v>
      </c>
      <c r="N249">
        <f>'[1]Processed Data'!N379</f>
        <v>0</v>
      </c>
      <c r="O249">
        <f>'[1]Processed Data'!O379</f>
        <v>0</v>
      </c>
      <c r="P249">
        <f>'[1]Processed Data'!P379</f>
        <v>0</v>
      </c>
      <c r="Q249">
        <f>'[1]Processed Data'!Q379</f>
        <v>1</v>
      </c>
    </row>
    <row r="250" spans="2:17">
      <c r="B250">
        <f>'[1]Processed Data'!B380</f>
        <v>2019</v>
      </c>
      <c r="C250">
        <f>'[1]Processed Data'!C380</f>
        <v>125</v>
      </c>
      <c r="D250" t="str">
        <f>'[1]Processed Data'!D380</f>
        <v>Chad Kelly</v>
      </c>
      <c r="E250">
        <f>Table1[[#This Row],[Year]]</f>
        <v>2019</v>
      </c>
      <c r="F250">
        <f>'[1]Processed Data'!F380</f>
        <v>0</v>
      </c>
      <c r="G250">
        <f>'[1]Processed Data'!G380</f>
        <v>0</v>
      </c>
      <c r="H250">
        <f>'[1]Processed Data'!H380</f>
        <v>0</v>
      </c>
      <c r="I250">
        <f>'[1]Processed Data'!I380</f>
        <v>0</v>
      </c>
      <c r="J250">
        <f>'[1]Processed Data'!J380</f>
        <v>0</v>
      </c>
      <c r="K250">
        <f>'[1]Processed Data'!K380</f>
        <v>0</v>
      </c>
      <c r="L250">
        <f>'[1]Processed Data'!L380</f>
        <v>0</v>
      </c>
      <c r="M250">
        <f>'[1]Processed Data'!M380</f>
        <v>0</v>
      </c>
      <c r="N250">
        <f>'[1]Processed Data'!N380</f>
        <v>0</v>
      </c>
      <c r="O250">
        <f>'[1]Processed Data'!O380</f>
        <v>0</v>
      </c>
      <c r="P250">
        <f>'[1]Processed Data'!P380</f>
        <v>0</v>
      </c>
      <c r="Q250">
        <f>'[1]Processed Data'!Q380</f>
        <v>1</v>
      </c>
    </row>
    <row r="251" spans="2:17">
      <c r="B251">
        <f>'[1]Processed Data'!B382</f>
        <v>2019</v>
      </c>
      <c r="C251">
        <f>'[1]Processed Data'!C382</f>
        <v>127</v>
      </c>
      <c r="D251" t="str">
        <f>'[1]Processed Data'!D382</f>
        <v>Nate Sudfeld</v>
      </c>
      <c r="E251">
        <f>Table1[[#This Row],[Year]]</f>
        <v>2019</v>
      </c>
      <c r="F251">
        <f>'[1]Processed Data'!F382</f>
        <v>0</v>
      </c>
      <c r="G251">
        <f>'[1]Processed Data'!G382</f>
        <v>0</v>
      </c>
      <c r="H251">
        <f>'[1]Processed Data'!H382</f>
        <v>0</v>
      </c>
      <c r="I251">
        <f>'[1]Processed Data'!I382</f>
        <v>0</v>
      </c>
      <c r="J251">
        <f>'[1]Processed Data'!J382</f>
        <v>0</v>
      </c>
      <c r="K251">
        <f>'[1]Processed Data'!K382</f>
        <v>0</v>
      </c>
      <c r="L251">
        <f>'[1]Processed Data'!L382</f>
        <v>0</v>
      </c>
      <c r="M251">
        <f>'[1]Processed Data'!M382</f>
        <v>0</v>
      </c>
      <c r="N251">
        <f>'[1]Processed Data'!N382</f>
        <v>0</v>
      </c>
      <c r="O251">
        <f>'[1]Processed Data'!O382</f>
        <v>0</v>
      </c>
      <c r="P251">
        <f>'[1]Processed Data'!P382</f>
        <v>0</v>
      </c>
      <c r="Q251">
        <f>'[1]Processed Data'!Q382</f>
        <v>1</v>
      </c>
    </row>
    <row r="252" spans="2:17">
      <c r="B252">
        <f>'[1]Processed Data'!B383</f>
        <v>2019</v>
      </c>
      <c r="C252">
        <f>'[1]Processed Data'!C383</f>
        <v>128</v>
      </c>
      <c r="D252" t="str">
        <f>'[1]Processed Data'!D383</f>
        <v>Cooper Rush</v>
      </c>
      <c r="E252">
        <f>Table1[[#This Row],[Year]]</f>
        <v>2019</v>
      </c>
      <c r="F252">
        <f>'[1]Processed Data'!F383</f>
        <v>0</v>
      </c>
      <c r="G252">
        <f>'[1]Processed Data'!G383</f>
        <v>0</v>
      </c>
      <c r="H252">
        <f>'[1]Processed Data'!H383</f>
        <v>0</v>
      </c>
      <c r="I252">
        <f>'[1]Processed Data'!I383</f>
        <v>0</v>
      </c>
      <c r="J252">
        <f>'[1]Processed Data'!J383</f>
        <v>0</v>
      </c>
      <c r="K252">
        <f>'[1]Processed Data'!K383</f>
        <v>0</v>
      </c>
      <c r="L252">
        <f>'[1]Processed Data'!L383</f>
        <v>0</v>
      </c>
      <c r="M252">
        <f>'[1]Processed Data'!M383</f>
        <v>0</v>
      </c>
      <c r="N252">
        <f>'[1]Processed Data'!N383</f>
        <v>0</v>
      </c>
      <c r="O252">
        <f>'[1]Processed Data'!O383</f>
        <v>0</v>
      </c>
      <c r="P252">
        <f>'[1]Processed Data'!P383</f>
        <v>0</v>
      </c>
      <c r="Q252">
        <f>'[1]Processed Data'!Q383</f>
        <v>2</v>
      </c>
    </row>
    <row r="253" spans="2:17">
      <c r="B253">
        <f>'[1]Processed Data'!B388</f>
        <v>2019</v>
      </c>
      <c r="C253">
        <f>'[1]Processed Data'!C388</f>
        <v>133</v>
      </c>
      <c r="D253" t="str">
        <f>'[1]Processed Data'!D388</f>
        <v>Alex Smith</v>
      </c>
      <c r="E253">
        <f>Table1[[#This Row],[Year]]</f>
        <v>2019</v>
      </c>
      <c r="F253">
        <f>'[1]Processed Data'!F388</f>
        <v>0</v>
      </c>
      <c r="G253">
        <f>'[1]Processed Data'!G388</f>
        <v>0</v>
      </c>
      <c r="H253">
        <f>'[1]Processed Data'!H388</f>
        <v>0</v>
      </c>
      <c r="I253">
        <f>'[1]Processed Data'!I388</f>
        <v>0</v>
      </c>
      <c r="J253">
        <f>'[1]Processed Data'!J388</f>
        <v>0</v>
      </c>
      <c r="K253">
        <f>'[1]Processed Data'!K388</f>
        <v>0</v>
      </c>
      <c r="L253">
        <f>'[1]Processed Data'!L388</f>
        <v>0</v>
      </c>
      <c r="M253">
        <f>'[1]Processed Data'!M388</f>
        <v>0</v>
      </c>
      <c r="N253">
        <f>'[1]Processed Data'!N388</f>
        <v>0</v>
      </c>
      <c r="O253">
        <f>'[1]Processed Data'!O388</f>
        <v>0</v>
      </c>
      <c r="P253">
        <f>'[1]Processed Data'!P388</f>
        <v>0</v>
      </c>
      <c r="Q253">
        <f>'[1]Processed Data'!Q388</f>
        <v>1</v>
      </c>
    </row>
    <row r="254" spans="2:17">
      <c r="B254">
        <f>'[1]Processed Data'!B390</f>
        <v>2019</v>
      </c>
      <c r="C254">
        <f>'[1]Processed Data'!C390</f>
        <v>135</v>
      </c>
      <c r="D254" t="str">
        <f>'[1]Processed Data'!D390</f>
        <v>James Franklin</v>
      </c>
      <c r="E254">
        <f>Table1[[#This Row],[Year]]</f>
        <v>2019</v>
      </c>
      <c r="F254">
        <f>'[1]Processed Data'!F390</f>
        <v>0</v>
      </c>
      <c r="G254">
        <f>'[1]Processed Data'!G390</f>
        <v>0</v>
      </c>
      <c r="H254">
        <f>'[1]Processed Data'!H390</f>
        <v>0</v>
      </c>
      <c r="I254">
        <f>'[1]Processed Data'!I390</f>
        <v>0</v>
      </c>
      <c r="J254">
        <f>'[1]Processed Data'!J390</f>
        <v>0</v>
      </c>
      <c r="K254">
        <f>'[1]Processed Data'!K390</f>
        <v>0</v>
      </c>
      <c r="L254">
        <f>'[1]Processed Data'!L390</f>
        <v>0</v>
      </c>
      <c r="M254">
        <f>'[1]Processed Data'!M390</f>
        <v>0</v>
      </c>
      <c r="N254">
        <f>'[1]Processed Data'!N390</f>
        <v>0</v>
      </c>
      <c r="O254">
        <f>'[1]Processed Data'!O390</f>
        <v>0</v>
      </c>
      <c r="P254">
        <f>'[1]Processed Data'!P390</f>
        <v>0</v>
      </c>
      <c r="Q254">
        <f>'[1]Processed Data'!Q390</f>
        <v>1</v>
      </c>
    </row>
    <row r="255" spans="2:17">
      <c r="B255">
        <f>'[1]Processed Data'!B391</f>
        <v>2019</v>
      </c>
      <c r="C255">
        <f>'[1]Processed Data'!C391</f>
        <v>136</v>
      </c>
      <c r="D255" t="str">
        <f>'[1]Processed Data'!D391</f>
        <v>David Fales</v>
      </c>
      <c r="E255">
        <f>Table1[[#This Row],[Year]]</f>
        <v>2019</v>
      </c>
      <c r="F255">
        <f>'[1]Processed Data'!F391</f>
        <v>0</v>
      </c>
      <c r="G255">
        <f>'[1]Processed Data'!G391</f>
        <v>0</v>
      </c>
      <c r="H255">
        <f>'[1]Processed Data'!H391</f>
        <v>0</v>
      </c>
      <c r="I255">
        <f>'[1]Processed Data'!I391</f>
        <v>0</v>
      </c>
      <c r="J255">
        <f>'[1]Processed Data'!J391</f>
        <v>0</v>
      </c>
      <c r="K255">
        <f>'[1]Processed Data'!K391</f>
        <v>1</v>
      </c>
      <c r="L255">
        <f>'[1]Processed Data'!L391</f>
        <v>0</v>
      </c>
      <c r="M255">
        <f>'[1]Processed Data'!M391</f>
        <v>0</v>
      </c>
      <c r="N255">
        <f>'[1]Processed Data'!N391</f>
        <v>0</v>
      </c>
      <c r="O255">
        <f>'[1]Processed Data'!O391</f>
        <v>0</v>
      </c>
      <c r="P255">
        <f>'[1]Processed Data'!P391</f>
        <v>0</v>
      </c>
      <c r="Q255">
        <f>'[1]Processed Data'!Q391</f>
        <v>2</v>
      </c>
    </row>
    <row r="256" spans="2:17">
      <c r="B256">
        <f>'[1]Processed Data'!B393</f>
        <v>2019</v>
      </c>
      <c r="C256">
        <f>'[1]Processed Data'!C393</f>
        <v>138</v>
      </c>
      <c r="D256" t="str">
        <f>'[1]Processed Data'!D393</f>
        <v>Geno Smith</v>
      </c>
      <c r="E256">
        <f>Table1[[#This Row],[Year]]</f>
        <v>2019</v>
      </c>
      <c r="F256">
        <f>'[1]Processed Data'!F393</f>
        <v>0</v>
      </c>
      <c r="G256">
        <f>'[1]Processed Data'!G393</f>
        <v>0</v>
      </c>
      <c r="H256">
        <f>'[1]Processed Data'!H393</f>
        <v>0</v>
      </c>
      <c r="I256">
        <f>'[1]Processed Data'!I393</f>
        <v>0</v>
      </c>
      <c r="J256">
        <f>'[1]Processed Data'!J393</f>
        <v>0</v>
      </c>
      <c r="K256">
        <f>'[1]Processed Data'!K393</f>
        <v>0</v>
      </c>
      <c r="L256">
        <f>'[1]Processed Data'!L393</f>
        <v>0</v>
      </c>
      <c r="M256">
        <f>'[1]Processed Data'!M393</f>
        <v>0</v>
      </c>
      <c r="N256">
        <f>'[1]Processed Data'!N393</f>
        <v>0</v>
      </c>
      <c r="O256">
        <f>'[1]Processed Data'!O393</f>
        <v>0</v>
      </c>
      <c r="P256">
        <f>'[1]Processed Data'!P393</f>
        <v>0</v>
      </c>
      <c r="Q256">
        <f>'[1]Processed Data'!Q393</f>
        <v>1</v>
      </c>
    </row>
    <row r="257" spans="2:17">
      <c r="B257">
        <f>'[1]Processed Data'!B395</f>
        <v>2019</v>
      </c>
      <c r="C257">
        <f>'[1]Processed Data'!C395</f>
        <v>140</v>
      </c>
      <c r="D257" t="str">
        <f>'[1]Processed Data'!D395</f>
        <v>Taylor Heinicke</v>
      </c>
      <c r="E257">
        <f>Table1[[#This Row],[Year]]</f>
        <v>2019</v>
      </c>
      <c r="F257">
        <f>'[1]Processed Data'!F395</f>
        <v>0</v>
      </c>
      <c r="G257">
        <f>'[1]Processed Data'!G395</f>
        <v>0</v>
      </c>
      <c r="H257">
        <f>'[1]Processed Data'!H395</f>
        <v>0</v>
      </c>
      <c r="I257">
        <f>'[1]Processed Data'!I395</f>
        <v>0</v>
      </c>
      <c r="J257">
        <f>'[1]Processed Data'!J395</f>
        <v>0</v>
      </c>
      <c r="K257">
        <f>'[1]Processed Data'!K395</f>
        <v>0</v>
      </c>
      <c r="L257">
        <f>'[1]Processed Data'!L395</f>
        <v>0</v>
      </c>
      <c r="M257">
        <f>'[1]Processed Data'!M395</f>
        <v>0</v>
      </c>
      <c r="N257">
        <f>'[1]Processed Data'!N395</f>
        <v>0</v>
      </c>
      <c r="O257">
        <f>'[1]Processed Data'!O395</f>
        <v>0</v>
      </c>
      <c r="P257">
        <f>'[1]Processed Data'!P395</f>
        <v>0</v>
      </c>
      <c r="Q257">
        <f>'[1]Processed Data'!Q395</f>
        <v>1</v>
      </c>
    </row>
    <row r="258" spans="2:17">
      <c r="B258">
        <f>'[1]Processed Data'!B396</f>
        <v>2019</v>
      </c>
      <c r="C258">
        <f>'[1]Processed Data'!C396</f>
        <v>141</v>
      </c>
      <c r="D258" t="str">
        <f>'[1]Processed Data'!D396</f>
        <v>Tim Boyle</v>
      </c>
      <c r="E258">
        <f>Table1[[#This Row],[Year]]</f>
        <v>2019</v>
      </c>
      <c r="F258">
        <f>'[1]Processed Data'!F396</f>
        <v>3</v>
      </c>
      <c r="G258">
        <f>'[1]Processed Data'!G396</f>
        <v>4</v>
      </c>
      <c r="H258">
        <f>'[1]Processed Data'!H396</f>
        <v>75</v>
      </c>
      <c r="I258">
        <f>'[1]Processed Data'!I396</f>
        <v>0</v>
      </c>
      <c r="J258">
        <f>'[1]Processed Data'!J396</f>
        <v>0</v>
      </c>
      <c r="K258">
        <f>'[1]Processed Data'!K396</f>
        <v>0</v>
      </c>
      <c r="L258">
        <f>'[1]Processed Data'!L396</f>
        <v>5</v>
      </c>
      <c r="M258">
        <f>'[1]Processed Data'!M396</f>
        <v>-7</v>
      </c>
      <c r="N258">
        <f>'[1]Processed Data'!N396</f>
        <v>0</v>
      </c>
      <c r="O258">
        <f>'[1]Processed Data'!O396</f>
        <v>0</v>
      </c>
      <c r="P258">
        <f>'[1]Processed Data'!P396</f>
        <v>-0.1</v>
      </c>
      <c r="Q258">
        <f>'[1]Processed Data'!Q396</f>
        <v>3</v>
      </c>
    </row>
    <row r="259" spans="2:17">
      <c r="B259">
        <f>'[1]Processed Data'!B397</f>
        <v>2019</v>
      </c>
      <c r="C259">
        <f>'[1]Processed Data'!C397</f>
        <v>142</v>
      </c>
      <c r="D259" t="str">
        <f>'[1]Processed Data'!D397</f>
        <v>Nick Mullens</v>
      </c>
      <c r="E259">
        <f>Table1[[#This Row],[Year]]</f>
        <v>2019</v>
      </c>
      <c r="F259">
        <f>'[1]Processed Data'!F397</f>
        <v>0</v>
      </c>
      <c r="G259">
        <f>'[1]Processed Data'!G397</f>
        <v>0</v>
      </c>
      <c r="H259">
        <f>'[1]Processed Data'!H397</f>
        <v>0</v>
      </c>
      <c r="I259">
        <f>'[1]Processed Data'!I397</f>
        <v>0</v>
      </c>
      <c r="J259">
        <f>'[1]Processed Data'!J397</f>
        <v>0</v>
      </c>
      <c r="K259">
        <f>'[1]Processed Data'!K397</f>
        <v>0</v>
      </c>
      <c r="L259">
        <f>'[1]Processed Data'!L397</f>
        <v>3</v>
      </c>
      <c r="M259">
        <f>'[1]Processed Data'!M397</f>
        <v>-3</v>
      </c>
      <c r="N259">
        <f>'[1]Processed Data'!N397</f>
        <v>0</v>
      </c>
      <c r="O259">
        <f>'[1]Processed Data'!O397</f>
        <v>0</v>
      </c>
      <c r="P259">
        <f>'[1]Processed Data'!P397</f>
        <v>-0.3</v>
      </c>
      <c r="Q259">
        <f>'[1]Processed Data'!Q397</f>
        <v>2</v>
      </c>
    </row>
    <row r="260" spans="2:17">
      <c r="B260">
        <f>'[1]Processed Data'!B398</f>
        <v>2019</v>
      </c>
      <c r="C260">
        <f>'[1]Processed Data'!C398</f>
        <v>143</v>
      </c>
      <c r="D260" t="str">
        <f>'[1]Processed Data'!D398</f>
        <v>Garrett Gilbert</v>
      </c>
      <c r="E260">
        <f>Table1[[#This Row],[Year]]</f>
        <v>2019</v>
      </c>
      <c r="F260">
        <f>'[1]Processed Data'!F398</f>
        <v>0</v>
      </c>
      <c r="G260">
        <f>'[1]Processed Data'!G398</f>
        <v>3</v>
      </c>
      <c r="H260">
        <f>'[1]Processed Data'!H398</f>
        <v>0</v>
      </c>
      <c r="I260">
        <f>'[1]Processed Data'!I398</f>
        <v>0</v>
      </c>
      <c r="J260">
        <f>'[1]Processed Data'!J398</f>
        <v>0</v>
      </c>
      <c r="K260">
        <f>'[1]Processed Data'!K398</f>
        <v>0</v>
      </c>
      <c r="L260">
        <f>'[1]Processed Data'!L398</f>
        <v>3</v>
      </c>
      <c r="M260">
        <f>'[1]Processed Data'!M398</f>
        <v>-3</v>
      </c>
      <c r="N260">
        <f>'[1]Processed Data'!N398</f>
        <v>0</v>
      </c>
      <c r="O260">
        <f>'[1]Processed Data'!O398</f>
        <v>0</v>
      </c>
      <c r="P260">
        <f>'[1]Processed Data'!P398</f>
        <v>-0.3</v>
      </c>
      <c r="Q260">
        <f>'[1]Processed Data'!Q398</f>
        <v>6</v>
      </c>
    </row>
    <row r="261" spans="2:17">
      <c r="B261">
        <f>'[1]Processed Data'!B399</f>
        <v>2019</v>
      </c>
      <c r="C261">
        <f>'[1]Processed Data'!C399</f>
        <v>144</v>
      </c>
      <c r="D261" t="str">
        <f>'[1]Processed Data'!D399</f>
        <v>Jarrett Stidham</v>
      </c>
      <c r="E261">
        <f>Table1[[#This Row],[Year]]</f>
        <v>2019</v>
      </c>
      <c r="F261">
        <f>'[1]Processed Data'!F399</f>
        <v>2</v>
      </c>
      <c r="G261">
        <f>'[1]Processed Data'!G399</f>
        <v>4</v>
      </c>
      <c r="H261">
        <f>'[1]Processed Data'!H399</f>
        <v>50</v>
      </c>
      <c r="I261">
        <f>'[1]Processed Data'!I399</f>
        <v>0</v>
      </c>
      <c r="J261">
        <f>'[1]Processed Data'!J399</f>
        <v>1</v>
      </c>
      <c r="K261">
        <f>'[1]Processed Data'!K399</f>
        <v>1</v>
      </c>
      <c r="L261">
        <f>'[1]Processed Data'!L399</f>
        <v>2</v>
      </c>
      <c r="M261">
        <f>'[1]Processed Data'!M399</f>
        <v>-2</v>
      </c>
      <c r="N261">
        <f>'[1]Processed Data'!N399</f>
        <v>0</v>
      </c>
      <c r="O261">
        <f>'[1]Processed Data'!O399</f>
        <v>0</v>
      </c>
      <c r="P261">
        <f>'[1]Processed Data'!P399</f>
        <v>-0.6</v>
      </c>
      <c r="Q261">
        <f>'[1]Processed Data'!Q399</f>
        <v>3</v>
      </c>
    </row>
    <row r="262" spans="2:17">
      <c r="B262">
        <f>'[1]Processed Data'!B400</f>
        <v>2019</v>
      </c>
      <c r="C262">
        <f>'[1]Processed Data'!C400</f>
        <v>145</v>
      </c>
      <c r="D262" t="str">
        <f>'[1]Processed Data'!D400</f>
        <v>Blake Bortles</v>
      </c>
      <c r="E262">
        <f>Table1[[#This Row],[Year]]</f>
        <v>2019</v>
      </c>
      <c r="F262">
        <f>'[1]Processed Data'!F400</f>
        <v>1</v>
      </c>
      <c r="G262">
        <f>'[1]Processed Data'!G400</f>
        <v>2</v>
      </c>
      <c r="H262">
        <f>'[1]Processed Data'!H400</f>
        <v>50</v>
      </c>
      <c r="I262">
        <f>'[1]Processed Data'!I400</f>
        <v>0</v>
      </c>
      <c r="J262">
        <f>'[1]Processed Data'!J400</f>
        <v>0</v>
      </c>
      <c r="K262">
        <f>'[1]Processed Data'!K400</f>
        <v>0</v>
      </c>
      <c r="L262">
        <f>'[1]Processed Data'!L400</f>
        <v>2</v>
      </c>
      <c r="M262">
        <f>'[1]Processed Data'!M400</f>
        <v>-9</v>
      </c>
      <c r="N262">
        <f>'[1]Processed Data'!N400</f>
        <v>0</v>
      </c>
      <c r="O262">
        <f>'[1]Processed Data'!O400</f>
        <v>0</v>
      </c>
      <c r="P262">
        <f>'[1]Processed Data'!P400</f>
        <v>-0.8</v>
      </c>
      <c r="Q262">
        <f>'[1]Processed Data'!Q400</f>
        <v>4</v>
      </c>
    </row>
    <row r="263" spans="2:17">
      <c r="B263">
        <f>'[1]Processed Data'!B401</f>
        <v>2018</v>
      </c>
      <c r="C263">
        <f>'[1]Processed Data'!C401</f>
        <v>1</v>
      </c>
      <c r="D263" t="str">
        <f>'[1]Processed Data'!D401</f>
        <v>Patrick Mahomes II</v>
      </c>
      <c r="E263">
        <f>Table1[[#This Row],[Year]]</f>
        <v>2018</v>
      </c>
      <c r="F263">
        <f>'[1]Processed Data'!F401</f>
        <v>383</v>
      </c>
      <c r="G263">
        <f>'[1]Processed Data'!G401</f>
        <v>580</v>
      </c>
      <c r="H263">
        <f>'[1]Processed Data'!H401</f>
        <v>66</v>
      </c>
      <c r="I263">
        <f>'[1]Processed Data'!I401</f>
        <v>50</v>
      </c>
      <c r="J263">
        <f>'[1]Processed Data'!J401</f>
        <v>12</v>
      </c>
      <c r="K263">
        <f>'[1]Processed Data'!K401</f>
        <v>26</v>
      </c>
      <c r="L263">
        <f>'[1]Processed Data'!L401</f>
        <v>60</v>
      </c>
      <c r="M263">
        <f>'[1]Processed Data'!M401</f>
        <v>272</v>
      </c>
      <c r="N263">
        <f>'[1]Processed Data'!N401</f>
        <v>2</v>
      </c>
      <c r="O263">
        <f>'[1]Processed Data'!O401</f>
        <v>2</v>
      </c>
      <c r="P263">
        <f>'[1]Processed Data'!P401</f>
        <v>417</v>
      </c>
      <c r="Q263">
        <f>'[1]Processed Data'!Q401</f>
        <v>16</v>
      </c>
    </row>
    <row r="264" spans="2:17">
      <c r="B264">
        <f>'[1]Processed Data'!B402</f>
        <v>2018</v>
      </c>
      <c r="C264">
        <f>'[1]Processed Data'!C402</f>
        <v>2</v>
      </c>
      <c r="D264" t="str">
        <f>'[1]Processed Data'!D402</f>
        <v>Matt Ryan</v>
      </c>
      <c r="E264">
        <f>Table1[[#This Row],[Year]]</f>
        <v>2018</v>
      </c>
      <c r="F264">
        <f>'[1]Processed Data'!F402</f>
        <v>422</v>
      </c>
      <c r="G264">
        <f>'[1]Processed Data'!G402</f>
        <v>608</v>
      </c>
      <c r="H264">
        <f>'[1]Processed Data'!H402</f>
        <v>69.400000000000006</v>
      </c>
      <c r="I264">
        <f>'[1]Processed Data'!I402</f>
        <v>35</v>
      </c>
      <c r="J264">
        <f>'[1]Processed Data'!J402</f>
        <v>7</v>
      </c>
      <c r="K264">
        <f>'[1]Processed Data'!K402</f>
        <v>42</v>
      </c>
      <c r="L264">
        <f>'[1]Processed Data'!L402</f>
        <v>33</v>
      </c>
      <c r="M264">
        <f>'[1]Processed Data'!M402</f>
        <v>125</v>
      </c>
      <c r="N264">
        <f>'[1]Processed Data'!N402</f>
        <v>3</v>
      </c>
      <c r="O264">
        <f>'[1]Processed Data'!O402</f>
        <v>5</v>
      </c>
      <c r="P264">
        <f>'[1]Processed Data'!P402</f>
        <v>354.5</v>
      </c>
      <c r="Q264">
        <f>'[1]Processed Data'!Q402</f>
        <v>16</v>
      </c>
    </row>
    <row r="265" spans="2:17">
      <c r="B265">
        <f>'[1]Processed Data'!B403</f>
        <v>2018</v>
      </c>
      <c r="C265">
        <f>'[1]Processed Data'!C403</f>
        <v>3</v>
      </c>
      <c r="D265" t="str">
        <f>'[1]Processed Data'!D403</f>
        <v>Ben Roethlisberger</v>
      </c>
      <c r="E265">
        <f>Table1[[#This Row],[Year]]</f>
        <v>2018</v>
      </c>
      <c r="F265">
        <f>'[1]Processed Data'!F403</f>
        <v>452</v>
      </c>
      <c r="G265">
        <f>'[1]Processed Data'!G403</f>
        <v>675</v>
      </c>
      <c r="H265">
        <f>'[1]Processed Data'!H403</f>
        <v>67</v>
      </c>
      <c r="I265">
        <f>'[1]Processed Data'!I403</f>
        <v>34</v>
      </c>
      <c r="J265">
        <f>'[1]Processed Data'!J403</f>
        <v>16</v>
      </c>
      <c r="K265">
        <f>'[1]Processed Data'!K403</f>
        <v>24</v>
      </c>
      <c r="L265">
        <f>'[1]Processed Data'!L403</f>
        <v>31</v>
      </c>
      <c r="M265">
        <f>'[1]Processed Data'!M403</f>
        <v>98</v>
      </c>
      <c r="N265">
        <f>'[1]Processed Data'!N403</f>
        <v>3</v>
      </c>
      <c r="O265">
        <f>'[1]Processed Data'!O403</f>
        <v>2</v>
      </c>
      <c r="P265">
        <f>'[1]Processed Data'!P403</f>
        <v>341.5</v>
      </c>
      <c r="Q265">
        <f>'[1]Processed Data'!Q403</f>
        <v>16</v>
      </c>
    </row>
    <row r="266" spans="2:17">
      <c r="B266">
        <f>'[1]Processed Data'!B404</f>
        <v>2018</v>
      </c>
      <c r="C266">
        <f>'[1]Processed Data'!C404</f>
        <v>4</v>
      </c>
      <c r="D266" t="str">
        <f>'[1]Processed Data'!D404</f>
        <v>Deshaun Watson</v>
      </c>
      <c r="E266">
        <f>Table1[[#This Row],[Year]]</f>
        <v>2018</v>
      </c>
      <c r="F266">
        <f>'[1]Processed Data'!F404</f>
        <v>345</v>
      </c>
      <c r="G266">
        <f>'[1]Processed Data'!G404</f>
        <v>505</v>
      </c>
      <c r="H266">
        <f>'[1]Processed Data'!H404</f>
        <v>68.3</v>
      </c>
      <c r="I266">
        <f>'[1]Processed Data'!I404</f>
        <v>26</v>
      </c>
      <c r="J266">
        <f>'[1]Processed Data'!J404</f>
        <v>9</v>
      </c>
      <c r="K266">
        <f>'[1]Processed Data'!K404</f>
        <v>62</v>
      </c>
      <c r="L266">
        <f>'[1]Processed Data'!L404</f>
        <v>99</v>
      </c>
      <c r="M266">
        <f>'[1]Processed Data'!M404</f>
        <v>551</v>
      </c>
      <c r="N266">
        <f>'[1]Processed Data'!N404</f>
        <v>5</v>
      </c>
      <c r="O266">
        <f>'[1]Processed Data'!O404</f>
        <v>3</v>
      </c>
      <c r="P266">
        <f>'[1]Processed Data'!P404</f>
        <v>331.9</v>
      </c>
      <c r="Q266">
        <f>'[1]Processed Data'!Q404</f>
        <v>16</v>
      </c>
    </row>
    <row r="267" spans="2:17">
      <c r="B267">
        <f>'[1]Processed Data'!B405</f>
        <v>2018</v>
      </c>
      <c r="C267">
        <f>'[1]Processed Data'!C405</f>
        <v>5</v>
      </c>
      <c r="D267" t="str">
        <f>'[1]Processed Data'!D405</f>
        <v>Andrew Luck</v>
      </c>
      <c r="E267">
        <f>Table1[[#This Row],[Year]]</f>
        <v>2018</v>
      </c>
      <c r="F267">
        <f>'[1]Processed Data'!F405</f>
        <v>430</v>
      </c>
      <c r="G267">
        <f>'[1]Processed Data'!G405</f>
        <v>639</v>
      </c>
      <c r="H267">
        <f>'[1]Processed Data'!H405</f>
        <v>67.3</v>
      </c>
      <c r="I267">
        <f>'[1]Processed Data'!I405</f>
        <v>39</v>
      </c>
      <c r="J267">
        <f>'[1]Processed Data'!J405</f>
        <v>15</v>
      </c>
      <c r="K267">
        <f>'[1]Processed Data'!K405</f>
        <v>18</v>
      </c>
      <c r="L267">
        <f>'[1]Processed Data'!L405</f>
        <v>46</v>
      </c>
      <c r="M267">
        <f>'[1]Processed Data'!M405</f>
        <v>148</v>
      </c>
      <c r="N267">
        <f>'[1]Processed Data'!N405</f>
        <v>0</v>
      </c>
      <c r="O267">
        <f>'[1]Processed Data'!O405</f>
        <v>1</v>
      </c>
      <c r="P267">
        <f>'[1]Processed Data'!P405</f>
        <v>327.60000000000002</v>
      </c>
      <c r="Q267">
        <f>'[1]Processed Data'!Q405</f>
        <v>16</v>
      </c>
    </row>
    <row r="268" spans="2:17">
      <c r="B268">
        <f>'[1]Processed Data'!B406</f>
        <v>2018</v>
      </c>
      <c r="C268">
        <f>'[1]Processed Data'!C406</f>
        <v>6</v>
      </c>
      <c r="D268" t="str">
        <f>'[1]Processed Data'!D406</f>
        <v>Aaron Rodgers</v>
      </c>
      <c r="E268">
        <f>Table1[[#This Row],[Year]]</f>
        <v>2018</v>
      </c>
      <c r="F268">
        <f>'[1]Processed Data'!F406</f>
        <v>372</v>
      </c>
      <c r="G268">
        <f>'[1]Processed Data'!G406</f>
        <v>597</v>
      </c>
      <c r="H268">
        <f>'[1]Processed Data'!H406</f>
        <v>62.3</v>
      </c>
      <c r="I268">
        <f>'[1]Processed Data'!I406</f>
        <v>25</v>
      </c>
      <c r="J268">
        <f>'[1]Processed Data'!J406</f>
        <v>2</v>
      </c>
      <c r="K268">
        <f>'[1]Processed Data'!K406</f>
        <v>49</v>
      </c>
      <c r="L268">
        <f>'[1]Processed Data'!L406</f>
        <v>43</v>
      </c>
      <c r="M268">
        <f>'[1]Processed Data'!M406</f>
        <v>269</v>
      </c>
      <c r="N268">
        <f>'[1]Processed Data'!N406</f>
        <v>2</v>
      </c>
      <c r="O268">
        <f>'[1]Processed Data'!O406</f>
        <v>3</v>
      </c>
      <c r="P268">
        <f>'[1]Processed Data'!P406</f>
        <v>312.5</v>
      </c>
      <c r="Q268">
        <f>'[1]Processed Data'!Q406</f>
        <v>16</v>
      </c>
    </row>
    <row r="269" spans="2:17">
      <c r="B269">
        <f>'[1]Processed Data'!B407</f>
        <v>2018</v>
      </c>
      <c r="C269">
        <f>'[1]Processed Data'!C407</f>
        <v>7</v>
      </c>
      <c r="D269" t="str">
        <f>'[1]Processed Data'!D407</f>
        <v>Jared Goff</v>
      </c>
      <c r="E269">
        <f>Table1[[#This Row],[Year]]</f>
        <v>2018</v>
      </c>
      <c r="F269">
        <f>'[1]Processed Data'!F407</f>
        <v>364</v>
      </c>
      <c r="G269">
        <f>'[1]Processed Data'!G407</f>
        <v>561</v>
      </c>
      <c r="H269">
        <f>'[1]Processed Data'!H407</f>
        <v>64.900000000000006</v>
      </c>
      <c r="I269">
        <f>'[1]Processed Data'!I407</f>
        <v>32</v>
      </c>
      <c r="J269">
        <f>'[1]Processed Data'!J407</f>
        <v>12</v>
      </c>
      <c r="K269">
        <f>'[1]Processed Data'!K407</f>
        <v>33</v>
      </c>
      <c r="L269">
        <f>'[1]Processed Data'!L407</f>
        <v>43</v>
      </c>
      <c r="M269">
        <f>'[1]Processed Data'!M407</f>
        <v>108</v>
      </c>
      <c r="N269">
        <f>'[1]Processed Data'!N407</f>
        <v>2</v>
      </c>
      <c r="O269">
        <f>'[1]Processed Data'!O407</f>
        <v>5</v>
      </c>
      <c r="P269">
        <f>'[1]Processed Data'!P407</f>
        <v>310.3</v>
      </c>
      <c r="Q269">
        <f>'[1]Processed Data'!Q407</f>
        <v>16</v>
      </c>
    </row>
    <row r="270" spans="2:17">
      <c r="B270">
        <f>'[1]Processed Data'!B408</f>
        <v>2018</v>
      </c>
      <c r="C270">
        <f>'[1]Processed Data'!C408</f>
        <v>8</v>
      </c>
      <c r="D270" t="str">
        <f>'[1]Processed Data'!D408</f>
        <v>Drew Brees</v>
      </c>
      <c r="E270">
        <f>Table1[[#This Row],[Year]]</f>
        <v>2018</v>
      </c>
      <c r="F270">
        <f>'[1]Processed Data'!F408</f>
        <v>364</v>
      </c>
      <c r="G270">
        <f>'[1]Processed Data'!G408</f>
        <v>489</v>
      </c>
      <c r="H270">
        <f>'[1]Processed Data'!H408</f>
        <v>74.400000000000006</v>
      </c>
      <c r="I270">
        <f>'[1]Processed Data'!I408</f>
        <v>32</v>
      </c>
      <c r="J270">
        <f>'[1]Processed Data'!J408</f>
        <v>5</v>
      </c>
      <c r="K270">
        <f>'[1]Processed Data'!K408</f>
        <v>17</v>
      </c>
      <c r="L270">
        <f>'[1]Processed Data'!L408</f>
        <v>31</v>
      </c>
      <c r="M270">
        <f>'[1]Processed Data'!M408</f>
        <v>22</v>
      </c>
      <c r="N270">
        <f>'[1]Processed Data'!N408</f>
        <v>4</v>
      </c>
      <c r="O270">
        <f>'[1]Processed Data'!O408</f>
        <v>1</v>
      </c>
      <c r="P270">
        <f>'[1]Processed Data'!P408</f>
        <v>304.3</v>
      </c>
      <c r="Q270">
        <f>'[1]Processed Data'!Q408</f>
        <v>15</v>
      </c>
    </row>
    <row r="271" spans="2:17">
      <c r="B271">
        <f>'[1]Processed Data'!B409</f>
        <v>2018</v>
      </c>
      <c r="C271">
        <f>'[1]Processed Data'!C409</f>
        <v>9</v>
      </c>
      <c r="D271" t="str">
        <f>'[1]Processed Data'!D409</f>
        <v>Russell Wilson</v>
      </c>
      <c r="E271">
        <f>Table1[[#This Row],[Year]]</f>
        <v>2018</v>
      </c>
      <c r="F271">
        <f>'[1]Processed Data'!F409</f>
        <v>280</v>
      </c>
      <c r="G271">
        <f>'[1]Processed Data'!G409</f>
        <v>427</v>
      </c>
      <c r="H271">
        <f>'[1]Processed Data'!H409</f>
        <v>65.599999999999994</v>
      </c>
      <c r="I271">
        <f>'[1]Processed Data'!I409</f>
        <v>35</v>
      </c>
      <c r="J271">
        <f>'[1]Processed Data'!J409</f>
        <v>7</v>
      </c>
      <c r="K271">
        <f>'[1]Processed Data'!K409</f>
        <v>51</v>
      </c>
      <c r="L271">
        <f>'[1]Processed Data'!L409</f>
        <v>67</v>
      </c>
      <c r="M271">
        <f>'[1]Processed Data'!M409</f>
        <v>376</v>
      </c>
      <c r="N271">
        <f>'[1]Processed Data'!N409</f>
        <v>0</v>
      </c>
      <c r="O271">
        <f>'[1]Processed Data'!O409</f>
        <v>2</v>
      </c>
      <c r="P271">
        <f>'[1]Processed Data'!P409</f>
        <v>298.89999999999998</v>
      </c>
      <c r="Q271">
        <f>'[1]Processed Data'!Q409</f>
        <v>16</v>
      </c>
    </row>
    <row r="272" spans="2:17">
      <c r="B272">
        <f>'[1]Processed Data'!B410</f>
        <v>2018</v>
      </c>
      <c r="C272">
        <f>'[1]Processed Data'!C410</f>
        <v>10</v>
      </c>
      <c r="D272" t="str">
        <f>'[1]Processed Data'!D410</f>
        <v>Dak Prescott</v>
      </c>
      <c r="E272">
        <f>Table1[[#This Row],[Year]]</f>
        <v>2018</v>
      </c>
      <c r="F272">
        <f>'[1]Processed Data'!F410</f>
        <v>356</v>
      </c>
      <c r="G272">
        <f>'[1]Processed Data'!G410</f>
        <v>526</v>
      </c>
      <c r="H272">
        <f>'[1]Processed Data'!H410</f>
        <v>67.7</v>
      </c>
      <c r="I272">
        <f>'[1]Processed Data'!I410</f>
        <v>22</v>
      </c>
      <c r="J272">
        <f>'[1]Processed Data'!J410</f>
        <v>8</v>
      </c>
      <c r="K272">
        <f>'[1]Processed Data'!K410</f>
        <v>56</v>
      </c>
      <c r="L272">
        <f>'[1]Processed Data'!L410</f>
        <v>75</v>
      </c>
      <c r="M272">
        <f>'[1]Processed Data'!M410</f>
        <v>305</v>
      </c>
      <c r="N272">
        <f>'[1]Processed Data'!N410</f>
        <v>6</v>
      </c>
      <c r="O272">
        <f>'[1]Processed Data'!O410</f>
        <v>6</v>
      </c>
      <c r="P272">
        <f>'[1]Processed Data'!P410</f>
        <v>285.7</v>
      </c>
      <c r="Q272">
        <f>'[1]Processed Data'!Q410</f>
        <v>16</v>
      </c>
    </row>
    <row r="273" spans="2:17">
      <c r="B273">
        <f>'[1]Processed Data'!B411</f>
        <v>2018</v>
      </c>
      <c r="C273">
        <f>'[1]Processed Data'!C411</f>
        <v>11</v>
      </c>
      <c r="D273" t="str">
        <f>'[1]Processed Data'!D411</f>
        <v>Philip Rivers</v>
      </c>
      <c r="E273">
        <f>Table1[[#This Row],[Year]]</f>
        <v>2018</v>
      </c>
      <c r="F273">
        <f>'[1]Processed Data'!F411</f>
        <v>347</v>
      </c>
      <c r="G273">
        <f>'[1]Processed Data'!G411</f>
        <v>508</v>
      </c>
      <c r="H273">
        <f>'[1]Processed Data'!H411</f>
        <v>68.3</v>
      </c>
      <c r="I273">
        <f>'[1]Processed Data'!I411</f>
        <v>32</v>
      </c>
      <c r="J273">
        <f>'[1]Processed Data'!J411</f>
        <v>12</v>
      </c>
      <c r="K273">
        <f>'[1]Processed Data'!K411</f>
        <v>32</v>
      </c>
      <c r="L273">
        <f>'[1]Processed Data'!L411</f>
        <v>18</v>
      </c>
      <c r="M273">
        <f>'[1]Processed Data'!M411</f>
        <v>7</v>
      </c>
      <c r="N273">
        <f>'[1]Processed Data'!N411</f>
        <v>0</v>
      </c>
      <c r="O273">
        <f>'[1]Processed Data'!O411</f>
        <v>1</v>
      </c>
      <c r="P273">
        <f>'[1]Processed Data'!P411</f>
        <v>284.89999999999998</v>
      </c>
      <c r="Q273">
        <f>'[1]Processed Data'!Q411</f>
        <v>16</v>
      </c>
    </row>
    <row r="274" spans="2:17">
      <c r="B274">
        <f>'[1]Processed Data'!B412</f>
        <v>2018</v>
      </c>
      <c r="C274">
        <f>'[1]Processed Data'!C412</f>
        <v>12</v>
      </c>
      <c r="D274" t="str">
        <f>'[1]Processed Data'!D412</f>
        <v>Cam Newton</v>
      </c>
      <c r="E274">
        <f>Table1[[#This Row],[Year]]</f>
        <v>2018</v>
      </c>
      <c r="F274">
        <f>'[1]Processed Data'!F412</f>
        <v>320</v>
      </c>
      <c r="G274">
        <f>'[1]Processed Data'!G412</f>
        <v>471</v>
      </c>
      <c r="H274">
        <f>'[1]Processed Data'!H412</f>
        <v>67.900000000000006</v>
      </c>
      <c r="I274">
        <f>'[1]Processed Data'!I412</f>
        <v>24</v>
      </c>
      <c r="J274">
        <f>'[1]Processed Data'!J412</f>
        <v>13</v>
      </c>
      <c r="K274">
        <f>'[1]Processed Data'!K412</f>
        <v>29</v>
      </c>
      <c r="L274">
        <f>'[1]Processed Data'!L412</f>
        <v>101</v>
      </c>
      <c r="M274">
        <f>'[1]Processed Data'!M412</f>
        <v>488</v>
      </c>
      <c r="N274">
        <f>'[1]Processed Data'!N412</f>
        <v>4</v>
      </c>
      <c r="O274">
        <f>'[1]Processed Data'!O412</f>
        <v>0</v>
      </c>
      <c r="P274">
        <f>'[1]Processed Data'!P412</f>
        <v>282.60000000000002</v>
      </c>
      <c r="Q274">
        <f>'[1]Processed Data'!Q412</f>
        <v>14</v>
      </c>
    </row>
    <row r="275" spans="2:17">
      <c r="B275">
        <f>'[1]Processed Data'!B413</f>
        <v>2018</v>
      </c>
      <c r="C275">
        <f>'[1]Processed Data'!C413</f>
        <v>13</v>
      </c>
      <c r="D275" t="str">
        <f>'[1]Processed Data'!D413</f>
        <v>Kirk Cousins</v>
      </c>
      <c r="E275">
        <f>Table1[[#This Row],[Year]]</f>
        <v>2018</v>
      </c>
      <c r="F275">
        <f>'[1]Processed Data'!F413</f>
        <v>425</v>
      </c>
      <c r="G275">
        <f>'[1]Processed Data'!G413</f>
        <v>606</v>
      </c>
      <c r="H275">
        <f>'[1]Processed Data'!H413</f>
        <v>70.099999999999994</v>
      </c>
      <c r="I275">
        <f>'[1]Processed Data'!I413</f>
        <v>30</v>
      </c>
      <c r="J275">
        <f>'[1]Processed Data'!J413</f>
        <v>10</v>
      </c>
      <c r="K275">
        <f>'[1]Processed Data'!K413</f>
        <v>40</v>
      </c>
      <c r="L275">
        <f>'[1]Processed Data'!L413</f>
        <v>44</v>
      </c>
      <c r="M275">
        <f>'[1]Processed Data'!M413</f>
        <v>123</v>
      </c>
      <c r="N275">
        <f>'[1]Processed Data'!N413</f>
        <v>1</v>
      </c>
      <c r="O275">
        <f>'[1]Processed Data'!O413</f>
        <v>7</v>
      </c>
      <c r="P275">
        <f>'[1]Processed Data'!P413</f>
        <v>282.60000000000002</v>
      </c>
      <c r="Q275">
        <f>'[1]Processed Data'!Q413</f>
        <v>16</v>
      </c>
    </row>
    <row r="276" spans="2:17">
      <c r="B276">
        <f>'[1]Processed Data'!B414</f>
        <v>2018</v>
      </c>
      <c r="C276">
        <f>'[1]Processed Data'!C414</f>
        <v>14</v>
      </c>
      <c r="D276" t="str">
        <f>'[1]Processed Data'!D414</f>
        <v>Tom Brady</v>
      </c>
      <c r="E276">
        <f>Table1[[#This Row],[Year]]</f>
        <v>2018</v>
      </c>
      <c r="F276">
        <f>'[1]Processed Data'!F414</f>
        <v>375</v>
      </c>
      <c r="G276">
        <f>'[1]Processed Data'!G414</f>
        <v>570</v>
      </c>
      <c r="H276">
        <f>'[1]Processed Data'!H414</f>
        <v>65.8</v>
      </c>
      <c r="I276">
        <f>'[1]Processed Data'!I414</f>
        <v>29</v>
      </c>
      <c r="J276">
        <f>'[1]Processed Data'!J414</f>
        <v>11</v>
      </c>
      <c r="K276">
        <f>'[1]Processed Data'!K414</f>
        <v>21</v>
      </c>
      <c r="L276">
        <f>'[1]Processed Data'!L414</f>
        <v>23</v>
      </c>
      <c r="M276">
        <f>'[1]Processed Data'!M414</f>
        <v>35</v>
      </c>
      <c r="N276">
        <f>'[1]Processed Data'!N414</f>
        <v>2</v>
      </c>
      <c r="O276">
        <f>'[1]Processed Data'!O414</f>
        <v>2</v>
      </c>
      <c r="P276">
        <f>'[1]Processed Data'!P414</f>
        <v>280.89999999999998</v>
      </c>
      <c r="Q276">
        <f>'[1]Processed Data'!Q414</f>
        <v>16</v>
      </c>
    </row>
    <row r="277" spans="2:17">
      <c r="B277">
        <f>'[1]Processed Data'!B415</f>
        <v>2018</v>
      </c>
      <c r="C277">
        <f>'[1]Processed Data'!C415</f>
        <v>15</v>
      </c>
      <c r="D277" t="str">
        <f>'[1]Processed Data'!D415</f>
        <v>Mitchell Trubisky</v>
      </c>
      <c r="E277">
        <f>Table1[[#This Row],[Year]]</f>
        <v>2018</v>
      </c>
      <c r="F277">
        <f>'[1]Processed Data'!F415</f>
        <v>289</v>
      </c>
      <c r="G277">
        <f>'[1]Processed Data'!G415</f>
        <v>434</v>
      </c>
      <c r="H277">
        <f>'[1]Processed Data'!H415</f>
        <v>66.599999999999994</v>
      </c>
      <c r="I277">
        <f>'[1]Processed Data'!I415</f>
        <v>24</v>
      </c>
      <c r="J277">
        <f>'[1]Processed Data'!J415</f>
        <v>12</v>
      </c>
      <c r="K277">
        <f>'[1]Processed Data'!K415</f>
        <v>24</v>
      </c>
      <c r="L277">
        <f>'[1]Processed Data'!L415</f>
        <v>68</v>
      </c>
      <c r="M277">
        <f>'[1]Processed Data'!M415</f>
        <v>421</v>
      </c>
      <c r="N277">
        <f>'[1]Processed Data'!N415</f>
        <v>3</v>
      </c>
      <c r="O277">
        <f>'[1]Processed Data'!O415</f>
        <v>3</v>
      </c>
      <c r="P277">
        <f>'[1]Processed Data'!P415</f>
        <v>262.89999999999998</v>
      </c>
      <c r="Q277">
        <f>'[1]Processed Data'!Q415</f>
        <v>14</v>
      </c>
    </row>
    <row r="278" spans="2:17">
      <c r="B278">
        <f>'[1]Processed Data'!B416</f>
        <v>2018</v>
      </c>
      <c r="C278">
        <f>'[1]Processed Data'!C416</f>
        <v>16</v>
      </c>
      <c r="D278" t="str">
        <f>'[1]Processed Data'!D416</f>
        <v>Eli Manning</v>
      </c>
      <c r="E278">
        <f>Table1[[#This Row],[Year]]</f>
        <v>2018</v>
      </c>
      <c r="F278">
        <f>'[1]Processed Data'!F416</f>
        <v>380</v>
      </c>
      <c r="G278">
        <f>'[1]Processed Data'!G416</f>
        <v>576</v>
      </c>
      <c r="H278">
        <f>'[1]Processed Data'!H416</f>
        <v>66</v>
      </c>
      <c r="I278">
        <f>'[1]Processed Data'!I416</f>
        <v>21</v>
      </c>
      <c r="J278">
        <f>'[1]Processed Data'!J416</f>
        <v>11</v>
      </c>
      <c r="K278">
        <f>'[1]Processed Data'!K416</f>
        <v>47</v>
      </c>
      <c r="L278">
        <f>'[1]Processed Data'!L416</f>
        <v>15</v>
      </c>
      <c r="M278">
        <f>'[1]Processed Data'!M416</f>
        <v>20</v>
      </c>
      <c r="N278">
        <f>'[1]Processed Data'!N416</f>
        <v>1</v>
      </c>
      <c r="O278">
        <f>'[1]Processed Data'!O416</f>
        <v>4</v>
      </c>
      <c r="P278">
        <f>'[1]Processed Data'!P416</f>
        <v>240</v>
      </c>
      <c r="Q278">
        <f>'[1]Processed Data'!Q416</f>
        <v>16</v>
      </c>
    </row>
    <row r="279" spans="2:17">
      <c r="B279">
        <f>'[1]Processed Data'!B417</f>
        <v>2018</v>
      </c>
      <c r="C279">
        <f>'[1]Processed Data'!C417</f>
        <v>17</v>
      </c>
      <c r="D279" t="str">
        <f>'[1]Processed Data'!D417</f>
        <v>Baker Mayfield</v>
      </c>
      <c r="E279">
        <f>Table1[[#This Row],[Year]]</f>
        <v>2018</v>
      </c>
      <c r="F279">
        <f>'[1]Processed Data'!F417</f>
        <v>310</v>
      </c>
      <c r="G279">
        <f>'[1]Processed Data'!G417</f>
        <v>486</v>
      </c>
      <c r="H279">
        <f>'[1]Processed Data'!H417</f>
        <v>63.8</v>
      </c>
      <c r="I279">
        <f>'[1]Processed Data'!I417</f>
        <v>27</v>
      </c>
      <c r="J279">
        <f>'[1]Processed Data'!J417</f>
        <v>14</v>
      </c>
      <c r="K279">
        <f>'[1]Processed Data'!K417</f>
        <v>25</v>
      </c>
      <c r="L279">
        <f>'[1]Processed Data'!L417</f>
        <v>39</v>
      </c>
      <c r="M279">
        <f>'[1]Processed Data'!M417</f>
        <v>131</v>
      </c>
      <c r="N279">
        <f>'[1]Processed Data'!N417</f>
        <v>0</v>
      </c>
      <c r="O279">
        <f>'[1]Processed Data'!O417</f>
        <v>3</v>
      </c>
      <c r="P279">
        <f>'[1]Processed Data'!P417</f>
        <v>240</v>
      </c>
      <c r="Q279">
        <f>'[1]Processed Data'!Q417</f>
        <v>14</v>
      </c>
    </row>
    <row r="280" spans="2:17">
      <c r="B280">
        <f>'[1]Processed Data'!B418</f>
        <v>2018</v>
      </c>
      <c r="C280">
        <f>'[1]Processed Data'!C418</f>
        <v>18</v>
      </c>
      <c r="D280" t="str">
        <f>'[1]Processed Data'!D418</f>
        <v>Derek Carr</v>
      </c>
      <c r="E280">
        <f>Table1[[#This Row],[Year]]</f>
        <v>2018</v>
      </c>
      <c r="F280">
        <f>'[1]Processed Data'!F418</f>
        <v>381</v>
      </c>
      <c r="G280">
        <f>'[1]Processed Data'!G418</f>
        <v>553</v>
      </c>
      <c r="H280">
        <f>'[1]Processed Data'!H418</f>
        <v>68.900000000000006</v>
      </c>
      <c r="I280">
        <f>'[1]Processed Data'!I418</f>
        <v>19</v>
      </c>
      <c r="J280">
        <f>'[1]Processed Data'!J418</f>
        <v>10</v>
      </c>
      <c r="K280">
        <f>'[1]Processed Data'!K418</f>
        <v>51</v>
      </c>
      <c r="L280">
        <f>'[1]Processed Data'!L418</f>
        <v>24</v>
      </c>
      <c r="M280">
        <f>'[1]Processed Data'!M418</f>
        <v>47</v>
      </c>
      <c r="N280">
        <f>'[1]Processed Data'!N418</f>
        <v>1</v>
      </c>
      <c r="O280">
        <f>'[1]Processed Data'!O418</f>
        <v>7</v>
      </c>
      <c r="P280">
        <f>'[1]Processed Data'!P418</f>
        <v>216.3</v>
      </c>
      <c r="Q280">
        <f>'[1]Processed Data'!Q418</f>
        <v>16</v>
      </c>
    </row>
    <row r="281" spans="2:17">
      <c r="B281">
        <f>'[1]Processed Data'!B419</f>
        <v>2018</v>
      </c>
      <c r="C281">
        <f>'[1]Processed Data'!C419</f>
        <v>19</v>
      </c>
      <c r="D281" t="str">
        <f>'[1]Processed Data'!D419</f>
        <v>Case Keenum</v>
      </c>
      <c r="E281">
        <f>Table1[[#This Row],[Year]]</f>
        <v>2018</v>
      </c>
      <c r="F281">
        <f>'[1]Processed Data'!F419</f>
        <v>365</v>
      </c>
      <c r="G281">
        <f>'[1]Processed Data'!G419</f>
        <v>586</v>
      </c>
      <c r="H281">
        <f>'[1]Processed Data'!H419</f>
        <v>62.3</v>
      </c>
      <c r="I281">
        <f>'[1]Processed Data'!I419</f>
        <v>18</v>
      </c>
      <c r="J281">
        <f>'[1]Processed Data'!J419</f>
        <v>15</v>
      </c>
      <c r="K281">
        <f>'[1]Processed Data'!K419</f>
        <v>34</v>
      </c>
      <c r="L281">
        <f>'[1]Processed Data'!L419</f>
        <v>26</v>
      </c>
      <c r="M281">
        <f>'[1]Processed Data'!M419</f>
        <v>93</v>
      </c>
      <c r="N281">
        <f>'[1]Processed Data'!N419</f>
        <v>2</v>
      </c>
      <c r="O281">
        <f>'[1]Processed Data'!O419</f>
        <v>2</v>
      </c>
      <c r="P281">
        <f>'[1]Processed Data'!P419</f>
        <v>215</v>
      </c>
      <c r="Q281">
        <f>'[1]Processed Data'!Q419</f>
        <v>16</v>
      </c>
    </row>
    <row r="282" spans="2:17">
      <c r="B282">
        <f>'[1]Processed Data'!B420</f>
        <v>2018</v>
      </c>
      <c r="C282">
        <f>'[1]Processed Data'!C420</f>
        <v>20</v>
      </c>
      <c r="D282" t="str">
        <f>'[1]Processed Data'!D420</f>
        <v>Matthew Stafford</v>
      </c>
      <c r="E282">
        <f>Table1[[#This Row],[Year]]</f>
        <v>2018</v>
      </c>
      <c r="F282">
        <f>'[1]Processed Data'!F420</f>
        <v>367</v>
      </c>
      <c r="G282">
        <f>'[1]Processed Data'!G420</f>
        <v>555</v>
      </c>
      <c r="H282">
        <f>'[1]Processed Data'!H420</f>
        <v>66.099999999999994</v>
      </c>
      <c r="I282">
        <f>'[1]Processed Data'!I420</f>
        <v>21</v>
      </c>
      <c r="J282">
        <f>'[1]Processed Data'!J420</f>
        <v>11</v>
      </c>
      <c r="K282">
        <f>'[1]Processed Data'!K420</f>
        <v>40</v>
      </c>
      <c r="L282">
        <f>'[1]Processed Data'!L420</f>
        <v>25</v>
      </c>
      <c r="M282">
        <f>'[1]Processed Data'!M420</f>
        <v>71</v>
      </c>
      <c r="N282">
        <f>'[1]Processed Data'!N420</f>
        <v>0</v>
      </c>
      <c r="O282">
        <f>'[1]Processed Data'!O420</f>
        <v>4</v>
      </c>
      <c r="P282">
        <f>'[1]Processed Data'!P420</f>
        <v>212.1</v>
      </c>
      <c r="Q282">
        <f>'[1]Processed Data'!Q420</f>
        <v>16</v>
      </c>
    </row>
    <row r="283" spans="2:17">
      <c r="B283">
        <f>'[1]Processed Data'!B421</f>
        <v>2018</v>
      </c>
      <c r="C283">
        <f>'[1]Processed Data'!C421</f>
        <v>21</v>
      </c>
      <c r="D283" t="str">
        <f>'[1]Processed Data'!D421</f>
        <v>Josh Allen</v>
      </c>
      <c r="E283">
        <f>Table1[[#This Row],[Year]]</f>
        <v>2018</v>
      </c>
      <c r="F283">
        <f>'[1]Processed Data'!F421</f>
        <v>169</v>
      </c>
      <c r="G283">
        <f>'[1]Processed Data'!G421</f>
        <v>320</v>
      </c>
      <c r="H283">
        <f>'[1]Processed Data'!H421</f>
        <v>52.8</v>
      </c>
      <c r="I283">
        <f>'[1]Processed Data'!I421</f>
        <v>10</v>
      </c>
      <c r="J283">
        <f>'[1]Processed Data'!J421</f>
        <v>12</v>
      </c>
      <c r="K283">
        <f>'[1]Processed Data'!K421</f>
        <v>28</v>
      </c>
      <c r="L283">
        <f>'[1]Processed Data'!L421</f>
        <v>89</v>
      </c>
      <c r="M283">
        <f>'[1]Processed Data'!M421</f>
        <v>631</v>
      </c>
      <c r="N283">
        <f>'[1]Processed Data'!N421</f>
        <v>8</v>
      </c>
      <c r="O283">
        <f>'[1]Processed Data'!O421</f>
        <v>2</v>
      </c>
      <c r="P283">
        <f>'[1]Processed Data'!P421</f>
        <v>208.1</v>
      </c>
      <c r="Q283">
        <f>'[1]Processed Data'!Q421</f>
        <v>12</v>
      </c>
    </row>
    <row r="284" spans="2:17">
      <c r="B284">
        <f>'[1]Processed Data'!B422</f>
        <v>2018</v>
      </c>
      <c r="C284">
        <f>'[1]Processed Data'!C422</f>
        <v>22</v>
      </c>
      <c r="D284" t="str">
        <f>'[1]Processed Data'!D422</f>
        <v>Jameis Winston</v>
      </c>
      <c r="E284">
        <f>Table1[[#This Row],[Year]]</f>
        <v>2018</v>
      </c>
      <c r="F284">
        <f>'[1]Processed Data'!F422</f>
        <v>244</v>
      </c>
      <c r="G284">
        <f>'[1]Processed Data'!G422</f>
        <v>378</v>
      </c>
      <c r="H284">
        <f>'[1]Processed Data'!H422</f>
        <v>64.599999999999994</v>
      </c>
      <c r="I284">
        <f>'[1]Processed Data'!I422</f>
        <v>19</v>
      </c>
      <c r="J284">
        <f>'[1]Processed Data'!J422</f>
        <v>14</v>
      </c>
      <c r="K284">
        <f>'[1]Processed Data'!K422</f>
        <v>27</v>
      </c>
      <c r="L284">
        <f>'[1]Processed Data'!L422</f>
        <v>49</v>
      </c>
      <c r="M284">
        <f>'[1]Processed Data'!M422</f>
        <v>281</v>
      </c>
      <c r="N284">
        <f>'[1]Processed Data'!N422</f>
        <v>1</v>
      </c>
      <c r="O284">
        <f>'[1]Processed Data'!O422</f>
        <v>3</v>
      </c>
      <c r="P284">
        <f>'[1]Processed Data'!P422</f>
        <v>196</v>
      </c>
      <c r="Q284">
        <f>'[1]Processed Data'!Q422</f>
        <v>11</v>
      </c>
    </row>
    <row r="285" spans="2:17">
      <c r="B285">
        <f>'[1]Processed Data'!B423</f>
        <v>2018</v>
      </c>
      <c r="C285">
        <f>'[1]Processed Data'!C423</f>
        <v>23</v>
      </c>
      <c r="D285" t="str">
        <f>'[1]Processed Data'!D423</f>
        <v>Carson Wentz</v>
      </c>
      <c r="E285">
        <f>Table1[[#This Row],[Year]]</f>
        <v>2018</v>
      </c>
      <c r="F285">
        <f>'[1]Processed Data'!F423</f>
        <v>279</v>
      </c>
      <c r="G285">
        <f>'[1]Processed Data'!G423</f>
        <v>401</v>
      </c>
      <c r="H285">
        <f>'[1]Processed Data'!H423</f>
        <v>69.599999999999994</v>
      </c>
      <c r="I285">
        <f>'[1]Processed Data'!I423</f>
        <v>21</v>
      </c>
      <c r="J285">
        <f>'[1]Processed Data'!J423</f>
        <v>7</v>
      </c>
      <c r="K285">
        <f>'[1]Processed Data'!K423</f>
        <v>31</v>
      </c>
      <c r="L285">
        <f>'[1]Processed Data'!L423</f>
        <v>34</v>
      </c>
      <c r="M285">
        <f>'[1]Processed Data'!M423</f>
        <v>93</v>
      </c>
      <c r="N285">
        <f>'[1]Processed Data'!N423</f>
        <v>0</v>
      </c>
      <c r="O285">
        <f>'[1]Processed Data'!O423</f>
        <v>6</v>
      </c>
      <c r="P285">
        <f>'[1]Processed Data'!P423</f>
        <v>192.9</v>
      </c>
      <c r="Q285">
        <f>'[1]Processed Data'!Q423</f>
        <v>11</v>
      </c>
    </row>
    <row r="286" spans="2:17">
      <c r="B286">
        <f>'[1]Processed Data'!B424</f>
        <v>2018</v>
      </c>
      <c r="C286">
        <f>'[1]Processed Data'!C424</f>
        <v>24</v>
      </c>
      <c r="D286" t="str">
        <f>'[1]Processed Data'!D424</f>
        <v>Marcus Mariota</v>
      </c>
      <c r="E286">
        <f>Table1[[#This Row],[Year]]</f>
        <v>2018</v>
      </c>
      <c r="F286">
        <f>'[1]Processed Data'!F424</f>
        <v>228</v>
      </c>
      <c r="G286">
        <f>'[1]Processed Data'!G424</f>
        <v>331</v>
      </c>
      <c r="H286">
        <f>'[1]Processed Data'!H424</f>
        <v>68.900000000000006</v>
      </c>
      <c r="I286">
        <f>'[1]Processed Data'!I424</f>
        <v>11</v>
      </c>
      <c r="J286">
        <f>'[1]Processed Data'!J424</f>
        <v>8</v>
      </c>
      <c r="K286">
        <f>'[1]Processed Data'!K424</f>
        <v>42</v>
      </c>
      <c r="L286">
        <f>'[1]Processed Data'!L424</f>
        <v>64</v>
      </c>
      <c r="M286">
        <f>'[1]Processed Data'!M424</f>
        <v>357</v>
      </c>
      <c r="N286">
        <f>'[1]Processed Data'!N424</f>
        <v>2</v>
      </c>
      <c r="O286">
        <f>'[1]Processed Data'!O424</f>
        <v>2</v>
      </c>
      <c r="P286">
        <f>'[1]Processed Data'!P424</f>
        <v>175.5</v>
      </c>
      <c r="Q286">
        <f>'[1]Processed Data'!Q424</f>
        <v>14</v>
      </c>
    </row>
    <row r="287" spans="2:17">
      <c r="B287">
        <f>'[1]Processed Data'!B425</f>
        <v>2018</v>
      </c>
      <c r="C287">
        <f>'[1]Processed Data'!C425</f>
        <v>25</v>
      </c>
      <c r="D287" t="str">
        <f>'[1]Processed Data'!D425</f>
        <v>Andy Dalton</v>
      </c>
      <c r="E287">
        <f>Table1[[#This Row],[Year]]</f>
        <v>2018</v>
      </c>
      <c r="F287">
        <f>'[1]Processed Data'!F425</f>
        <v>226</v>
      </c>
      <c r="G287">
        <f>'[1]Processed Data'!G425</f>
        <v>365</v>
      </c>
      <c r="H287">
        <f>'[1]Processed Data'!H425</f>
        <v>61.9</v>
      </c>
      <c r="I287">
        <f>'[1]Processed Data'!I425</f>
        <v>21</v>
      </c>
      <c r="J287">
        <f>'[1]Processed Data'!J425</f>
        <v>11</v>
      </c>
      <c r="K287">
        <f>'[1]Processed Data'!K425</f>
        <v>21</v>
      </c>
      <c r="L287">
        <f>'[1]Processed Data'!L425</f>
        <v>16</v>
      </c>
      <c r="M287">
        <f>'[1]Processed Data'!M425</f>
        <v>99</v>
      </c>
      <c r="N287">
        <f>'[1]Processed Data'!N425</f>
        <v>0</v>
      </c>
      <c r="O287">
        <f>'[1]Processed Data'!O425</f>
        <v>0</v>
      </c>
      <c r="P287">
        <f>'[1]Processed Data'!P425</f>
        <v>174.5</v>
      </c>
      <c r="Q287">
        <f>'[1]Processed Data'!Q425</f>
        <v>11</v>
      </c>
    </row>
    <row r="288" spans="2:17">
      <c r="B288">
        <f>'[1]Processed Data'!B426</f>
        <v>2018</v>
      </c>
      <c r="C288">
        <f>'[1]Processed Data'!C426</f>
        <v>26</v>
      </c>
      <c r="D288" t="str">
        <f>'[1]Processed Data'!D426</f>
        <v>Blake Bortles</v>
      </c>
      <c r="E288">
        <f>Table1[[#This Row],[Year]]</f>
        <v>2018</v>
      </c>
      <c r="F288">
        <f>'[1]Processed Data'!F426</f>
        <v>243</v>
      </c>
      <c r="G288">
        <f>'[1]Processed Data'!G426</f>
        <v>403</v>
      </c>
      <c r="H288">
        <f>'[1]Processed Data'!H426</f>
        <v>60.3</v>
      </c>
      <c r="I288">
        <f>'[1]Processed Data'!I426</f>
        <v>13</v>
      </c>
      <c r="J288">
        <f>'[1]Processed Data'!J426</f>
        <v>11</v>
      </c>
      <c r="K288">
        <f>'[1]Processed Data'!K426</f>
        <v>31</v>
      </c>
      <c r="L288">
        <f>'[1]Processed Data'!L426</f>
        <v>58</v>
      </c>
      <c r="M288">
        <f>'[1]Processed Data'!M426</f>
        <v>365</v>
      </c>
      <c r="N288">
        <f>'[1]Processed Data'!N426</f>
        <v>1</v>
      </c>
      <c r="O288">
        <f>'[1]Processed Data'!O426</f>
        <v>4</v>
      </c>
      <c r="P288">
        <f>'[1]Processed Data'!P426</f>
        <v>173.3</v>
      </c>
      <c r="Q288">
        <f>'[1]Processed Data'!Q426</f>
        <v>13</v>
      </c>
    </row>
    <row r="289" spans="2:17">
      <c r="B289">
        <f>'[1]Processed Data'!B427</f>
        <v>2018</v>
      </c>
      <c r="C289">
        <f>'[1]Processed Data'!C427</f>
        <v>27</v>
      </c>
      <c r="D289" t="str">
        <f>'[1]Processed Data'!D427</f>
        <v>Sam Darnold</v>
      </c>
      <c r="E289">
        <f>Table1[[#This Row],[Year]]</f>
        <v>2018</v>
      </c>
      <c r="F289">
        <f>'[1]Processed Data'!F427</f>
        <v>239</v>
      </c>
      <c r="G289">
        <f>'[1]Processed Data'!G427</f>
        <v>414</v>
      </c>
      <c r="H289">
        <f>'[1]Processed Data'!H427</f>
        <v>57.7</v>
      </c>
      <c r="I289">
        <f>'[1]Processed Data'!I427</f>
        <v>17</v>
      </c>
      <c r="J289">
        <f>'[1]Processed Data'!J427</f>
        <v>15</v>
      </c>
      <c r="K289">
        <f>'[1]Processed Data'!K427</f>
        <v>30</v>
      </c>
      <c r="L289">
        <f>'[1]Processed Data'!L427</f>
        <v>44</v>
      </c>
      <c r="M289">
        <f>'[1]Processed Data'!M427</f>
        <v>138</v>
      </c>
      <c r="N289">
        <f>'[1]Processed Data'!N427</f>
        <v>1</v>
      </c>
      <c r="O289">
        <f>'[1]Processed Data'!O427</f>
        <v>2</v>
      </c>
      <c r="P289">
        <f>'[1]Processed Data'!P427</f>
        <v>168.4</v>
      </c>
      <c r="Q289">
        <f>'[1]Processed Data'!Q427</f>
        <v>13</v>
      </c>
    </row>
    <row r="290" spans="2:17">
      <c r="B290">
        <f>'[1]Processed Data'!B428</f>
        <v>2018</v>
      </c>
      <c r="C290">
        <f>'[1]Processed Data'!C428</f>
        <v>28</v>
      </c>
      <c r="D290" t="str">
        <f>'[1]Processed Data'!D428</f>
        <v>Ryan Fitzpatrick</v>
      </c>
      <c r="E290">
        <f>Table1[[#This Row],[Year]]</f>
        <v>2018</v>
      </c>
      <c r="F290">
        <f>'[1]Processed Data'!F428</f>
        <v>164</v>
      </c>
      <c r="G290">
        <f>'[1]Processed Data'!G428</f>
        <v>246</v>
      </c>
      <c r="H290">
        <f>'[1]Processed Data'!H428</f>
        <v>66.7</v>
      </c>
      <c r="I290">
        <f>'[1]Processed Data'!I428</f>
        <v>17</v>
      </c>
      <c r="J290">
        <f>'[1]Processed Data'!J428</f>
        <v>12</v>
      </c>
      <c r="K290">
        <f>'[1]Processed Data'!K428</f>
        <v>14</v>
      </c>
      <c r="L290">
        <f>'[1]Processed Data'!L428</f>
        <v>36</v>
      </c>
      <c r="M290">
        <f>'[1]Processed Data'!M428</f>
        <v>152</v>
      </c>
      <c r="N290">
        <f>'[1]Processed Data'!N428</f>
        <v>2</v>
      </c>
      <c r="O290">
        <f>'[1]Processed Data'!O428</f>
        <v>1</v>
      </c>
      <c r="P290">
        <f>'[1]Processed Data'!P428</f>
        <v>165.8</v>
      </c>
      <c r="Q290">
        <f>'[1]Processed Data'!Q428</f>
        <v>8</v>
      </c>
    </row>
    <row r="291" spans="2:17">
      <c r="B291">
        <f>'[1]Processed Data'!B429</f>
        <v>2018</v>
      </c>
      <c r="C291">
        <f>'[1]Processed Data'!C429</f>
        <v>29</v>
      </c>
      <c r="D291" t="str">
        <f>'[1]Processed Data'!D429</f>
        <v>Lamar Jackson</v>
      </c>
      <c r="E291">
        <f>Table1[[#This Row],[Year]]</f>
        <v>2018</v>
      </c>
      <c r="F291">
        <f>'[1]Processed Data'!F429</f>
        <v>99</v>
      </c>
      <c r="G291">
        <f>'[1]Processed Data'!G429</f>
        <v>170</v>
      </c>
      <c r="H291">
        <f>'[1]Processed Data'!H429</f>
        <v>58.2</v>
      </c>
      <c r="I291">
        <f>'[1]Processed Data'!I429</f>
        <v>6</v>
      </c>
      <c r="J291">
        <f>'[1]Processed Data'!J429</f>
        <v>3</v>
      </c>
      <c r="K291">
        <f>'[1]Processed Data'!K429</f>
        <v>16</v>
      </c>
      <c r="L291">
        <f>'[1]Processed Data'!L429</f>
        <v>147</v>
      </c>
      <c r="M291">
        <f>'[1]Processed Data'!M429</f>
        <v>697</v>
      </c>
      <c r="N291">
        <f>'[1]Processed Data'!N429</f>
        <v>5</v>
      </c>
      <c r="O291">
        <f>'[1]Processed Data'!O429</f>
        <v>4</v>
      </c>
      <c r="P291">
        <f>'[1]Processed Data'!P429</f>
        <v>157.80000000000001</v>
      </c>
      <c r="Q291">
        <f>'[1]Processed Data'!Q429</f>
        <v>16</v>
      </c>
    </row>
    <row r="292" spans="2:17">
      <c r="B292">
        <f>'[1]Processed Data'!B430</f>
        <v>2018</v>
      </c>
      <c r="C292">
        <f>'[1]Processed Data'!C430</f>
        <v>30</v>
      </c>
      <c r="D292" t="str">
        <f>'[1]Processed Data'!D430</f>
        <v>Ryan Tannehill</v>
      </c>
      <c r="E292">
        <f>Table1[[#This Row],[Year]]</f>
        <v>2018</v>
      </c>
      <c r="F292">
        <f>'[1]Processed Data'!F430</f>
        <v>176</v>
      </c>
      <c r="G292">
        <f>'[1]Processed Data'!G430</f>
        <v>274</v>
      </c>
      <c r="H292">
        <f>'[1]Processed Data'!H430</f>
        <v>64.2</v>
      </c>
      <c r="I292">
        <f>'[1]Processed Data'!I430</f>
        <v>17</v>
      </c>
      <c r="J292">
        <f>'[1]Processed Data'!J430</f>
        <v>9</v>
      </c>
      <c r="K292">
        <f>'[1]Processed Data'!K430</f>
        <v>35</v>
      </c>
      <c r="L292">
        <f>'[1]Processed Data'!L430</f>
        <v>32</v>
      </c>
      <c r="M292">
        <f>'[1]Processed Data'!M430</f>
        <v>145</v>
      </c>
      <c r="N292">
        <f>'[1]Processed Data'!N430</f>
        <v>0</v>
      </c>
      <c r="O292">
        <f>'[1]Processed Data'!O430</f>
        <v>4</v>
      </c>
      <c r="P292">
        <f>'[1]Processed Data'!P430</f>
        <v>142.5</v>
      </c>
      <c r="Q292">
        <f>'[1]Processed Data'!Q430</f>
        <v>11</v>
      </c>
    </row>
    <row r="293" spans="2:17">
      <c r="B293">
        <f>'[1]Processed Data'!B431</f>
        <v>2018</v>
      </c>
      <c r="C293">
        <f>'[1]Processed Data'!C431</f>
        <v>31</v>
      </c>
      <c r="D293" t="str">
        <f>'[1]Processed Data'!D431</f>
        <v>Alex Smith</v>
      </c>
      <c r="E293">
        <f>Table1[[#This Row],[Year]]</f>
        <v>2018</v>
      </c>
      <c r="F293">
        <f>'[1]Processed Data'!F431</f>
        <v>205</v>
      </c>
      <c r="G293">
        <f>'[1]Processed Data'!G431</f>
        <v>328</v>
      </c>
      <c r="H293">
        <f>'[1]Processed Data'!H431</f>
        <v>62.5</v>
      </c>
      <c r="I293">
        <f>'[1]Processed Data'!I431</f>
        <v>10</v>
      </c>
      <c r="J293">
        <f>'[1]Processed Data'!J431</f>
        <v>5</v>
      </c>
      <c r="K293">
        <f>'[1]Processed Data'!K431</f>
        <v>22</v>
      </c>
      <c r="L293">
        <f>'[1]Processed Data'!L431</f>
        <v>41</v>
      </c>
      <c r="M293">
        <f>'[1]Processed Data'!M431</f>
        <v>168</v>
      </c>
      <c r="N293">
        <f>'[1]Processed Data'!N431</f>
        <v>1</v>
      </c>
      <c r="O293">
        <f>'[1]Processed Data'!O431</f>
        <v>1</v>
      </c>
      <c r="P293">
        <f>'[1]Processed Data'!P431</f>
        <v>137.9</v>
      </c>
      <c r="Q293">
        <f>'[1]Processed Data'!Q431</f>
        <v>10</v>
      </c>
    </row>
    <row r="294" spans="2:17">
      <c r="B294">
        <f>'[1]Processed Data'!B432</f>
        <v>2018</v>
      </c>
      <c r="C294">
        <f>'[1]Processed Data'!C432</f>
        <v>32</v>
      </c>
      <c r="D294" t="str">
        <f>'[1]Processed Data'!D432</f>
        <v>Joe Flacco</v>
      </c>
      <c r="E294">
        <f>Table1[[#This Row],[Year]]</f>
        <v>2018</v>
      </c>
      <c r="F294">
        <f>'[1]Processed Data'!F432</f>
        <v>232</v>
      </c>
      <c r="G294">
        <f>'[1]Processed Data'!G432</f>
        <v>379</v>
      </c>
      <c r="H294">
        <f>'[1]Processed Data'!H432</f>
        <v>61.2</v>
      </c>
      <c r="I294">
        <f>'[1]Processed Data'!I432</f>
        <v>12</v>
      </c>
      <c r="J294">
        <f>'[1]Processed Data'!J432</f>
        <v>6</v>
      </c>
      <c r="K294">
        <f>'[1]Processed Data'!K432</f>
        <v>16</v>
      </c>
      <c r="L294">
        <f>'[1]Processed Data'!L432</f>
        <v>19</v>
      </c>
      <c r="M294">
        <f>'[1]Processed Data'!M432</f>
        <v>45</v>
      </c>
      <c r="N294">
        <f>'[1]Processed Data'!N432</f>
        <v>0</v>
      </c>
      <c r="O294">
        <f>'[1]Processed Data'!O432</f>
        <v>1</v>
      </c>
      <c r="P294">
        <f>'[1]Processed Data'!P432</f>
        <v>137</v>
      </c>
      <c r="Q294">
        <f>'[1]Processed Data'!Q432</f>
        <v>9</v>
      </c>
    </row>
    <row r="295" spans="2:17">
      <c r="B295">
        <f>'[1]Processed Data'!B433</f>
        <v>2018</v>
      </c>
      <c r="C295">
        <f>'[1]Processed Data'!C433</f>
        <v>33</v>
      </c>
      <c r="D295" t="str">
        <f>'[1]Processed Data'!D433</f>
        <v>Nick Mullens</v>
      </c>
      <c r="E295">
        <f>Table1[[#This Row],[Year]]</f>
        <v>2018</v>
      </c>
      <c r="F295">
        <f>'[1]Processed Data'!F433</f>
        <v>176</v>
      </c>
      <c r="G295">
        <f>'[1]Processed Data'!G433</f>
        <v>274</v>
      </c>
      <c r="H295">
        <f>'[1]Processed Data'!H433</f>
        <v>64.2</v>
      </c>
      <c r="I295">
        <f>'[1]Processed Data'!I433</f>
        <v>13</v>
      </c>
      <c r="J295">
        <f>'[1]Processed Data'!J433</f>
        <v>10</v>
      </c>
      <c r="K295">
        <f>'[1]Processed Data'!K433</f>
        <v>17</v>
      </c>
      <c r="L295">
        <f>'[1]Processed Data'!L433</f>
        <v>18</v>
      </c>
      <c r="M295">
        <f>'[1]Processed Data'!M433</f>
        <v>-16</v>
      </c>
      <c r="N295">
        <f>'[1]Processed Data'!N433</f>
        <v>0</v>
      </c>
      <c r="O295">
        <f>'[1]Processed Data'!O433</f>
        <v>0</v>
      </c>
      <c r="P295">
        <f>'[1]Processed Data'!P433</f>
        <v>123.5</v>
      </c>
      <c r="Q295">
        <f>'[1]Processed Data'!Q433</f>
        <v>8</v>
      </c>
    </row>
    <row r="296" spans="2:17">
      <c r="B296">
        <f>'[1]Processed Data'!B434</f>
        <v>2018</v>
      </c>
      <c r="C296">
        <f>'[1]Processed Data'!C434</f>
        <v>34</v>
      </c>
      <c r="D296" t="str">
        <f>'[1]Processed Data'!D434</f>
        <v>Josh Rosen</v>
      </c>
      <c r="E296">
        <f>Table1[[#This Row],[Year]]</f>
        <v>2018</v>
      </c>
      <c r="F296">
        <f>'[1]Processed Data'!F434</f>
        <v>217</v>
      </c>
      <c r="G296">
        <f>'[1]Processed Data'!G434</f>
        <v>393</v>
      </c>
      <c r="H296">
        <f>'[1]Processed Data'!H434</f>
        <v>55.2</v>
      </c>
      <c r="I296">
        <f>'[1]Processed Data'!I434</f>
        <v>11</v>
      </c>
      <c r="J296">
        <f>'[1]Processed Data'!J434</f>
        <v>14</v>
      </c>
      <c r="K296">
        <f>'[1]Processed Data'!K434</f>
        <v>45</v>
      </c>
      <c r="L296">
        <f>'[1]Processed Data'!L434</f>
        <v>23</v>
      </c>
      <c r="M296">
        <f>'[1]Processed Data'!M434</f>
        <v>138</v>
      </c>
      <c r="N296">
        <f>'[1]Processed Data'!N434</f>
        <v>0</v>
      </c>
      <c r="O296">
        <f>'[1]Processed Data'!O434</f>
        <v>5</v>
      </c>
      <c r="P296">
        <f>'[1]Processed Data'!P434</f>
        <v>113</v>
      </c>
      <c r="Q296">
        <f>'[1]Processed Data'!Q434</f>
        <v>14</v>
      </c>
    </row>
    <row r="297" spans="2:17">
      <c r="B297">
        <f>'[1]Processed Data'!B435</f>
        <v>2018</v>
      </c>
      <c r="C297">
        <f>'[1]Processed Data'!C435</f>
        <v>35</v>
      </c>
      <c r="D297" t="str">
        <f>'[1]Processed Data'!D435</f>
        <v>Jeff Driskel</v>
      </c>
      <c r="E297">
        <f>Table1[[#This Row],[Year]]</f>
        <v>2018</v>
      </c>
      <c r="F297">
        <f>'[1]Processed Data'!F435</f>
        <v>105</v>
      </c>
      <c r="G297">
        <f>'[1]Processed Data'!G435</f>
        <v>177</v>
      </c>
      <c r="H297">
        <f>'[1]Processed Data'!H435</f>
        <v>59.3</v>
      </c>
      <c r="I297">
        <f>'[1]Processed Data'!I435</f>
        <v>6</v>
      </c>
      <c r="J297">
        <f>'[1]Processed Data'!J435</f>
        <v>2</v>
      </c>
      <c r="K297">
        <f>'[1]Processed Data'!K435</f>
        <v>16</v>
      </c>
      <c r="L297">
        <f>'[1]Processed Data'!L435</f>
        <v>25</v>
      </c>
      <c r="M297">
        <f>'[1]Processed Data'!M435</f>
        <v>130</v>
      </c>
      <c r="N297">
        <f>'[1]Processed Data'!N435</f>
        <v>2</v>
      </c>
      <c r="O297">
        <f>'[1]Processed Data'!O435</f>
        <v>1</v>
      </c>
      <c r="P297">
        <f>'[1]Processed Data'!P435</f>
        <v>85.1</v>
      </c>
      <c r="Q297">
        <f>'[1]Processed Data'!Q435</f>
        <v>9</v>
      </c>
    </row>
    <row r="298" spans="2:17">
      <c r="B298">
        <f>'[1]Processed Data'!B436</f>
        <v>2018</v>
      </c>
      <c r="C298">
        <f>'[1]Processed Data'!C436</f>
        <v>36</v>
      </c>
      <c r="D298" t="str">
        <f>'[1]Processed Data'!D436</f>
        <v>Nick Foles</v>
      </c>
      <c r="E298">
        <f>Table1[[#This Row],[Year]]</f>
        <v>2018</v>
      </c>
      <c r="F298">
        <f>'[1]Processed Data'!F436</f>
        <v>141</v>
      </c>
      <c r="G298">
        <f>'[1]Processed Data'!G436</f>
        <v>195</v>
      </c>
      <c r="H298">
        <f>'[1]Processed Data'!H436</f>
        <v>72.3</v>
      </c>
      <c r="I298">
        <f>'[1]Processed Data'!I436</f>
        <v>7</v>
      </c>
      <c r="J298">
        <f>'[1]Processed Data'!J436</f>
        <v>4</v>
      </c>
      <c r="K298">
        <f>'[1]Processed Data'!K436</f>
        <v>9</v>
      </c>
      <c r="L298">
        <f>'[1]Processed Data'!L436</f>
        <v>9</v>
      </c>
      <c r="M298">
        <f>'[1]Processed Data'!M436</f>
        <v>17</v>
      </c>
      <c r="N298">
        <f>'[1]Processed Data'!N436</f>
        <v>0</v>
      </c>
      <c r="O298">
        <f>'[1]Processed Data'!O436</f>
        <v>2</v>
      </c>
      <c r="P298">
        <f>'[1]Processed Data'!P436</f>
        <v>75.7</v>
      </c>
      <c r="Q298">
        <f>'[1]Processed Data'!Q436</f>
        <v>5</v>
      </c>
    </row>
    <row r="299" spans="2:17">
      <c r="B299">
        <f>'[1]Processed Data'!B437</f>
        <v>2018</v>
      </c>
      <c r="C299">
        <f>'[1]Processed Data'!C437</f>
        <v>37</v>
      </c>
      <c r="D299" t="str">
        <f>'[1]Processed Data'!D437</f>
        <v>C.J. Beathard</v>
      </c>
      <c r="E299">
        <f>Table1[[#This Row],[Year]]</f>
        <v>2018</v>
      </c>
      <c r="F299">
        <f>'[1]Processed Data'!F437</f>
        <v>102</v>
      </c>
      <c r="G299">
        <f>'[1]Processed Data'!G437</f>
        <v>169</v>
      </c>
      <c r="H299">
        <f>'[1]Processed Data'!H437</f>
        <v>60.4</v>
      </c>
      <c r="I299">
        <f>'[1]Processed Data'!I437</f>
        <v>8</v>
      </c>
      <c r="J299">
        <f>'[1]Processed Data'!J437</f>
        <v>7</v>
      </c>
      <c r="K299">
        <f>'[1]Processed Data'!K437</f>
        <v>18</v>
      </c>
      <c r="L299">
        <f>'[1]Processed Data'!L437</f>
        <v>19</v>
      </c>
      <c r="M299">
        <f>'[1]Processed Data'!M437</f>
        <v>69</v>
      </c>
      <c r="N299">
        <f>'[1]Processed Data'!N437</f>
        <v>1</v>
      </c>
      <c r="O299">
        <f>'[1]Processed Data'!O437</f>
        <v>3</v>
      </c>
      <c r="P299">
        <f>'[1]Processed Data'!P437</f>
        <v>75</v>
      </c>
      <c r="Q299">
        <f>'[1]Processed Data'!Q437</f>
        <v>6</v>
      </c>
    </row>
    <row r="300" spans="2:17">
      <c r="B300">
        <f>'[1]Processed Data'!B438</f>
        <v>2018</v>
      </c>
      <c r="C300">
        <f>'[1]Processed Data'!C438</f>
        <v>38</v>
      </c>
      <c r="D300" t="str">
        <f>'[1]Processed Data'!D438</f>
        <v>Brock Osweiler</v>
      </c>
      <c r="E300">
        <f>Table1[[#This Row],[Year]]</f>
        <v>2018</v>
      </c>
      <c r="F300">
        <f>'[1]Processed Data'!F438</f>
        <v>113</v>
      </c>
      <c r="G300">
        <f>'[1]Processed Data'!G438</f>
        <v>178</v>
      </c>
      <c r="H300">
        <f>'[1]Processed Data'!H438</f>
        <v>63.5</v>
      </c>
      <c r="I300">
        <f>'[1]Processed Data'!I438</f>
        <v>6</v>
      </c>
      <c r="J300">
        <f>'[1]Processed Data'!J438</f>
        <v>4</v>
      </c>
      <c r="K300">
        <f>'[1]Processed Data'!K438</f>
        <v>17</v>
      </c>
      <c r="L300">
        <f>'[1]Processed Data'!L438</f>
        <v>8</v>
      </c>
      <c r="M300">
        <f>'[1]Processed Data'!M438</f>
        <v>21</v>
      </c>
      <c r="N300">
        <f>'[1]Processed Data'!N438</f>
        <v>0</v>
      </c>
      <c r="O300">
        <f>'[1]Processed Data'!O438</f>
        <v>1</v>
      </c>
      <c r="P300">
        <f>'[1]Processed Data'!P438</f>
        <v>68</v>
      </c>
      <c r="Q300">
        <f>'[1]Processed Data'!Q438</f>
        <v>7</v>
      </c>
    </row>
    <row r="301" spans="2:17">
      <c r="B301">
        <f>'[1]Processed Data'!B439</f>
        <v>2018</v>
      </c>
      <c r="C301">
        <f>'[1]Processed Data'!C439</f>
        <v>39</v>
      </c>
      <c r="D301" t="str">
        <f>'[1]Processed Data'!D439</f>
        <v>Josh Johnson</v>
      </c>
      <c r="E301">
        <f>Table1[[#This Row],[Year]]</f>
        <v>2018</v>
      </c>
      <c r="F301">
        <f>'[1]Processed Data'!F439</f>
        <v>52</v>
      </c>
      <c r="G301">
        <f>'[1]Processed Data'!G439</f>
        <v>91</v>
      </c>
      <c r="H301">
        <f>'[1]Processed Data'!H439</f>
        <v>57.1</v>
      </c>
      <c r="I301">
        <f>'[1]Processed Data'!I439</f>
        <v>3</v>
      </c>
      <c r="J301">
        <f>'[1]Processed Data'!J439</f>
        <v>4</v>
      </c>
      <c r="K301">
        <f>'[1]Processed Data'!K439</f>
        <v>9</v>
      </c>
      <c r="L301">
        <f>'[1]Processed Data'!L439</f>
        <v>23</v>
      </c>
      <c r="M301">
        <f>'[1]Processed Data'!M439</f>
        <v>120</v>
      </c>
      <c r="N301">
        <f>'[1]Processed Data'!N439</f>
        <v>1</v>
      </c>
      <c r="O301">
        <f>'[1]Processed Data'!O439</f>
        <v>0</v>
      </c>
      <c r="P301">
        <f>'[1]Processed Data'!P439</f>
        <v>49.5</v>
      </c>
      <c r="Q301">
        <f>'[1]Processed Data'!Q439</f>
        <v>4</v>
      </c>
    </row>
    <row r="302" spans="2:17">
      <c r="B302">
        <f>'[1]Processed Data'!B440</f>
        <v>2018</v>
      </c>
      <c r="C302">
        <f>'[1]Processed Data'!C440</f>
        <v>40</v>
      </c>
      <c r="D302" t="str">
        <f>'[1]Processed Data'!D440</f>
        <v>Jimmy Garoppolo</v>
      </c>
      <c r="E302">
        <f>Table1[[#This Row],[Year]]</f>
        <v>2018</v>
      </c>
      <c r="F302">
        <f>'[1]Processed Data'!F440</f>
        <v>53</v>
      </c>
      <c r="G302">
        <f>'[1]Processed Data'!G440</f>
        <v>89</v>
      </c>
      <c r="H302">
        <f>'[1]Processed Data'!H440</f>
        <v>59.6</v>
      </c>
      <c r="I302">
        <f>'[1]Processed Data'!I440</f>
        <v>5</v>
      </c>
      <c r="J302">
        <f>'[1]Processed Data'!J440</f>
        <v>3</v>
      </c>
      <c r="K302">
        <f>'[1]Processed Data'!K440</f>
        <v>13</v>
      </c>
      <c r="L302">
        <f>'[1]Processed Data'!L440</f>
        <v>8</v>
      </c>
      <c r="M302">
        <f>'[1]Processed Data'!M440</f>
        <v>33</v>
      </c>
      <c r="N302">
        <f>'[1]Processed Data'!N440</f>
        <v>0</v>
      </c>
      <c r="O302">
        <f>'[1]Processed Data'!O440</f>
        <v>0</v>
      </c>
      <c r="P302">
        <f>'[1]Processed Data'!P440</f>
        <v>47.9</v>
      </c>
      <c r="Q302">
        <f>'[1]Processed Data'!Q440</f>
        <v>3</v>
      </c>
    </row>
    <row r="303" spans="2:17">
      <c r="B303">
        <f>'[1]Processed Data'!B441</f>
        <v>2018</v>
      </c>
      <c r="C303">
        <f>'[1]Processed Data'!C441</f>
        <v>41</v>
      </c>
      <c r="D303" t="str">
        <f>'[1]Processed Data'!D441</f>
        <v>Tyrod Taylor</v>
      </c>
      <c r="E303">
        <f>Table1[[#This Row],[Year]]</f>
        <v>2018</v>
      </c>
      <c r="F303">
        <f>'[1]Processed Data'!F441</f>
        <v>42</v>
      </c>
      <c r="G303">
        <f>'[1]Processed Data'!G441</f>
        <v>85</v>
      </c>
      <c r="H303">
        <f>'[1]Processed Data'!H441</f>
        <v>49.4</v>
      </c>
      <c r="I303">
        <f>'[1]Processed Data'!I441</f>
        <v>2</v>
      </c>
      <c r="J303">
        <f>'[1]Processed Data'!J441</f>
        <v>2</v>
      </c>
      <c r="K303">
        <f>'[1]Processed Data'!K441</f>
        <v>13</v>
      </c>
      <c r="L303">
        <f>'[1]Processed Data'!L441</f>
        <v>16</v>
      </c>
      <c r="M303">
        <f>'[1]Processed Data'!M441</f>
        <v>125</v>
      </c>
      <c r="N303">
        <f>'[1]Processed Data'!N441</f>
        <v>1</v>
      </c>
      <c r="O303">
        <f>'[1]Processed Data'!O441</f>
        <v>0</v>
      </c>
      <c r="P303">
        <f>'[1]Processed Data'!P441</f>
        <v>41.4</v>
      </c>
      <c r="Q303">
        <f>'[1]Processed Data'!Q441</f>
        <v>4</v>
      </c>
    </row>
    <row r="304" spans="2:17">
      <c r="B304">
        <f>'[1]Processed Data'!B442</f>
        <v>2018</v>
      </c>
      <c r="C304">
        <f>'[1]Processed Data'!C442</f>
        <v>42</v>
      </c>
      <c r="D304" t="str">
        <f>'[1]Processed Data'!D442</f>
        <v>Cody Kessler</v>
      </c>
      <c r="E304">
        <f>Table1[[#This Row],[Year]]</f>
        <v>2018</v>
      </c>
      <c r="F304">
        <f>'[1]Processed Data'!F442</f>
        <v>85</v>
      </c>
      <c r="G304">
        <f>'[1]Processed Data'!G442</f>
        <v>131</v>
      </c>
      <c r="H304">
        <f>'[1]Processed Data'!H442</f>
        <v>64.900000000000006</v>
      </c>
      <c r="I304">
        <f>'[1]Processed Data'!I442</f>
        <v>2</v>
      </c>
      <c r="J304">
        <f>'[1]Processed Data'!J442</f>
        <v>2</v>
      </c>
      <c r="K304">
        <f>'[1]Processed Data'!K442</f>
        <v>22</v>
      </c>
      <c r="L304">
        <f>'[1]Processed Data'!L442</f>
        <v>19</v>
      </c>
      <c r="M304">
        <f>'[1]Processed Data'!M442</f>
        <v>123</v>
      </c>
      <c r="N304">
        <f>'[1]Processed Data'!N442</f>
        <v>0</v>
      </c>
      <c r="O304">
        <f>'[1]Processed Data'!O442</f>
        <v>3</v>
      </c>
      <c r="P304">
        <f>'[1]Processed Data'!P442</f>
        <v>38.6</v>
      </c>
      <c r="Q304">
        <f>'[1]Processed Data'!Q442</f>
        <v>6</v>
      </c>
    </row>
    <row r="305" spans="2:17">
      <c r="B305">
        <f>'[1]Processed Data'!B443</f>
        <v>2018</v>
      </c>
      <c r="C305">
        <f>'[1]Processed Data'!C443</f>
        <v>43</v>
      </c>
      <c r="D305" t="str">
        <f>'[1]Processed Data'!D443</f>
        <v>Blaine Gabbert</v>
      </c>
      <c r="E305">
        <f>Table1[[#This Row],[Year]]</f>
        <v>2018</v>
      </c>
      <c r="F305">
        <f>'[1]Processed Data'!F443</f>
        <v>61</v>
      </c>
      <c r="G305">
        <f>'[1]Processed Data'!G443</f>
        <v>101</v>
      </c>
      <c r="H305">
        <f>'[1]Processed Data'!H443</f>
        <v>60.4</v>
      </c>
      <c r="I305">
        <f>'[1]Processed Data'!I443</f>
        <v>4</v>
      </c>
      <c r="J305">
        <f>'[1]Processed Data'!J443</f>
        <v>4</v>
      </c>
      <c r="K305">
        <f>'[1]Processed Data'!K443</f>
        <v>5</v>
      </c>
      <c r="L305">
        <f>'[1]Processed Data'!L443</f>
        <v>6</v>
      </c>
      <c r="M305">
        <f>'[1]Processed Data'!M443</f>
        <v>0</v>
      </c>
      <c r="N305">
        <f>'[1]Processed Data'!N443</f>
        <v>0</v>
      </c>
      <c r="O305">
        <f>'[1]Processed Data'!O443</f>
        <v>0</v>
      </c>
      <c r="P305">
        <f>'[1]Processed Data'!P443</f>
        <v>33</v>
      </c>
      <c r="Q305">
        <f>'[1]Processed Data'!Q443</f>
        <v>8</v>
      </c>
    </row>
    <row r="306" spans="2:17">
      <c r="B306">
        <f>'[1]Processed Data'!B444</f>
        <v>2018</v>
      </c>
      <c r="C306">
        <f>'[1]Processed Data'!C444</f>
        <v>44</v>
      </c>
      <c r="D306" t="str">
        <f>'[1]Processed Data'!D444</f>
        <v>Taysom Hill</v>
      </c>
      <c r="E306">
        <f>Table1[[#This Row],[Year]]</f>
        <v>2018</v>
      </c>
      <c r="F306">
        <f>'[1]Processed Data'!F444</f>
        <v>3</v>
      </c>
      <c r="G306">
        <f>'[1]Processed Data'!G444</f>
        <v>7</v>
      </c>
      <c r="H306">
        <f>'[1]Processed Data'!H444</f>
        <v>42.9</v>
      </c>
      <c r="I306">
        <f>'[1]Processed Data'!I444</f>
        <v>0</v>
      </c>
      <c r="J306">
        <f>'[1]Processed Data'!J444</f>
        <v>1</v>
      </c>
      <c r="K306">
        <f>'[1]Processed Data'!K444</f>
        <v>1</v>
      </c>
      <c r="L306">
        <f>'[1]Processed Data'!L444</f>
        <v>37</v>
      </c>
      <c r="M306">
        <f>'[1]Processed Data'!M444</f>
        <v>196</v>
      </c>
      <c r="N306">
        <f>'[1]Processed Data'!N444</f>
        <v>2</v>
      </c>
      <c r="O306">
        <f>'[1]Processed Data'!O444</f>
        <v>1</v>
      </c>
      <c r="P306">
        <f>'[1]Processed Data'!P444</f>
        <v>32.1</v>
      </c>
      <c r="Q306">
        <f>'[1]Processed Data'!Q444</f>
        <v>16</v>
      </c>
    </row>
    <row r="307" spans="2:17">
      <c r="B307">
        <f>'[1]Processed Data'!B445</f>
        <v>2018</v>
      </c>
      <c r="C307">
        <f>'[1]Processed Data'!C445</f>
        <v>45</v>
      </c>
      <c r="D307" t="str">
        <f>'[1]Processed Data'!D445</f>
        <v>Chase Daniel</v>
      </c>
      <c r="E307">
        <f>Table1[[#This Row],[Year]]</f>
        <v>2018</v>
      </c>
      <c r="F307">
        <f>'[1]Processed Data'!F445</f>
        <v>53</v>
      </c>
      <c r="G307">
        <f>'[1]Processed Data'!G445</f>
        <v>76</v>
      </c>
      <c r="H307">
        <f>'[1]Processed Data'!H445</f>
        <v>69.7</v>
      </c>
      <c r="I307">
        <f>'[1]Processed Data'!I445</f>
        <v>3</v>
      </c>
      <c r="J307">
        <f>'[1]Processed Data'!J445</f>
        <v>2</v>
      </c>
      <c r="K307">
        <f>'[1]Processed Data'!K445</f>
        <v>9</v>
      </c>
      <c r="L307">
        <f>'[1]Processed Data'!L445</f>
        <v>13</v>
      </c>
      <c r="M307">
        <f>'[1]Processed Data'!M445</f>
        <v>3</v>
      </c>
      <c r="N307">
        <f>'[1]Processed Data'!N445</f>
        <v>0</v>
      </c>
      <c r="O307">
        <f>'[1]Processed Data'!O445</f>
        <v>0</v>
      </c>
      <c r="P307">
        <f>'[1]Processed Data'!P445</f>
        <v>30.2</v>
      </c>
      <c r="Q307">
        <f>'[1]Processed Data'!Q445</f>
        <v>5</v>
      </c>
    </row>
    <row r="308" spans="2:17">
      <c r="B308">
        <f>'[1]Processed Data'!B446</f>
        <v>2018</v>
      </c>
      <c r="C308">
        <f>'[1]Processed Data'!C446</f>
        <v>46</v>
      </c>
      <c r="D308" t="str">
        <f>'[1]Processed Data'!D446</f>
        <v>Colt McCoy</v>
      </c>
      <c r="E308">
        <f>Table1[[#This Row],[Year]]</f>
        <v>2018</v>
      </c>
      <c r="F308">
        <f>'[1]Processed Data'!F446</f>
        <v>34</v>
      </c>
      <c r="G308">
        <f>'[1]Processed Data'!G446</f>
        <v>54</v>
      </c>
      <c r="H308">
        <f>'[1]Processed Data'!H446</f>
        <v>63</v>
      </c>
      <c r="I308">
        <f>'[1]Processed Data'!I446</f>
        <v>3</v>
      </c>
      <c r="J308">
        <f>'[1]Processed Data'!J446</f>
        <v>3</v>
      </c>
      <c r="K308">
        <f>'[1]Processed Data'!K446</f>
        <v>6</v>
      </c>
      <c r="L308">
        <f>'[1]Processed Data'!L446</f>
        <v>10</v>
      </c>
      <c r="M308">
        <f>'[1]Processed Data'!M446</f>
        <v>63</v>
      </c>
      <c r="N308">
        <f>'[1]Processed Data'!N446</f>
        <v>0</v>
      </c>
      <c r="O308">
        <f>'[1]Processed Data'!O446</f>
        <v>0</v>
      </c>
      <c r="P308">
        <f>'[1]Processed Data'!P446</f>
        <v>27.2</v>
      </c>
      <c r="Q308">
        <f>'[1]Processed Data'!Q446</f>
        <v>3</v>
      </c>
    </row>
    <row r="309" spans="2:17">
      <c r="B309">
        <f>'[1]Processed Data'!B447</f>
        <v>2018</v>
      </c>
      <c r="C309">
        <f>'[1]Processed Data'!C447</f>
        <v>47</v>
      </c>
      <c r="D309" t="str">
        <f>'[1]Processed Data'!D447</f>
        <v>Kyle Allen</v>
      </c>
      <c r="E309">
        <f>Table1[[#This Row],[Year]]</f>
        <v>2018</v>
      </c>
      <c r="F309">
        <f>'[1]Processed Data'!F447</f>
        <v>20</v>
      </c>
      <c r="G309">
        <f>'[1]Processed Data'!G447</f>
        <v>31</v>
      </c>
      <c r="H309">
        <f>'[1]Processed Data'!H447</f>
        <v>64.5</v>
      </c>
      <c r="I309">
        <f>'[1]Processed Data'!I447</f>
        <v>2</v>
      </c>
      <c r="J309">
        <f>'[1]Processed Data'!J447</f>
        <v>0</v>
      </c>
      <c r="K309">
        <f>'[1]Processed Data'!K447</f>
        <v>0</v>
      </c>
      <c r="L309">
        <f>'[1]Processed Data'!L447</f>
        <v>5</v>
      </c>
      <c r="M309">
        <f>'[1]Processed Data'!M447</f>
        <v>19</v>
      </c>
      <c r="N309">
        <f>'[1]Processed Data'!N447</f>
        <v>1</v>
      </c>
      <c r="O309">
        <f>'[1]Processed Data'!O447</f>
        <v>0</v>
      </c>
      <c r="P309">
        <f>'[1]Processed Data'!P447</f>
        <v>26.5</v>
      </c>
      <c r="Q309">
        <f>'[1]Processed Data'!Q447</f>
        <v>2</v>
      </c>
    </row>
    <row r="310" spans="2:17">
      <c r="B310">
        <f>'[1]Processed Data'!B448</f>
        <v>2018</v>
      </c>
      <c r="C310">
        <f>'[1]Processed Data'!C448</f>
        <v>48</v>
      </c>
      <c r="D310" t="str">
        <f>'[1]Processed Data'!D448</f>
        <v>Josh McCown</v>
      </c>
      <c r="E310">
        <f>Table1[[#This Row],[Year]]</f>
        <v>2018</v>
      </c>
      <c r="F310">
        <f>'[1]Processed Data'!F448</f>
        <v>60</v>
      </c>
      <c r="G310">
        <f>'[1]Processed Data'!G448</f>
        <v>110</v>
      </c>
      <c r="H310">
        <f>'[1]Processed Data'!H448</f>
        <v>54.5</v>
      </c>
      <c r="I310">
        <f>'[1]Processed Data'!I448</f>
        <v>1</v>
      </c>
      <c r="J310">
        <f>'[1]Processed Data'!J448</f>
        <v>4</v>
      </c>
      <c r="K310">
        <f>'[1]Processed Data'!K448</f>
        <v>7</v>
      </c>
      <c r="L310">
        <f>'[1]Processed Data'!L448</f>
        <v>5</v>
      </c>
      <c r="M310">
        <f>'[1]Processed Data'!M448</f>
        <v>32</v>
      </c>
      <c r="N310">
        <f>'[1]Processed Data'!N448</f>
        <v>0</v>
      </c>
      <c r="O310">
        <f>'[1]Processed Data'!O448</f>
        <v>0</v>
      </c>
      <c r="P310">
        <f>'[1]Processed Data'!P448</f>
        <v>20.7</v>
      </c>
      <c r="Q310">
        <f>'[1]Processed Data'!Q448</f>
        <v>4</v>
      </c>
    </row>
    <row r="311" spans="2:17">
      <c r="B311">
        <f>'[1]Processed Data'!B449</f>
        <v>2018</v>
      </c>
      <c r="C311">
        <f>'[1]Processed Data'!C449</f>
        <v>49</v>
      </c>
      <c r="D311" t="str">
        <f>'[1]Processed Data'!D449</f>
        <v>Matt Barkley</v>
      </c>
      <c r="E311">
        <f>Table1[[#This Row],[Year]]</f>
        <v>2018</v>
      </c>
      <c r="F311">
        <f>'[1]Processed Data'!F449</f>
        <v>15</v>
      </c>
      <c r="G311">
        <f>'[1]Processed Data'!G449</f>
        <v>25</v>
      </c>
      <c r="H311">
        <f>'[1]Processed Data'!H449</f>
        <v>60</v>
      </c>
      <c r="I311">
        <f>'[1]Processed Data'!I449</f>
        <v>2</v>
      </c>
      <c r="J311">
        <f>'[1]Processed Data'!J449</f>
        <v>0</v>
      </c>
      <c r="K311">
        <f>'[1]Processed Data'!K449</f>
        <v>1</v>
      </c>
      <c r="L311">
        <f>'[1]Processed Data'!L449</f>
        <v>3</v>
      </c>
      <c r="M311">
        <f>'[1]Processed Data'!M449</f>
        <v>-2</v>
      </c>
      <c r="N311">
        <f>'[1]Processed Data'!N449</f>
        <v>0</v>
      </c>
      <c r="O311">
        <f>'[1]Processed Data'!O449</f>
        <v>0</v>
      </c>
      <c r="P311">
        <f>'[1]Processed Data'!P449</f>
        <v>17.100000000000001</v>
      </c>
      <c r="Q311">
        <f>'[1]Processed Data'!Q449</f>
        <v>1</v>
      </c>
    </row>
    <row r="312" spans="2:17">
      <c r="B312">
        <f>'[1]Processed Data'!B450</f>
        <v>2018</v>
      </c>
      <c r="C312">
        <f>'[1]Processed Data'!C450</f>
        <v>50</v>
      </c>
      <c r="D312" t="str">
        <f>'[1]Processed Data'!D450</f>
        <v>Taylor Heinicke</v>
      </c>
      <c r="E312">
        <f>Table1[[#This Row],[Year]]</f>
        <v>2018</v>
      </c>
      <c r="F312">
        <f>'[1]Processed Data'!F450</f>
        <v>35</v>
      </c>
      <c r="G312">
        <f>'[1]Processed Data'!G450</f>
        <v>57</v>
      </c>
      <c r="H312">
        <f>'[1]Processed Data'!H450</f>
        <v>61.4</v>
      </c>
      <c r="I312">
        <f>'[1]Processed Data'!I450</f>
        <v>1</v>
      </c>
      <c r="J312">
        <f>'[1]Processed Data'!J450</f>
        <v>3</v>
      </c>
      <c r="K312">
        <f>'[1]Processed Data'!K450</f>
        <v>2</v>
      </c>
      <c r="L312">
        <f>'[1]Processed Data'!L450</f>
        <v>5</v>
      </c>
      <c r="M312">
        <f>'[1]Processed Data'!M450</f>
        <v>31</v>
      </c>
      <c r="N312">
        <f>'[1]Processed Data'!N450</f>
        <v>0</v>
      </c>
      <c r="O312">
        <f>'[1]Processed Data'!O450</f>
        <v>0</v>
      </c>
      <c r="P312">
        <f>'[1]Processed Data'!P450</f>
        <v>13.9</v>
      </c>
      <c r="Q312">
        <f>'[1]Processed Data'!Q450</f>
        <v>6</v>
      </c>
    </row>
    <row r="313" spans="2:17">
      <c r="B313">
        <f>'[1]Processed Data'!B451</f>
        <v>2018</v>
      </c>
      <c r="C313">
        <f>'[1]Processed Data'!C451</f>
        <v>51</v>
      </c>
      <c r="D313" t="str">
        <f>'[1]Processed Data'!D451</f>
        <v>Nathan Peterman</v>
      </c>
      <c r="E313">
        <f>Table1[[#This Row],[Year]]</f>
        <v>2018</v>
      </c>
      <c r="F313">
        <f>'[1]Processed Data'!F451</f>
        <v>44</v>
      </c>
      <c r="G313">
        <f>'[1]Processed Data'!G451</f>
        <v>81</v>
      </c>
      <c r="H313">
        <f>'[1]Processed Data'!H451</f>
        <v>54.3</v>
      </c>
      <c r="I313">
        <f>'[1]Processed Data'!I451</f>
        <v>1</v>
      </c>
      <c r="J313">
        <f>'[1]Processed Data'!J451</f>
        <v>7</v>
      </c>
      <c r="K313">
        <f>'[1]Processed Data'!K451</f>
        <v>7</v>
      </c>
      <c r="L313">
        <f>'[1]Processed Data'!L451</f>
        <v>10</v>
      </c>
      <c r="M313">
        <f>'[1]Processed Data'!M451</f>
        <v>49</v>
      </c>
      <c r="N313">
        <f>'[1]Processed Data'!N451</f>
        <v>1</v>
      </c>
      <c r="O313">
        <f>'[1]Processed Data'!O451</f>
        <v>0</v>
      </c>
      <c r="P313">
        <f>'[1]Processed Data'!P451</f>
        <v>12.8</v>
      </c>
      <c r="Q313">
        <f>'[1]Processed Data'!Q451</f>
        <v>4</v>
      </c>
    </row>
    <row r="314" spans="2:17">
      <c r="B314">
        <f>'[1]Processed Data'!B452</f>
        <v>2018</v>
      </c>
      <c r="C314">
        <f>'[1]Processed Data'!C452</f>
        <v>52</v>
      </c>
      <c r="D314" t="str">
        <f>'[1]Processed Data'!D452</f>
        <v>Sam Bradford</v>
      </c>
      <c r="E314">
        <f>Table1[[#This Row],[Year]]</f>
        <v>2018</v>
      </c>
      <c r="F314">
        <f>'[1]Processed Data'!F452</f>
        <v>50</v>
      </c>
      <c r="G314">
        <f>'[1]Processed Data'!G452</f>
        <v>80</v>
      </c>
      <c r="H314">
        <f>'[1]Processed Data'!H452</f>
        <v>62.5</v>
      </c>
      <c r="I314">
        <f>'[1]Processed Data'!I452</f>
        <v>2</v>
      </c>
      <c r="J314">
        <f>'[1]Processed Data'!J452</f>
        <v>4</v>
      </c>
      <c r="K314">
        <f>'[1]Processed Data'!K452</f>
        <v>6</v>
      </c>
      <c r="L314">
        <f>'[1]Processed Data'!L452</f>
        <v>2</v>
      </c>
      <c r="M314">
        <f>'[1]Processed Data'!M452</f>
        <v>7</v>
      </c>
      <c r="N314">
        <f>'[1]Processed Data'!N452</f>
        <v>0</v>
      </c>
      <c r="O314">
        <f>'[1]Processed Data'!O452</f>
        <v>2</v>
      </c>
      <c r="P314">
        <f>'[1]Processed Data'!P452</f>
        <v>12.7</v>
      </c>
      <c r="Q314">
        <f>'[1]Processed Data'!Q452</f>
        <v>3</v>
      </c>
    </row>
    <row r="315" spans="2:17">
      <c r="B315">
        <f>'[1]Processed Data'!B453</f>
        <v>2018</v>
      </c>
      <c r="C315">
        <f>'[1]Processed Data'!C453</f>
        <v>53</v>
      </c>
      <c r="D315" t="str">
        <f>'[1]Processed Data'!D453</f>
        <v>Mike Glennon</v>
      </c>
      <c r="E315">
        <f>Table1[[#This Row],[Year]]</f>
        <v>2018</v>
      </c>
      <c r="F315">
        <f>'[1]Processed Data'!F453</f>
        <v>15</v>
      </c>
      <c r="G315">
        <f>'[1]Processed Data'!G453</f>
        <v>21</v>
      </c>
      <c r="H315">
        <f>'[1]Processed Data'!H453</f>
        <v>71.400000000000006</v>
      </c>
      <c r="I315">
        <f>'[1]Processed Data'!I453</f>
        <v>1</v>
      </c>
      <c r="J315">
        <f>'[1]Processed Data'!J453</f>
        <v>0</v>
      </c>
      <c r="K315">
        <f>'[1]Processed Data'!K453</f>
        <v>1</v>
      </c>
      <c r="L315">
        <f>'[1]Processed Data'!L453</f>
        <v>0</v>
      </c>
      <c r="M315">
        <f>'[1]Processed Data'!M453</f>
        <v>0</v>
      </c>
      <c r="N315">
        <f>'[1]Processed Data'!N453</f>
        <v>0</v>
      </c>
      <c r="O315">
        <f>'[1]Processed Data'!O453</f>
        <v>0</v>
      </c>
      <c r="P315">
        <f>'[1]Processed Data'!P453</f>
        <v>10.9</v>
      </c>
      <c r="Q315">
        <f>'[1]Processed Data'!Q453</f>
        <v>2</v>
      </c>
    </row>
    <row r="316" spans="2:17">
      <c r="B316">
        <f>'[1]Processed Data'!B454</f>
        <v>2018</v>
      </c>
      <c r="C316">
        <f>'[1]Processed Data'!C454</f>
        <v>54</v>
      </c>
      <c r="D316" t="str">
        <f>'[1]Processed Data'!D454</f>
        <v>Teddy Bridgewater</v>
      </c>
      <c r="E316">
        <f>Table1[[#This Row],[Year]]</f>
        <v>2018</v>
      </c>
      <c r="F316">
        <f>'[1]Processed Data'!F454</f>
        <v>14</v>
      </c>
      <c r="G316">
        <f>'[1]Processed Data'!G454</f>
        <v>23</v>
      </c>
      <c r="H316">
        <f>'[1]Processed Data'!H454</f>
        <v>60.9</v>
      </c>
      <c r="I316">
        <f>'[1]Processed Data'!I454</f>
        <v>1</v>
      </c>
      <c r="J316">
        <f>'[1]Processed Data'!J454</f>
        <v>1</v>
      </c>
      <c r="K316">
        <f>'[1]Processed Data'!K454</f>
        <v>2</v>
      </c>
      <c r="L316">
        <f>'[1]Processed Data'!L454</f>
        <v>11</v>
      </c>
      <c r="M316">
        <f>'[1]Processed Data'!M454</f>
        <v>5</v>
      </c>
      <c r="N316">
        <f>'[1]Processed Data'!N454</f>
        <v>0</v>
      </c>
      <c r="O316">
        <f>'[1]Processed Data'!O454</f>
        <v>0</v>
      </c>
      <c r="P316">
        <f>'[1]Processed Data'!P454</f>
        <v>7.2</v>
      </c>
      <c r="Q316">
        <f>'[1]Processed Data'!Q454</f>
        <v>5</v>
      </c>
    </row>
    <row r="317" spans="2:17">
      <c r="B317">
        <f>'[1]Processed Data'!B455</f>
        <v>2018</v>
      </c>
      <c r="C317">
        <f>'[1]Processed Data'!C455</f>
        <v>55</v>
      </c>
      <c r="D317" t="str">
        <f>'[1]Processed Data'!D455</f>
        <v>Derek Anderson</v>
      </c>
      <c r="E317">
        <f>Table1[[#This Row],[Year]]</f>
        <v>2018</v>
      </c>
      <c r="F317">
        <f>'[1]Processed Data'!F455</f>
        <v>42</v>
      </c>
      <c r="G317">
        <f>'[1]Processed Data'!G455</f>
        <v>70</v>
      </c>
      <c r="H317">
        <f>'[1]Processed Data'!H455</f>
        <v>60</v>
      </c>
      <c r="I317">
        <f>'[1]Processed Data'!I455</f>
        <v>0</v>
      </c>
      <c r="J317">
        <f>'[1]Processed Data'!J455</f>
        <v>4</v>
      </c>
      <c r="K317">
        <f>'[1]Processed Data'!K455</f>
        <v>5</v>
      </c>
      <c r="L317">
        <f>'[1]Processed Data'!L455</f>
        <v>1</v>
      </c>
      <c r="M317">
        <f>'[1]Processed Data'!M455</f>
        <v>-1</v>
      </c>
      <c r="N317">
        <f>'[1]Processed Data'!N455</f>
        <v>0</v>
      </c>
      <c r="O317">
        <f>'[1]Processed Data'!O455</f>
        <v>2</v>
      </c>
      <c r="P317">
        <f>'[1]Processed Data'!P455</f>
        <v>6.5</v>
      </c>
      <c r="Q317">
        <f>'[1]Processed Data'!Q455</f>
        <v>2</v>
      </c>
    </row>
    <row r="318" spans="2:17">
      <c r="B318">
        <f>'[1]Processed Data'!B456</f>
        <v>2018</v>
      </c>
      <c r="C318">
        <f>'[1]Processed Data'!C456</f>
        <v>56</v>
      </c>
      <c r="D318" t="str">
        <f>'[1]Processed Data'!D456</f>
        <v>DeShone Kizer</v>
      </c>
      <c r="E318">
        <f>Table1[[#This Row],[Year]]</f>
        <v>2018</v>
      </c>
      <c r="F318">
        <f>'[1]Processed Data'!F456</f>
        <v>20</v>
      </c>
      <c r="G318">
        <f>'[1]Processed Data'!G456</f>
        <v>42</v>
      </c>
      <c r="H318">
        <f>'[1]Processed Data'!H456</f>
        <v>47.6</v>
      </c>
      <c r="I318">
        <f>'[1]Processed Data'!I456</f>
        <v>0</v>
      </c>
      <c r="J318">
        <f>'[1]Processed Data'!J456</f>
        <v>2</v>
      </c>
      <c r="K318">
        <f>'[1]Processed Data'!K456</f>
        <v>4</v>
      </c>
      <c r="L318">
        <f>'[1]Processed Data'!L456</f>
        <v>5</v>
      </c>
      <c r="M318">
        <f>'[1]Processed Data'!M456</f>
        <v>39</v>
      </c>
      <c r="N318">
        <f>'[1]Processed Data'!N456</f>
        <v>0</v>
      </c>
      <c r="O318">
        <f>'[1]Processed Data'!O456</f>
        <v>1</v>
      </c>
      <c r="P318">
        <f>'[1]Processed Data'!P456</f>
        <v>5.4</v>
      </c>
      <c r="Q318">
        <f>'[1]Processed Data'!Q456</f>
        <v>3</v>
      </c>
    </row>
    <row r="319" spans="2:17">
      <c r="B319">
        <f>'[1]Processed Data'!B457</f>
        <v>2018</v>
      </c>
      <c r="C319">
        <f>'[1]Processed Data'!C457</f>
        <v>57</v>
      </c>
      <c r="D319" t="str">
        <f>'[1]Processed Data'!D457</f>
        <v>Nate Sudfeld</v>
      </c>
      <c r="E319">
        <f>Table1[[#This Row],[Year]]</f>
        <v>2018</v>
      </c>
      <c r="F319">
        <f>'[1]Processed Data'!F457</f>
        <v>1</v>
      </c>
      <c r="G319">
        <f>'[1]Processed Data'!G457</f>
        <v>2</v>
      </c>
      <c r="H319">
        <f>'[1]Processed Data'!H457</f>
        <v>50</v>
      </c>
      <c r="I319">
        <f>'[1]Processed Data'!I457</f>
        <v>1</v>
      </c>
      <c r="J319">
        <f>'[1]Processed Data'!J457</f>
        <v>0</v>
      </c>
      <c r="K319">
        <f>'[1]Processed Data'!K457</f>
        <v>0</v>
      </c>
      <c r="L319">
        <f>'[1]Processed Data'!L457</f>
        <v>2</v>
      </c>
      <c r="M319">
        <f>'[1]Processed Data'!M457</f>
        <v>-2</v>
      </c>
      <c r="N319">
        <f>'[1]Processed Data'!N457</f>
        <v>0</v>
      </c>
      <c r="O319">
        <f>'[1]Processed Data'!O457</f>
        <v>0</v>
      </c>
      <c r="P319">
        <f>'[1]Processed Data'!P457</f>
        <v>4.7</v>
      </c>
      <c r="Q319">
        <f>'[1]Processed Data'!Q457</f>
        <v>2</v>
      </c>
    </row>
    <row r="320" spans="2:17">
      <c r="B320">
        <f>'[1]Processed Data'!B458</f>
        <v>2018</v>
      </c>
      <c r="C320">
        <f>'[1]Processed Data'!C458</f>
        <v>58</v>
      </c>
      <c r="D320" t="str">
        <f>'[1]Processed Data'!D458</f>
        <v>Joe Webb III</v>
      </c>
      <c r="E320">
        <f>Table1[[#This Row],[Year]]</f>
        <v>2018</v>
      </c>
      <c r="F320">
        <f>'[1]Processed Data'!F458</f>
        <v>0</v>
      </c>
      <c r="G320">
        <f>'[1]Processed Data'!G458</f>
        <v>0</v>
      </c>
      <c r="H320">
        <f>'[1]Processed Data'!H458</f>
        <v>0</v>
      </c>
      <c r="I320">
        <f>'[1]Processed Data'!I458</f>
        <v>0</v>
      </c>
      <c r="J320">
        <f>'[1]Processed Data'!J458</f>
        <v>0</v>
      </c>
      <c r="K320">
        <f>'[1]Processed Data'!K458</f>
        <v>0</v>
      </c>
      <c r="L320">
        <f>'[1]Processed Data'!L458</f>
        <v>0</v>
      </c>
      <c r="M320">
        <f>'[1]Processed Data'!M458</f>
        <v>0</v>
      </c>
      <c r="N320">
        <f>'[1]Processed Data'!N458</f>
        <v>0</v>
      </c>
      <c r="O320">
        <f>'[1]Processed Data'!O458</f>
        <v>0</v>
      </c>
      <c r="P320">
        <f>'[1]Processed Data'!P458</f>
        <v>2.2999999999999998</v>
      </c>
      <c r="Q320">
        <f>'[1]Processed Data'!Q458</f>
        <v>16</v>
      </c>
    </row>
    <row r="321" spans="2:17">
      <c r="B321">
        <f>'[1]Processed Data'!B459</f>
        <v>2018</v>
      </c>
      <c r="C321">
        <f>'[1]Processed Data'!C459</f>
        <v>59</v>
      </c>
      <c r="D321" t="str">
        <f>'[1]Processed Data'!D459</f>
        <v>Matt Cassel</v>
      </c>
      <c r="E321">
        <f>Table1[[#This Row],[Year]]</f>
        <v>2018</v>
      </c>
      <c r="F321">
        <f>'[1]Processed Data'!F459</f>
        <v>7</v>
      </c>
      <c r="G321">
        <f>'[1]Processed Data'!G459</f>
        <v>17</v>
      </c>
      <c r="H321">
        <f>'[1]Processed Data'!H459</f>
        <v>41.2</v>
      </c>
      <c r="I321">
        <f>'[1]Processed Data'!I459</f>
        <v>0</v>
      </c>
      <c r="J321">
        <f>'[1]Processed Data'!J459</f>
        <v>1</v>
      </c>
      <c r="K321">
        <f>'[1]Processed Data'!K459</f>
        <v>1</v>
      </c>
      <c r="L321">
        <f>'[1]Processed Data'!L459</f>
        <v>2</v>
      </c>
      <c r="M321">
        <f>'[1]Processed Data'!M459</f>
        <v>13</v>
      </c>
      <c r="N321">
        <f>'[1]Processed Data'!N459</f>
        <v>0</v>
      </c>
      <c r="O321">
        <f>'[1]Processed Data'!O459</f>
        <v>0</v>
      </c>
      <c r="P321">
        <f>'[1]Processed Data'!P459</f>
        <v>1.7</v>
      </c>
      <c r="Q321">
        <f>'[1]Processed Data'!Q459</f>
        <v>2</v>
      </c>
    </row>
    <row r="322" spans="2:17">
      <c r="B322">
        <f>'[1]Processed Data'!B460</f>
        <v>2018</v>
      </c>
      <c r="C322">
        <f>'[1]Processed Data'!C460</f>
        <v>60</v>
      </c>
      <c r="D322" t="str">
        <f>'[1]Processed Data'!D460</f>
        <v>Garrett Gilbert</v>
      </c>
      <c r="E322">
        <f>Table1[[#This Row],[Year]]</f>
        <v>2018</v>
      </c>
      <c r="F322">
        <f>'[1]Processed Data'!F460</f>
        <v>2</v>
      </c>
      <c r="G322">
        <f>'[1]Processed Data'!G460</f>
        <v>3</v>
      </c>
      <c r="H322">
        <f>'[1]Processed Data'!H460</f>
        <v>66.7</v>
      </c>
      <c r="I322">
        <f>'[1]Processed Data'!I460</f>
        <v>0</v>
      </c>
      <c r="J322">
        <f>'[1]Processed Data'!J460</f>
        <v>0</v>
      </c>
      <c r="K322">
        <f>'[1]Processed Data'!K460</f>
        <v>1</v>
      </c>
      <c r="L322">
        <f>'[1]Processed Data'!L460</f>
        <v>0</v>
      </c>
      <c r="M322">
        <f>'[1]Processed Data'!M460</f>
        <v>0</v>
      </c>
      <c r="N322">
        <f>'[1]Processed Data'!N460</f>
        <v>0</v>
      </c>
      <c r="O322">
        <f>'[1]Processed Data'!O460</f>
        <v>0</v>
      </c>
      <c r="P322">
        <f>'[1]Processed Data'!P460</f>
        <v>1.6</v>
      </c>
      <c r="Q322">
        <f>'[1]Processed Data'!Q460</f>
        <v>1</v>
      </c>
    </row>
    <row r="323" spans="2:17">
      <c r="B323">
        <f>'[1]Processed Data'!B461</f>
        <v>2018</v>
      </c>
      <c r="C323">
        <f>'[1]Processed Data'!C461</f>
        <v>61</v>
      </c>
      <c r="D323" t="str">
        <f>'[1]Processed Data'!D461</f>
        <v>Chad Henne</v>
      </c>
      <c r="E323">
        <f>Table1[[#This Row],[Year]]</f>
        <v>2018</v>
      </c>
      <c r="F323">
        <f>'[1]Processed Data'!F461</f>
        <v>2</v>
      </c>
      <c r="G323">
        <f>'[1]Processed Data'!G461</f>
        <v>3</v>
      </c>
      <c r="H323">
        <f>'[1]Processed Data'!H461</f>
        <v>66.7</v>
      </c>
      <c r="I323">
        <f>'[1]Processed Data'!I461</f>
        <v>0</v>
      </c>
      <c r="J323">
        <f>'[1]Processed Data'!J461</f>
        <v>0</v>
      </c>
      <c r="K323">
        <f>'[1]Processed Data'!K461</f>
        <v>0</v>
      </c>
      <c r="L323">
        <f>'[1]Processed Data'!L461</f>
        <v>1</v>
      </c>
      <c r="M323">
        <f>'[1]Processed Data'!M461</f>
        <v>3</v>
      </c>
      <c r="N323">
        <f>'[1]Processed Data'!N461</f>
        <v>0</v>
      </c>
      <c r="O323">
        <f>'[1]Processed Data'!O461</f>
        <v>0</v>
      </c>
      <c r="P323">
        <f>'[1]Processed Data'!P461</f>
        <v>1.5</v>
      </c>
      <c r="Q323">
        <f>'[1]Processed Data'!Q461</f>
        <v>1</v>
      </c>
    </row>
    <row r="324" spans="2:17">
      <c r="B324">
        <f>'[1]Processed Data'!B462</f>
        <v>2018</v>
      </c>
      <c r="C324">
        <f>'[1]Processed Data'!C462</f>
        <v>62</v>
      </c>
      <c r="D324" t="str">
        <f>'[1]Processed Data'!D462</f>
        <v>Joshua Dobbs</v>
      </c>
      <c r="E324">
        <f>Table1[[#This Row],[Year]]</f>
        <v>2018</v>
      </c>
      <c r="F324">
        <f>'[1]Processed Data'!F462</f>
        <v>6</v>
      </c>
      <c r="G324">
        <f>'[1]Processed Data'!G462</f>
        <v>12</v>
      </c>
      <c r="H324">
        <f>'[1]Processed Data'!H462</f>
        <v>50</v>
      </c>
      <c r="I324">
        <f>'[1]Processed Data'!I462</f>
        <v>0</v>
      </c>
      <c r="J324">
        <f>'[1]Processed Data'!J462</f>
        <v>1</v>
      </c>
      <c r="K324">
        <f>'[1]Processed Data'!K462</f>
        <v>0</v>
      </c>
      <c r="L324">
        <f>'[1]Processed Data'!L462</f>
        <v>4</v>
      </c>
      <c r="M324">
        <f>'[1]Processed Data'!M462</f>
        <v>11</v>
      </c>
      <c r="N324">
        <f>'[1]Processed Data'!N462</f>
        <v>0</v>
      </c>
      <c r="O324">
        <f>'[1]Processed Data'!O462</f>
        <v>0</v>
      </c>
      <c r="P324">
        <f>'[1]Processed Data'!P462</f>
        <v>0.9</v>
      </c>
      <c r="Q324">
        <f>'[1]Processed Data'!Q462</f>
        <v>5</v>
      </c>
    </row>
    <row r="325" spans="2:17">
      <c r="B325">
        <f>'[1]Processed Data'!B463</f>
        <v>2018</v>
      </c>
      <c r="C325">
        <f>'[1]Processed Data'!C463</f>
        <v>63</v>
      </c>
      <c r="D325" t="str">
        <f>'[1]Processed Data'!D463</f>
        <v>Robert Griffin III</v>
      </c>
      <c r="E325">
        <f>Table1[[#This Row],[Year]]</f>
        <v>2018</v>
      </c>
      <c r="F325">
        <f>'[1]Processed Data'!F463</f>
        <v>2</v>
      </c>
      <c r="G325">
        <f>'[1]Processed Data'!G463</f>
        <v>6</v>
      </c>
      <c r="H325">
        <f>'[1]Processed Data'!H463</f>
        <v>33.299999999999997</v>
      </c>
      <c r="I325">
        <f>'[1]Processed Data'!I463</f>
        <v>0</v>
      </c>
      <c r="J325">
        <f>'[1]Processed Data'!J463</f>
        <v>0</v>
      </c>
      <c r="K325">
        <f>'[1]Processed Data'!K463</f>
        <v>0</v>
      </c>
      <c r="L325">
        <f>'[1]Processed Data'!L463</f>
        <v>0</v>
      </c>
      <c r="M325">
        <f>'[1]Processed Data'!M463</f>
        <v>0</v>
      </c>
      <c r="N325">
        <f>'[1]Processed Data'!N463</f>
        <v>0</v>
      </c>
      <c r="O325">
        <f>'[1]Processed Data'!O463</f>
        <v>0</v>
      </c>
      <c r="P325">
        <f>'[1]Processed Data'!P463</f>
        <v>0.8</v>
      </c>
      <c r="Q325">
        <f>'[1]Processed Data'!Q463</f>
        <v>3</v>
      </c>
    </row>
    <row r="326" spans="2:17">
      <c r="B326">
        <f>'[1]Processed Data'!B464</f>
        <v>2018</v>
      </c>
      <c r="C326">
        <f>'[1]Processed Data'!C464</f>
        <v>64</v>
      </c>
      <c r="D326" t="str">
        <f>'[1]Processed Data'!D464</f>
        <v>Matt Schaub</v>
      </c>
      <c r="E326">
        <f>Table1[[#This Row],[Year]]</f>
        <v>2018</v>
      </c>
      <c r="F326">
        <f>'[1]Processed Data'!F464</f>
        <v>5</v>
      </c>
      <c r="G326">
        <f>'[1]Processed Data'!G464</f>
        <v>7</v>
      </c>
      <c r="H326">
        <f>'[1]Processed Data'!H464</f>
        <v>71.400000000000006</v>
      </c>
      <c r="I326">
        <f>'[1]Processed Data'!I464</f>
        <v>0</v>
      </c>
      <c r="J326">
        <f>'[1]Processed Data'!J464</f>
        <v>0</v>
      </c>
      <c r="K326">
        <f>'[1]Processed Data'!K464</f>
        <v>0</v>
      </c>
      <c r="L326">
        <f>'[1]Processed Data'!L464</f>
        <v>1</v>
      </c>
      <c r="M326">
        <f>'[1]Processed Data'!M464</f>
        <v>0</v>
      </c>
      <c r="N326">
        <f>'[1]Processed Data'!N464</f>
        <v>0</v>
      </c>
      <c r="O326">
        <f>'[1]Processed Data'!O464</f>
        <v>0</v>
      </c>
      <c r="P326">
        <f>'[1]Processed Data'!P464</f>
        <v>0.6</v>
      </c>
      <c r="Q326">
        <f>'[1]Processed Data'!Q464</f>
        <v>3</v>
      </c>
    </row>
    <row r="327" spans="2:17">
      <c r="B327">
        <f>'[1]Processed Data'!B465</f>
        <v>2018</v>
      </c>
      <c r="C327">
        <f>'[1]Processed Data'!C465</f>
        <v>65</v>
      </c>
      <c r="D327" t="str">
        <f>'[1]Processed Data'!D465</f>
        <v>Mark Sanchez</v>
      </c>
      <c r="E327">
        <f>Table1[[#This Row],[Year]]</f>
        <v>2018</v>
      </c>
      <c r="F327">
        <f>'[1]Processed Data'!F465</f>
        <v>19</v>
      </c>
      <c r="G327">
        <f>'[1]Processed Data'!G465</f>
        <v>35</v>
      </c>
      <c r="H327">
        <f>'[1]Processed Data'!H465</f>
        <v>54.3</v>
      </c>
      <c r="I327">
        <f>'[1]Processed Data'!I465</f>
        <v>0</v>
      </c>
      <c r="J327">
        <f>'[1]Processed Data'!J465</f>
        <v>3</v>
      </c>
      <c r="K327">
        <f>'[1]Processed Data'!K465</f>
        <v>7</v>
      </c>
      <c r="L327">
        <f>'[1]Processed Data'!L465</f>
        <v>1</v>
      </c>
      <c r="M327">
        <f>'[1]Processed Data'!M465</f>
        <v>8</v>
      </c>
      <c r="N327">
        <f>'[1]Processed Data'!N465</f>
        <v>0</v>
      </c>
      <c r="O327">
        <f>'[1]Processed Data'!O465</f>
        <v>0</v>
      </c>
      <c r="P327">
        <f>'[1]Processed Data'!P465</f>
        <v>0.3</v>
      </c>
      <c r="Q327">
        <f>'[1]Processed Data'!Q465</f>
        <v>2</v>
      </c>
    </row>
    <row r="328" spans="2:17">
      <c r="B328">
        <f>'[1]Processed Data'!B466</f>
        <v>2018</v>
      </c>
      <c r="C328">
        <f>'[1]Processed Data'!C466</f>
        <v>66</v>
      </c>
      <c r="D328" t="str">
        <f>'[1]Processed Data'!D466</f>
        <v>AJ McCarron</v>
      </c>
      <c r="E328">
        <f>Table1[[#This Row],[Year]]</f>
        <v>2018</v>
      </c>
      <c r="F328">
        <f>'[1]Processed Data'!F466</f>
        <v>1</v>
      </c>
      <c r="G328">
        <f>'[1]Processed Data'!G466</f>
        <v>3</v>
      </c>
      <c r="H328">
        <f>'[1]Processed Data'!H466</f>
        <v>33.299999999999997</v>
      </c>
      <c r="I328">
        <f>'[1]Processed Data'!I466</f>
        <v>0</v>
      </c>
      <c r="J328">
        <f>'[1]Processed Data'!J466</f>
        <v>0</v>
      </c>
      <c r="K328">
        <f>'[1]Processed Data'!K466</f>
        <v>1</v>
      </c>
      <c r="L328">
        <f>'[1]Processed Data'!L466</f>
        <v>3</v>
      </c>
      <c r="M328">
        <f>'[1]Processed Data'!M466</f>
        <v>-2</v>
      </c>
      <c r="N328">
        <f>'[1]Processed Data'!N466</f>
        <v>0</v>
      </c>
      <c r="O328">
        <f>'[1]Processed Data'!O466</f>
        <v>0</v>
      </c>
      <c r="P328">
        <f>'[1]Processed Data'!P466</f>
        <v>0.1</v>
      </c>
      <c r="Q328">
        <f>'[1]Processed Data'!Q466</f>
        <v>2</v>
      </c>
    </row>
    <row r="329" spans="2:17">
      <c r="B329">
        <f>'[1]Processed Data'!B514</f>
        <v>2018</v>
      </c>
      <c r="C329">
        <f>'[1]Processed Data'!C514</f>
        <v>114</v>
      </c>
      <c r="D329" t="str">
        <f>'[1]Processed Data'!D514</f>
        <v>Alex Tanney</v>
      </c>
      <c r="E329">
        <f>Table1[[#This Row],[Year]]</f>
        <v>2018</v>
      </c>
      <c r="F329">
        <f>'[1]Processed Data'!F514</f>
        <v>0</v>
      </c>
      <c r="G329">
        <f>'[1]Processed Data'!G514</f>
        <v>0</v>
      </c>
      <c r="H329">
        <f>'[1]Processed Data'!H514</f>
        <v>0</v>
      </c>
      <c r="I329">
        <f>'[1]Processed Data'!I514</f>
        <v>0</v>
      </c>
      <c r="J329">
        <f>'[1]Processed Data'!J514</f>
        <v>0</v>
      </c>
      <c r="K329">
        <f>'[1]Processed Data'!K514</f>
        <v>0</v>
      </c>
      <c r="L329">
        <f>'[1]Processed Data'!L514</f>
        <v>0</v>
      </c>
      <c r="M329">
        <f>'[1]Processed Data'!M514</f>
        <v>0</v>
      </c>
      <c r="N329">
        <f>'[1]Processed Data'!N514</f>
        <v>0</v>
      </c>
      <c r="O329">
        <f>'[1]Processed Data'!O514</f>
        <v>0</v>
      </c>
      <c r="P329">
        <f>'[1]Processed Data'!P514</f>
        <v>0</v>
      </c>
      <c r="Q329">
        <f>'[1]Processed Data'!Q514</f>
        <v>1</v>
      </c>
    </row>
    <row r="330" spans="2:17">
      <c r="B330">
        <f>'[1]Processed Data'!B515</f>
        <v>2018</v>
      </c>
      <c r="C330">
        <f>'[1]Processed Data'!C515</f>
        <v>115</v>
      </c>
      <c r="D330" t="str">
        <f>'[1]Processed Data'!D515</f>
        <v>Tyler Bray</v>
      </c>
      <c r="E330">
        <f>Table1[[#This Row],[Year]]</f>
        <v>2018</v>
      </c>
      <c r="F330">
        <f>'[1]Processed Data'!F515</f>
        <v>0</v>
      </c>
      <c r="G330">
        <f>'[1]Processed Data'!G515</f>
        <v>0</v>
      </c>
      <c r="H330">
        <f>'[1]Processed Data'!H515</f>
        <v>0</v>
      </c>
      <c r="I330">
        <f>'[1]Processed Data'!I515</f>
        <v>0</v>
      </c>
      <c r="J330">
        <f>'[1]Processed Data'!J515</f>
        <v>0</v>
      </c>
      <c r="K330">
        <f>'[1]Processed Data'!K515</f>
        <v>0</v>
      </c>
      <c r="L330">
        <f>'[1]Processed Data'!L515</f>
        <v>0</v>
      </c>
      <c r="M330">
        <f>'[1]Processed Data'!M515</f>
        <v>0</v>
      </c>
      <c r="N330">
        <f>'[1]Processed Data'!N515</f>
        <v>0</v>
      </c>
      <c r="O330">
        <f>'[1]Processed Data'!O515</f>
        <v>0</v>
      </c>
      <c r="P330">
        <f>'[1]Processed Data'!P515</f>
        <v>0</v>
      </c>
      <c r="Q330">
        <f>'[1]Processed Data'!Q515</f>
        <v>1</v>
      </c>
    </row>
    <row r="331" spans="2:17">
      <c r="B331">
        <f>'[1]Processed Data'!B521</f>
        <v>2018</v>
      </c>
      <c r="C331">
        <f>'[1]Processed Data'!C521</f>
        <v>121</v>
      </c>
      <c r="D331" t="str">
        <f>'[1]Processed Data'!D521</f>
        <v>Cooper Rush</v>
      </c>
      <c r="E331">
        <f>Table1[[#This Row],[Year]]</f>
        <v>2018</v>
      </c>
      <c r="F331">
        <f>'[1]Processed Data'!F521</f>
        <v>0</v>
      </c>
      <c r="G331">
        <f>'[1]Processed Data'!G521</f>
        <v>0</v>
      </c>
      <c r="H331">
        <f>'[1]Processed Data'!H521</f>
        <v>0</v>
      </c>
      <c r="I331">
        <f>'[1]Processed Data'!I521</f>
        <v>0</v>
      </c>
      <c r="J331">
        <f>'[1]Processed Data'!J521</f>
        <v>0</v>
      </c>
      <c r="K331">
        <f>'[1]Processed Data'!K521</f>
        <v>0</v>
      </c>
      <c r="L331">
        <f>'[1]Processed Data'!L521</f>
        <v>0</v>
      </c>
      <c r="M331">
        <f>'[1]Processed Data'!M521</f>
        <v>0</v>
      </c>
      <c r="N331">
        <f>'[1]Processed Data'!N521</f>
        <v>0</v>
      </c>
      <c r="O331">
        <f>'[1]Processed Data'!O521</f>
        <v>0</v>
      </c>
      <c r="P331">
        <f>'[1]Processed Data'!P521</f>
        <v>0</v>
      </c>
      <c r="Q331">
        <f>'[1]Processed Data'!Q521</f>
        <v>1</v>
      </c>
    </row>
    <row r="332" spans="2:17">
      <c r="B332">
        <f>'[1]Processed Data'!B525</f>
        <v>2018</v>
      </c>
      <c r="C332">
        <f>'[1]Processed Data'!C525</f>
        <v>125</v>
      </c>
      <c r="D332" t="str">
        <f>'[1]Processed Data'!D525</f>
        <v>Kyle Sloter</v>
      </c>
      <c r="E332">
        <f>Table1[[#This Row],[Year]]</f>
        <v>2018</v>
      </c>
      <c r="F332">
        <f>'[1]Processed Data'!F525</f>
        <v>0</v>
      </c>
      <c r="G332">
        <f>'[1]Processed Data'!G525</f>
        <v>0</v>
      </c>
      <c r="H332">
        <f>'[1]Processed Data'!H525</f>
        <v>0</v>
      </c>
      <c r="I332">
        <f>'[1]Processed Data'!I525</f>
        <v>0</v>
      </c>
      <c r="J332">
        <f>'[1]Processed Data'!J525</f>
        <v>0</v>
      </c>
      <c r="K332">
        <f>'[1]Processed Data'!K525</f>
        <v>0</v>
      </c>
      <c r="L332">
        <f>'[1]Processed Data'!L525</f>
        <v>0</v>
      </c>
      <c r="M332">
        <f>'[1]Processed Data'!M525</f>
        <v>0</v>
      </c>
      <c r="N332">
        <f>'[1]Processed Data'!N525</f>
        <v>0</v>
      </c>
      <c r="O332">
        <f>'[1]Processed Data'!O525</f>
        <v>0</v>
      </c>
      <c r="P332">
        <f>'[1]Processed Data'!P525</f>
        <v>0</v>
      </c>
      <c r="Q332">
        <f>'[1]Processed Data'!Q525</f>
        <v>1</v>
      </c>
    </row>
    <row r="333" spans="2:17">
      <c r="B333">
        <f>'[1]Processed Data'!B534</f>
        <v>2018</v>
      </c>
      <c r="C333">
        <f>'[1]Processed Data'!C534</f>
        <v>134</v>
      </c>
      <c r="D333" t="str">
        <f>'[1]Processed Data'!D534</f>
        <v>Brandon Allen</v>
      </c>
      <c r="E333">
        <f>Table1[[#This Row],[Year]]</f>
        <v>2018</v>
      </c>
      <c r="F333">
        <f>'[1]Processed Data'!F534</f>
        <v>0</v>
      </c>
      <c r="G333">
        <f>'[1]Processed Data'!G534</f>
        <v>0</v>
      </c>
      <c r="H333">
        <f>'[1]Processed Data'!H534</f>
        <v>0</v>
      </c>
      <c r="I333">
        <f>'[1]Processed Data'!I534</f>
        <v>0</v>
      </c>
      <c r="J333">
        <f>'[1]Processed Data'!J534</f>
        <v>0</v>
      </c>
      <c r="K333">
        <f>'[1]Processed Data'!K534</f>
        <v>0</v>
      </c>
      <c r="L333">
        <f>'[1]Processed Data'!L534</f>
        <v>0</v>
      </c>
      <c r="M333">
        <f>'[1]Processed Data'!M534</f>
        <v>0</v>
      </c>
      <c r="N333">
        <f>'[1]Processed Data'!N534</f>
        <v>0</v>
      </c>
      <c r="O333">
        <f>'[1]Processed Data'!O534</f>
        <v>0</v>
      </c>
      <c r="P333">
        <f>'[1]Processed Data'!P534</f>
        <v>0</v>
      </c>
      <c r="Q333">
        <f>'[1]Processed Data'!Q534</f>
        <v>1</v>
      </c>
    </row>
    <row r="334" spans="2:17">
      <c r="B334">
        <f>'[1]Processed Data'!B537</f>
        <v>2018</v>
      </c>
      <c r="C334">
        <f>'[1]Processed Data'!C537</f>
        <v>137</v>
      </c>
      <c r="D334" t="str">
        <f>'[1]Processed Data'!D537</f>
        <v>Sean Mannion</v>
      </c>
      <c r="E334">
        <f>Table1[[#This Row],[Year]]</f>
        <v>2018</v>
      </c>
      <c r="F334">
        <f>'[1]Processed Data'!F537</f>
        <v>2</v>
      </c>
      <c r="G334">
        <f>'[1]Processed Data'!G537</f>
        <v>3</v>
      </c>
      <c r="H334">
        <f>'[1]Processed Data'!H537</f>
        <v>66.7</v>
      </c>
      <c r="I334">
        <f>'[1]Processed Data'!I537</f>
        <v>0</v>
      </c>
      <c r="J334">
        <f>'[1]Processed Data'!J537</f>
        <v>0</v>
      </c>
      <c r="K334">
        <f>'[1]Processed Data'!K537</f>
        <v>0</v>
      </c>
      <c r="L334">
        <f>'[1]Processed Data'!L537</f>
        <v>7</v>
      </c>
      <c r="M334">
        <f>'[1]Processed Data'!M537</f>
        <v>-9</v>
      </c>
      <c r="N334">
        <f>'[1]Processed Data'!N537</f>
        <v>0</v>
      </c>
      <c r="O334">
        <f>'[1]Processed Data'!O537</f>
        <v>0</v>
      </c>
      <c r="P334">
        <f>'[1]Processed Data'!P537</f>
        <v>0</v>
      </c>
      <c r="Q334">
        <f>'[1]Processed Data'!Q537</f>
        <v>3</v>
      </c>
    </row>
    <row r="335" spans="2:17">
      <c r="B335">
        <f>'[1]Processed Data'!B539</f>
        <v>2018</v>
      </c>
      <c r="C335">
        <f>'[1]Processed Data'!C539</f>
        <v>139</v>
      </c>
      <c r="D335" t="str">
        <f>'[1]Processed Data'!D539</f>
        <v>Chad Kelly</v>
      </c>
      <c r="E335">
        <f>Table1[[#This Row],[Year]]</f>
        <v>2018</v>
      </c>
      <c r="F335">
        <f>'[1]Processed Data'!F539</f>
        <v>0</v>
      </c>
      <c r="G335">
        <f>'[1]Processed Data'!G539</f>
        <v>0</v>
      </c>
      <c r="H335">
        <f>'[1]Processed Data'!H539</f>
        <v>0</v>
      </c>
      <c r="I335">
        <f>'[1]Processed Data'!I539</f>
        <v>0</v>
      </c>
      <c r="J335">
        <f>'[1]Processed Data'!J539</f>
        <v>0</v>
      </c>
      <c r="K335">
        <f>'[1]Processed Data'!K539</f>
        <v>0</v>
      </c>
      <c r="L335">
        <f>'[1]Processed Data'!L539</f>
        <v>1</v>
      </c>
      <c r="M335">
        <f>'[1]Processed Data'!M539</f>
        <v>-1</v>
      </c>
      <c r="N335">
        <f>'[1]Processed Data'!N539</f>
        <v>0</v>
      </c>
      <c r="O335">
        <f>'[1]Processed Data'!O539</f>
        <v>0</v>
      </c>
      <c r="P335">
        <f>'[1]Processed Data'!P539</f>
        <v>-0.1</v>
      </c>
      <c r="Q335">
        <f>'[1]Processed Data'!Q539</f>
        <v>1</v>
      </c>
    </row>
    <row r="336" spans="2:17">
      <c r="B336">
        <f>'[1]Processed Data'!B540</f>
        <v>2018</v>
      </c>
      <c r="C336">
        <f>'[1]Processed Data'!C540</f>
        <v>140</v>
      </c>
      <c r="D336" t="str">
        <f>'[1]Processed Data'!D540</f>
        <v>Brandon Weeden</v>
      </c>
      <c r="E336">
        <f>Table1[[#This Row],[Year]]</f>
        <v>2018</v>
      </c>
      <c r="F336">
        <f>'[1]Processed Data'!F540</f>
        <v>0</v>
      </c>
      <c r="G336">
        <f>'[1]Processed Data'!G540</f>
        <v>0</v>
      </c>
      <c r="H336">
        <f>'[1]Processed Data'!H540</f>
        <v>0</v>
      </c>
      <c r="I336">
        <f>'[1]Processed Data'!I540</f>
        <v>0</v>
      </c>
      <c r="J336">
        <f>'[1]Processed Data'!J540</f>
        <v>0</v>
      </c>
      <c r="K336">
        <f>'[1]Processed Data'!K540</f>
        <v>0</v>
      </c>
      <c r="L336">
        <f>'[1]Processed Data'!L540</f>
        <v>1</v>
      </c>
      <c r="M336">
        <f>'[1]Processed Data'!M540</f>
        <v>-1</v>
      </c>
      <c r="N336">
        <f>'[1]Processed Data'!N540</f>
        <v>0</v>
      </c>
      <c r="O336">
        <f>'[1]Processed Data'!O540</f>
        <v>0</v>
      </c>
      <c r="P336">
        <f>'[1]Processed Data'!P540</f>
        <v>-0.1</v>
      </c>
      <c r="Q336">
        <f>'[1]Processed Data'!Q540</f>
        <v>1</v>
      </c>
    </row>
    <row r="337" spans="2:17">
      <c r="B337">
        <f>'[1]Processed Data'!B541</f>
        <v>2018</v>
      </c>
      <c r="C337">
        <f>'[1]Processed Data'!C541</f>
        <v>141</v>
      </c>
      <c r="D337" t="str">
        <f>'[1]Processed Data'!D541</f>
        <v>Brian Hoyer</v>
      </c>
      <c r="E337">
        <f>Table1[[#This Row],[Year]]</f>
        <v>2018</v>
      </c>
      <c r="F337">
        <f>'[1]Processed Data'!F541</f>
        <v>1</v>
      </c>
      <c r="G337">
        <f>'[1]Processed Data'!G541</f>
        <v>2</v>
      </c>
      <c r="H337">
        <f>'[1]Processed Data'!H541</f>
        <v>50</v>
      </c>
      <c r="I337">
        <f>'[1]Processed Data'!I541</f>
        <v>0</v>
      </c>
      <c r="J337">
        <f>'[1]Processed Data'!J541</f>
        <v>0</v>
      </c>
      <c r="K337">
        <f>'[1]Processed Data'!K541</f>
        <v>0</v>
      </c>
      <c r="L337">
        <f>'[1]Processed Data'!L541</f>
        <v>11</v>
      </c>
      <c r="M337">
        <f>'[1]Processed Data'!M541</f>
        <v>-8</v>
      </c>
      <c r="N337">
        <f>'[1]Processed Data'!N541</f>
        <v>0</v>
      </c>
      <c r="O337">
        <f>'[1]Processed Data'!O541</f>
        <v>0</v>
      </c>
      <c r="P337">
        <f>'[1]Processed Data'!P541</f>
        <v>-0.5</v>
      </c>
      <c r="Q337">
        <f>'[1]Processed Data'!Q541</f>
        <v>5</v>
      </c>
    </row>
    <row r="338" spans="2:17">
      <c r="B338">
        <f>'[1]Processed Data'!B542</f>
        <v>2018</v>
      </c>
      <c r="C338">
        <f>'[1]Processed Data'!C542</f>
        <v>142</v>
      </c>
      <c r="D338" t="str">
        <f>'[1]Processed Data'!D542</f>
        <v>Jacoby Brissett</v>
      </c>
      <c r="E338">
        <f>Table1[[#This Row],[Year]]</f>
        <v>2018</v>
      </c>
      <c r="F338">
        <f>'[1]Processed Data'!F542</f>
        <v>2</v>
      </c>
      <c r="G338">
        <f>'[1]Processed Data'!G542</f>
        <v>4</v>
      </c>
      <c r="H338">
        <f>'[1]Processed Data'!H542</f>
        <v>50</v>
      </c>
      <c r="I338">
        <f>'[1]Processed Data'!I542</f>
        <v>0</v>
      </c>
      <c r="J338">
        <f>'[1]Processed Data'!J542</f>
        <v>0</v>
      </c>
      <c r="K338">
        <f>'[1]Processed Data'!K542</f>
        <v>0</v>
      </c>
      <c r="L338">
        <f>'[1]Processed Data'!L542</f>
        <v>7</v>
      </c>
      <c r="M338">
        <f>'[1]Processed Data'!M542</f>
        <v>-7</v>
      </c>
      <c r="N338">
        <f>'[1]Processed Data'!N542</f>
        <v>0</v>
      </c>
      <c r="O338">
        <f>'[1]Processed Data'!O542</f>
        <v>0</v>
      </c>
      <c r="P338">
        <f>'[1]Processed Data'!P542</f>
        <v>-0.6</v>
      </c>
      <c r="Q338">
        <f>'[1]Processed Data'!Q542</f>
        <v>4</v>
      </c>
    </row>
    <row r="339" spans="2:17">
      <c r="B339">
        <f>'[1]Processed Data'!B543</f>
        <v>2018</v>
      </c>
      <c r="C339">
        <f>'[1]Processed Data'!C543</f>
        <v>143</v>
      </c>
      <c r="D339" t="str">
        <f>'[1]Processed Data'!D543</f>
        <v>Geno Smith</v>
      </c>
      <c r="E339">
        <f>Table1[[#This Row],[Year]]</f>
        <v>2018</v>
      </c>
      <c r="F339">
        <f>'[1]Processed Data'!F543</f>
        <v>1</v>
      </c>
      <c r="G339">
        <f>'[1]Processed Data'!G543</f>
        <v>4</v>
      </c>
      <c r="H339">
        <f>'[1]Processed Data'!H543</f>
        <v>25</v>
      </c>
      <c r="I339">
        <f>'[1]Processed Data'!I543</f>
        <v>0</v>
      </c>
      <c r="J339">
        <f>'[1]Processed Data'!J543</f>
        <v>0</v>
      </c>
      <c r="K339">
        <f>'[1]Processed Data'!K543</f>
        <v>1</v>
      </c>
      <c r="L339">
        <f>'[1]Processed Data'!L543</f>
        <v>8</v>
      </c>
      <c r="M339">
        <f>'[1]Processed Data'!M543</f>
        <v>2</v>
      </c>
      <c r="N339">
        <f>'[1]Processed Data'!N543</f>
        <v>0</v>
      </c>
      <c r="O339">
        <f>'[1]Processed Data'!O543</f>
        <v>1</v>
      </c>
      <c r="P339">
        <f>'[1]Processed Data'!P543</f>
        <v>-1.5</v>
      </c>
      <c r="Q339">
        <f>'[1]Processed Data'!Q543</f>
        <v>5</v>
      </c>
    </row>
    <row r="340" spans="2:17">
      <c r="B340">
        <f>'[1]Processed Data'!B544</f>
        <v>2018</v>
      </c>
      <c r="C340">
        <f>'[1]Processed Data'!C544</f>
        <v>144</v>
      </c>
      <c r="D340" t="str">
        <f>'[1]Processed Data'!D544</f>
        <v>Kyle Lauletta</v>
      </c>
      <c r="E340">
        <f>Table1[[#This Row],[Year]]</f>
        <v>2018</v>
      </c>
      <c r="F340">
        <f>'[1]Processed Data'!F544</f>
        <v>0</v>
      </c>
      <c r="G340">
        <f>'[1]Processed Data'!G544</f>
        <v>5</v>
      </c>
      <c r="H340">
        <f>'[1]Processed Data'!H544</f>
        <v>0</v>
      </c>
      <c r="I340">
        <f>'[1]Processed Data'!I544</f>
        <v>0</v>
      </c>
      <c r="J340">
        <f>'[1]Processed Data'!J544</f>
        <v>1</v>
      </c>
      <c r="K340">
        <f>'[1]Processed Data'!K544</f>
        <v>0</v>
      </c>
      <c r="L340">
        <f>'[1]Processed Data'!L544</f>
        <v>1</v>
      </c>
      <c r="M340">
        <f>'[1]Processed Data'!M544</f>
        <v>-2</v>
      </c>
      <c r="N340">
        <f>'[1]Processed Data'!N544</f>
        <v>0</v>
      </c>
      <c r="O340">
        <f>'[1]Processed Data'!O544</f>
        <v>0</v>
      </c>
      <c r="P340">
        <f>'[1]Processed Data'!P544</f>
        <v>-2.2000000000000002</v>
      </c>
      <c r="Q340">
        <f>'[1]Processed Data'!Q544</f>
        <v>2</v>
      </c>
    </row>
    <row r="341" spans="2:17">
      <c r="B341">
        <f>'[1]Processed Data'!B545</f>
        <v>2017</v>
      </c>
      <c r="C341">
        <f>'[1]Processed Data'!C545</f>
        <v>1</v>
      </c>
      <c r="D341" t="str">
        <f>'[1]Processed Data'!D545</f>
        <v>Russell Wilson</v>
      </c>
      <c r="E341">
        <f>Table1[[#This Row],[Year]]</f>
        <v>2017</v>
      </c>
      <c r="F341">
        <f>'[1]Processed Data'!F545</f>
        <v>339</v>
      </c>
      <c r="G341">
        <f>'[1]Processed Data'!G545</f>
        <v>553</v>
      </c>
      <c r="H341">
        <f>'[1]Processed Data'!H545</f>
        <v>61.3</v>
      </c>
      <c r="I341">
        <f>'[1]Processed Data'!I545</f>
        <v>34</v>
      </c>
      <c r="J341">
        <f>'[1]Processed Data'!J545</f>
        <v>11</v>
      </c>
      <c r="K341">
        <f>'[1]Processed Data'!K545</f>
        <v>43</v>
      </c>
      <c r="L341">
        <f>'[1]Processed Data'!L545</f>
        <v>95</v>
      </c>
      <c r="M341">
        <f>'[1]Processed Data'!M545</f>
        <v>586</v>
      </c>
      <c r="N341">
        <f>'[1]Processed Data'!N545</f>
        <v>3</v>
      </c>
      <c r="O341">
        <f>'[1]Processed Data'!O545</f>
        <v>3</v>
      </c>
      <c r="P341">
        <f>'[1]Processed Data'!P545</f>
        <v>347.8</v>
      </c>
      <c r="Q341">
        <f>'[1]Processed Data'!Q545</f>
        <v>16</v>
      </c>
    </row>
    <row r="342" spans="2:17">
      <c r="B342">
        <f>'[1]Processed Data'!B546</f>
        <v>2017</v>
      </c>
      <c r="C342">
        <f>'[1]Processed Data'!C546</f>
        <v>2</v>
      </c>
      <c r="D342" t="str">
        <f>'[1]Processed Data'!D546</f>
        <v>Cam Newton</v>
      </c>
      <c r="E342">
        <f>Table1[[#This Row],[Year]]</f>
        <v>2017</v>
      </c>
      <c r="F342">
        <f>'[1]Processed Data'!F546</f>
        <v>291</v>
      </c>
      <c r="G342">
        <f>'[1]Processed Data'!G546</f>
        <v>492</v>
      </c>
      <c r="H342">
        <f>'[1]Processed Data'!H546</f>
        <v>59.1</v>
      </c>
      <c r="I342">
        <f>'[1]Processed Data'!I546</f>
        <v>22</v>
      </c>
      <c r="J342">
        <f>'[1]Processed Data'!J546</f>
        <v>16</v>
      </c>
      <c r="K342">
        <f>'[1]Processed Data'!K546</f>
        <v>35</v>
      </c>
      <c r="L342">
        <f>'[1]Processed Data'!L546</f>
        <v>139</v>
      </c>
      <c r="M342">
        <f>'[1]Processed Data'!M546</f>
        <v>754</v>
      </c>
      <c r="N342">
        <f>'[1]Processed Data'!N546</f>
        <v>6</v>
      </c>
      <c r="O342">
        <f>'[1]Processed Data'!O546</f>
        <v>1</v>
      </c>
      <c r="P342">
        <f>'[1]Processed Data'!P546</f>
        <v>299.5</v>
      </c>
      <c r="Q342">
        <f>'[1]Processed Data'!Q546</f>
        <v>16</v>
      </c>
    </row>
    <row r="343" spans="2:17">
      <c r="B343">
        <f>'[1]Processed Data'!B547</f>
        <v>2017</v>
      </c>
      <c r="C343">
        <f>'[1]Processed Data'!C547</f>
        <v>3</v>
      </c>
      <c r="D343" t="str">
        <f>'[1]Processed Data'!D547</f>
        <v>Tom Brady</v>
      </c>
      <c r="E343">
        <f>Table1[[#This Row],[Year]]</f>
        <v>2017</v>
      </c>
      <c r="F343">
        <f>'[1]Processed Data'!F547</f>
        <v>385</v>
      </c>
      <c r="G343">
        <f>'[1]Processed Data'!G547</f>
        <v>581</v>
      </c>
      <c r="H343">
        <f>'[1]Processed Data'!H547</f>
        <v>66.3</v>
      </c>
      <c r="I343">
        <f>'[1]Processed Data'!I547</f>
        <v>32</v>
      </c>
      <c r="J343">
        <f>'[1]Processed Data'!J547</f>
        <v>8</v>
      </c>
      <c r="K343">
        <f>'[1]Processed Data'!K547</f>
        <v>35</v>
      </c>
      <c r="L343">
        <f>'[1]Processed Data'!L547</f>
        <v>25</v>
      </c>
      <c r="M343">
        <f>'[1]Processed Data'!M547</f>
        <v>28</v>
      </c>
      <c r="N343">
        <f>'[1]Processed Data'!N547</f>
        <v>0</v>
      </c>
      <c r="O343">
        <f>'[1]Processed Data'!O547</f>
        <v>3</v>
      </c>
      <c r="P343">
        <f>'[1]Processed Data'!P547</f>
        <v>295.89999999999998</v>
      </c>
      <c r="Q343">
        <f>'[1]Processed Data'!Q547</f>
        <v>16</v>
      </c>
    </row>
    <row r="344" spans="2:17">
      <c r="B344">
        <f>'[1]Processed Data'!B548</f>
        <v>2017</v>
      </c>
      <c r="C344">
        <f>'[1]Processed Data'!C548</f>
        <v>4</v>
      </c>
      <c r="D344" t="str">
        <f>'[1]Processed Data'!D548</f>
        <v>Alex Smith</v>
      </c>
      <c r="E344">
        <f>Table1[[#This Row],[Year]]</f>
        <v>2017</v>
      </c>
      <c r="F344">
        <f>'[1]Processed Data'!F548</f>
        <v>341</v>
      </c>
      <c r="G344">
        <f>'[1]Processed Data'!G548</f>
        <v>505</v>
      </c>
      <c r="H344">
        <f>'[1]Processed Data'!H548</f>
        <v>67.5</v>
      </c>
      <c r="I344">
        <f>'[1]Processed Data'!I548</f>
        <v>26</v>
      </c>
      <c r="J344">
        <f>'[1]Processed Data'!J548</f>
        <v>5</v>
      </c>
      <c r="K344">
        <f>'[1]Processed Data'!K548</f>
        <v>35</v>
      </c>
      <c r="L344">
        <f>'[1]Processed Data'!L548</f>
        <v>60</v>
      </c>
      <c r="M344">
        <f>'[1]Processed Data'!M548</f>
        <v>355</v>
      </c>
      <c r="N344">
        <f>'[1]Processed Data'!N548</f>
        <v>1</v>
      </c>
      <c r="O344">
        <f>'[1]Processed Data'!O548</f>
        <v>1</v>
      </c>
      <c r="P344">
        <f>'[1]Processed Data'!P548</f>
        <v>295.10000000000002</v>
      </c>
      <c r="Q344">
        <f>'[1]Processed Data'!Q548</f>
        <v>15</v>
      </c>
    </row>
    <row r="345" spans="2:17">
      <c r="B345">
        <f>'[1]Processed Data'!B549</f>
        <v>2017</v>
      </c>
      <c r="C345">
        <f>'[1]Processed Data'!C549</f>
        <v>5</v>
      </c>
      <c r="D345" t="str">
        <f>'[1]Processed Data'!D549</f>
        <v>Carson Wentz</v>
      </c>
      <c r="E345">
        <f>Table1[[#This Row],[Year]]</f>
        <v>2017</v>
      </c>
      <c r="F345">
        <f>'[1]Processed Data'!F549</f>
        <v>265</v>
      </c>
      <c r="G345">
        <f>'[1]Processed Data'!G549</f>
        <v>440</v>
      </c>
      <c r="H345">
        <f>'[1]Processed Data'!H549</f>
        <v>60.2</v>
      </c>
      <c r="I345">
        <f>'[1]Processed Data'!I549</f>
        <v>33</v>
      </c>
      <c r="J345">
        <f>'[1]Processed Data'!J549</f>
        <v>7</v>
      </c>
      <c r="K345">
        <f>'[1]Processed Data'!K549</f>
        <v>28</v>
      </c>
      <c r="L345">
        <f>'[1]Processed Data'!L549</f>
        <v>64</v>
      </c>
      <c r="M345">
        <f>'[1]Processed Data'!M549</f>
        <v>299</v>
      </c>
      <c r="N345">
        <f>'[1]Processed Data'!N549</f>
        <v>0</v>
      </c>
      <c r="O345">
        <f>'[1]Processed Data'!O549</f>
        <v>3</v>
      </c>
      <c r="P345">
        <f>'[1]Processed Data'!P549</f>
        <v>283.7</v>
      </c>
      <c r="Q345">
        <f>'[1]Processed Data'!Q549</f>
        <v>13</v>
      </c>
    </row>
    <row r="346" spans="2:17">
      <c r="B346">
        <f>'[1]Processed Data'!B550</f>
        <v>2017</v>
      </c>
      <c r="C346">
        <f>'[1]Processed Data'!C550</f>
        <v>6</v>
      </c>
      <c r="D346" t="str">
        <f>'[1]Processed Data'!D550</f>
        <v>Kirk Cousins</v>
      </c>
      <c r="E346">
        <f>Table1[[#This Row],[Year]]</f>
        <v>2017</v>
      </c>
      <c r="F346">
        <f>'[1]Processed Data'!F550</f>
        <v>347</v>
      </c>
      <c r="G346">
        <f>'[1]Processed Data'!G550</f>
        <v>540</v>
      </c>
      <c r="H346">
        <f>'[1]Processed Data'!H550</f>
        <v>64.3</v>
      </c>
      <c r="I346">
        <f>'[1]Processed Data'!I550</f>
        <v>27</v>
      </c>
      <c r="J346">
        <f>'[1]Processed Data'!J550</f>
        <v>13</v>
      </c>
      <c r="K346">
        <f>'[1]Processed Data'!K550</f>
        <v>41</v>
      </c>
      <c r="L346">
        <f>'[1]Processed Data'!L550</f>
        <v>49</v>
      </c>
      <c r="M346">
        <f>'[1]Processed Data'!M550</f>
        <v>179</v>
      </c>
      <c r="N346">
        <f>'[1]Processed Data'!N550</f>
        <v>4</v>
      </c>
      <c r="O346">
        <f>'[1]Processed Data'!O550</f>
        <v>5</v>
      </c>
      <c r="P346">
        <f>'[1]Processed Data'!P550</f>
        <v>277.60000000000002</v>
      </c>
      <c r="Q346">
        <f>'[1]Processed Data'!Q550</f>
        <v>16</v>
      </c>
    </row>
    <row r="347" spans="2:17">
      <c r="B347">
        <f>'[1]Processed Data'!B551</f>
        <v>2017</v>
      </c>
      <c r="C347">
        <f>'[1]Processed Data'!C551</f>
        <v>7</v>
      </c>
      <c r="D347" t="str">
        <f>'[1]Processed Data'!D551</f>
        <v>Matthew Stafford</v>
      </c>
      <c r="E347">
        <f>Table1[[#This Row],[Year]]</f>
        <v>2017</v>
      </c>
      <c r="F347">
        <f>'[1]Processed Data'!F551</f>
        <v>371</v>
      </c>
      <c r="G347">
        <f>'[1]Processed Data'!G551</f>
        <v>565</v>
      </c>
      <c r="H347">
        <f>'[1]Processed Data'!H551</f>
        <v>65.7</v>
      </c>
      <c r="I347">
        <f>'[1]Processed Data'!I551</f>
        <v>29</v>
      </c>
      <c r="J347">
        <f>'[1]Processed Data'!J551</f>
        <v>10</v>
      </c>
      <c r="K347">
        <f>'[1]Processed Data'!K551</f>
        <v>47</v>
      </c>
      <c r="L347">
        <f>'[1]Processed Data'!L551</f>
        <v>29</v>
      </c>
      <c r="M347">
        <f>'[1]Processed Data'!M551</f>
        <v>98</v>
      </c>
      <c r="N347">
        <f>'[1]Processed Data'!N551</f>
        <v>0</v>
      </c>
      <c r="O347">
        <f>'[1]Processed Data'!O551</f>
        <v>7</v>
      </c>
      <c r="P347">
        <f>'[1]Processed Data'!P551</f>
        <v>273.8</v>
      </c>
      <c r="Q347">
        <f>'[1]Processed Data'!Q551</f>
        <v>16</v>
      </c>
    </row>
    <row r="348" spans="2:17">
      <c r="B348">
        <f>'[1]Processed Data'!B552</f>
        <v>2017</v>
      </c>
      <c r="C348">
        <f>'[1]Processed Data'!C552</f>
        <v>8</v>
      </c>
      <c r="D348" t="str">
        <f>'[1]Processed Data'!D552</f>
        <v>Philip Rivers</v>
      </c>
      <c r="E348">
        <f>Table1[[#This Row],[Year]]</f>
        <v>2017</v>
      </c>
      <c r="F348">
        <f>'[1]Processed Data'!F552</f>
        <v>360</v>
      </c>
      <c r="G348">
        <f>'[1]Processed Data'!G552</f>
        <v>575</v>
      </c>
      <c r="H348">
        <f>'[1]Processed Data'!H552</f>
        <v>62.6</v>
      </c>
      <c r="I348">
        <f>'[1]Processed Data'!I552</f>
        <v>28</v>
      </c>
      <c r="J348">
        <f>'[1]Processed Data'!J552</f>
        <v>10</v>
      </c>
      <c r="K348">
        <f>'[1]Processed Data'!K552</f>
        <v>18</v>
      </c>
      <c r="L348">
        <f>'[1]Processed Data'!L552</f>
        <v>18</v>
      </c>
      <c r="M348">
        <f>'[1]Processed Data'!M552</f>
        <v>-2</v>
      </c>
      <c r="N348">
        <f>'[1]Processed Data'!N552</f>
        <v>0</v>
      </c>
      <c r="O348">
        <f>'[1]Processed Data'!O552</f>
        <v>1</v>
      </c>
      <c r="P348">
        <f>'[1]Processed Data'!P552</f>
        <v>270.5</v>
      </c>
      <c r="Q348">
        <f>'[1]Processed Data'!Q552</f>
        <v>16</v>
      </c>
    </row>
    <row r="349" spans="2:17">
      <c r="B349">
        <f>'[1]Processed Data'!B553</f>
        <v>2017</v>
      </c>
      <c r="C349">
        <f>'[1]Processed Data'!C553</f>
        <v>9</v>
      </c>
      <c r="D349" t="str">
        <f>'[1]Processed Data'!D553</f>
        <v>Drew Brees</v>
      </c>
      <c r="E349">
        <f>Table1[[#This Row],[Year]]</f>
        <v>2017</v>
      </c>
      <c r="F349">
        <f>'[1]Processed Data'!F553</f>
        <v>386</v>
      </c>
      <c r="G349">
        <f>'[1]Processed Data'!G553</f>
        <v>536</v>
      </c>
      <c r="H349">
        <f>'[1]Processed Data'!H553</f>
        <v>72</v>
      </c>
      <c r="I349">
        <f>'[1]Processed Data'!I553</f>
        <v>23</v>
      </c>
      <c r="J349">
        <f>'[1]Processed Data'!J553</f>
        <v>8</v>
      </c>
      <c r="K349">
        <f>'[1]Processed Data'!K553</f>
        <v>20</v>
      </c>
      <c r="L349">
        <f>'[1]Processed Data'!L553</f>
        <v>33</v>
      </c>
      <c r="M349">
        <f>'[1]Processed Data'!M553</f>
        <v>12</v>
      </c>
      <c r="N349">
        <f>'[1]Processed Data'!N553</f>
        <v>2</v>
      </c>
      <c r="O349">
        <f>'[1]Processed Data'!O553</f>
        <v>0</v>
      </c>
      <c r="P349">
        <f>'[1]Processed Data'!P553</f>
        <v>262.60000000000002</v>
      </c>
      <c r="Q349">
        <f>'[1]Processed Data'!Q553</f>
        <v>16</v>
      </c>
    </row>
    <row r="350" spans="2:17">
      <c r="B350">
        <f>'[1]Processed Data'!B554</f>
        <v>2017</v>
      </c>
      <c r="C350">
        <f>'[1]Processed Data'!C554</f>
        <v>10</v>
      </c>
      <c r="D350" t="str">
        <f>'[1]Processed Data'!D554</f>
        <v>Dak Prescott</v>
      </c>
      <c r="E350">
        <f>Table1[[#This Row],[Year]]</f>
        <v>2017</v>
      </c>
      <c r="F350">
        <f>'[1]Processed Data'!F554</f>
        <v>308</v>
      </c>
      <c r="G350">
        <f>'[1]Processed Data'!G554</f>
        <v>490</v>
      </c>
      <c r="H350">
        <f>'[1]Processed Data'!H554</f>
        <v>62.9</v>
      </c>
      <c r="I350">
        <f>'[1]Processed Data'!I554</f>
        <v>22</v>
      </c>
      <c r="J350">
        <f>'[1]Processed Data'!J554</f>
        <v>13</v>
      </c>
      <c r="K350">
        <f>'[1]Processed Data'!K554</f>
        <v>32</v>
      </c>
      <c r="L350">
        <f>'[1]Processed Data'!L554</f>
        <v>57</v>
      </c>
      <c r="M350">
        <f>'[1]Processed Data'!M554</f>
        <v>357</v>
      </c>
      <c r="N350">
        <f>'[1]Processed Data'!N554</f>
        <v>6</v>
      </c>
      <c r="O350">
        <f>'[1]Processed Data'!O554</f>
        <v>3</v>
      </c>
      <c r="P350">
        <f>'[1]Processed Data'!P554</f>
        <v>260.8</v>
      </c>
      <c r="Q350">
        <f>'[1]Processed Data'!Q554</f>
        <v>16</v>
      </c>
    </row>
    <row r="351" spans="2:17">
      <c r="B351">
        <f>'[1]Processed Data'!B555</f>
        <v>2017</v>
      </c>
      <c r="C351">
        <f>'[1]Processed Data'!C555</f>
        <v>11</v>
      </c>
      <c r="D351" t="str">
        <f>'[1]Processed Data'!D555</f>
        <v>Ben Roethlisberger</v>
      </c>
      <c r="E351">
        <f>Table1[[#This Row],[Year]]</f>
        <v>2017</v>
      </c>
      <c r="F351">
        <f>'[1]Processed Data'!F555</f>
        <v>360</v>
      </c>
      <c r="G351">
        <f>'[1]Processed Data'!G555</f>
        <v>561</v>
      </c>
      <c r="H351">
        <f>'[1]Processed Data'!H555</f>
        <v>64.2</v>
      </c>
      <c r="I351">
        <f>'[1]Processed Data'!I555</f>
        <v>28</v>
      </c>
      <c r="J351">
        <f>'[1]Processed Data'!J555</f>
        <v>14</v>
      </c>
      <c r="K351">
        <f>'[1]Processed Data'!K555</f>
        <v>21</v>
      </c>
      <c r="L351">
        <f>'[1]Processed Data'!L555</f>
        <v>28</v>
      </c>
      <c r="M351">
        <f>'[1]Processed Data'!M555</f>
        <v>47</v>
      </c>
      <c r="N351">
        <f>'[1]Processed Data'!N555</f>
        <v>0</v>
      </c>
      <c r="O351">
        <f>'[1]Processed Data'!O555</f>
        <v>1</v>
      </c>
      <c r="P351">
        <f>'[1]Processed Data'!P555</f>
        <v>260.60000000000002</v>
      </c>
      <c r="Q351">
        <f>'[1]Processed Data'!Q555</f>
        <v>15</v>
      </c>
    </row>
    <row r="352" spans="2:17">
      <c r="B352">
        <f>'[1]Processed Data'!B556</f>
        <v>2017</v>
      </c>
      <c r="C352">
        <f>'[1]Processed Data'!C556</f>
        <v>12</v>
      </c>
      <c r="D352" t="str">
        <f>'[1]Processed Data'!D556</f>
        <v>Jared Goff</v>
      </c>
      <c r="E352">
        <f>Table1[[#This Row],[Year]]</f>
        <v>2017</v>
      </c>
      <c r="F352">
        <f>'[1]Processed Data'!F556</f>
        <v>296</v>
      </c>
      <c r="G352">
        <f>'[1]Processed Data'!G556</f>
        <v>477</v>
      </c>
      <c r="H352">
        <f>'[1]Processed Data'!H556</f>
        <v>62.1</v>
      </c>
      <c r="I352">
        <f>'[1]Processed Data'!I556</f>
        <v>28</v>
      </c>
      <c r="J352">
        <f>'[1]Processed Data'!J556</f>
        <v>7</v>
      </c>
      <c r="K352">
        <f>'[1]Processed Data'!K556</f>
        <v>25</v>
      </c>
      <c r="L352">
        <f>'[1]Processed Data'!L556</f>
        <v>28</v>
      </c>
      <c r="M352">
        <f>'[1]Processed Data'!M556</f>
        <v>51</v>
      </c>
      <c r="N352">
        <f>'[1]Processed Data'!N556</f>
        <v>1</v>
      </c>
      <c r="O352">
        <f>'[1]Processed Data'!O556</f>
        <v>3</v>
      </c>
      <c r="P352">
        <f>'[1]Processed Data'!P556</f>
        <v>255.5</v>
      </c>
      <c r="Q352">
        <f>'[1]Processed Data'!Q556</f>
        <v>15</v>
      </c>
    </row>
    <row r="353" spans="2:17">
      <c r="B353">
        <f>'[1]Processed Data'!B557</f>
        <v>2017</v>
      </c>
      <c r="C353">
        <f>'[1]Processed Data'!C557</f>
        <v>13</v>
      </c>
      <c r="D353" t="str">
        <f>'[1]Processed Data'!D557</f>
        <v>Blake Bortles</v>
      </c>
      <c r="E353">
        <f>Table1[[#This Row],[Year]]</f>
        <v>2017</v>
      </c>
      <c r="F353">
        <f>'[1]Processed Data'!F557</f>
        <v>315</v>
      </c>
      <c r="G353">
        <f>'[1]Processed Data'!G557</f>
        <v>523</v>
      </c>
      <c r="H353">
        <f>'[1]Processed Data'!H557</f>
        <v>60.2</v>
      </c>
      <c r="I353">
        <f>'[1]Processed Data'!I557</f>
        <v>21</v>
      </c>
      <c r="J353">
        <f>'[1]Processed Data'!J557</f>
        <v>13</v>
      </c>
      <c r="K353">
        <f>'[1]Processed Data'!K557</f>
        <v>24</v>
      </c>
      <c r="L353">
        <f>'[1]Processed Data'!L557</f>
        <v>57</v>
      </c>
      <c r="M353">
        <f>'[1]Processed Data'!M557</f>
        <v>322</v>
      </c>
      <c r="N353">
        <f>'[1]Processed Data'!N557</f>
        <v>2</v>
      </c>
      <c r="O353">
        <f>'[1]Processed Data'!O557</f>
        <v>3</v>
      </c>
      <c r="P353">
        <f>'[1]Processed Data'!P557</f>
        <v>249.7</v>
      </c>
      <c r="Q353">
        <f>'[1]Processed Data'!Q557</f>
        <v>16</v>
      </c>
    </row>
    <row r="354" spans="2:17">
      <c r="B354">
        <f>'[1]Processed Data'!B558</f>
        <v>2017</v>
      </c>
      <c r="C354">
        <f>'[1]Processed Data'!C558</f>
        <v>14</v>
      </c>
      <c r="D354" t="str">
        <f>'[1]Processed Data'!D558</f>
        <v>Case Keenum</v>
      </c>
      <c r="E354">
        <f>Table1[[#This Row],[Year]]</f>
        <v>2017</v>
      </c>
      <c r="F354">
        <f>'[1]Processed Data'!F558</f>
        <v>325</v>
      </c>
      <c r="G354">
        <f>'[1]Processed Data'!G558</f>
        <v>481</v>
      </c>
      <c r="H354">
        <f>'[1]Processed Data'!H558</f>
        <v>67.599999999999994</v>
      </c>
      <c r="I354">
        <f>'[1]Processed Data'!I558</f>
        <v>22</v>
      </c>
      <c r="J354">
        <f>'[1]Processed Data'!J558</f>
        <v>7</v>
      </c>
      <c r="K354">
        <f>'[1]Processed Data'!K558</f>
        <v>22</v>
      </c>
      <c r="L354">
        <f>'[1]Processed Data'!L558</f>
        <v>40</v>
      </c>
      <c r="M354">
        <f>'[1]Processed Data'!M558</f>
        <v>160</v>
      </c>
      <c r="N354">
        <f>'[1]Processed Data'!N558</f>
        <v>1</v>
      </c>
      <c r="O354">
        <f>'[1]Processed Data'!O558</f>
        <v>1</v>
      </c>
      <c r="P354">
        <f>'[1]Processed Data'!P558</f>
        <v>238.1</v>
      </c>
      <c r="Q354">
        <f>'[1]Processed Data'!Q558</f>
        <v>15</v>
      </c>
    </row>
    <row r="355" spans="2:17">
      <c r="B355">
        <f>'[1]Processed Data'!B559</f>
        <v>2017</v>
      </c>
      <c r="C355">
        <f>'[1]Processed Data'!C559</f>
        <v>15</v>
      </c>
      <c r="D355" t="str">
        <f>'[1]Processed Data'!D559</f>
        <v>Matt Ryan</v>
      </c>
      <c r="E355">
        <f>Table1[[#This Row],[Year]]</f>
        <v>2017</v>
      </c>
      <c r="F355">
        <f>'[1]Processed Data'!F559</f>
        <v>342</v>
      </c>
      <c r="G355">
        <f>'[1]Processed Data'!G559</f>
        <v>529</v>
      </c>
      <c r="H355">
        <f>'[1]Processed Data'!H559</f>
        <v>64.7</v>
      </c>
      <c r="I355">
        <f>'[1]Processed Data'!I559</f>
        <v>20</v>
      </c>
      <c r="J355">
        <f>'[1]Processed Data'!J559</f>
        <v>12</v>
      </c>
      <c r="K355">
        <f>'[1]Processed Data'!K559</f>
        <v>24</v>
      </c>
      <c r="L355">
        <f>'[1]Processed Data'!L559</f>
        <v>32</v>
      </c>
      <c r="M355">
        <f>'[1]Processed Data'!M559</f>
        <v>143</v>
      </c>
      <c r="N355">
        <f>'[1]Processed Data'!N559</f>
        <v>0</v>
      </c>
      <c r="O355">
        <f>'[1]Processed Data'!O559</f>
        <v>3</v>
      </c>
      <c r="P355">
        <f>'[1]Processed Data'!P559</f>
        <v>228.1</v>
      </c>
      <c r="Q355">
        <f>'[1]Processed Data'!Q559</f>
        <v>16</v>
      </c>
    </row>
    <row r="356" spans="2:17">
      <c r="B356">
        <f>'[1]Processed Data'!B560</f>
        <v>2017</v>
      </c>
      <c r="C356">
        <f>'[1]Processed Data'!C560</f>
        <v>16</v>
      </c>
      <c r="D356" t="str">
        <f>'[1]Processed Data'!D560</f>
        <v>Tyrod Taylor</v>
      </c>
      <c r="E356">
        <f>Table1[[#This Row],[Year]]</f>
        <v>2017</v>
      </c>
      <c r="F356">
        <f>'[1]Processed Data'!F560</f>
        <v>263</v>
      </c>
      <c r="G356">
        <f>'[1]Processed Data'!G560</f>
        <v>420</v>
      </c>
      <c r="H356">
        <f>'[1]Processed Data'!H560</f>
        <v>62.6</v>
      </c>
      <c r="I356">
        <f>'[1]Processed Data'!I560</f>
        <v>14</v>
      </c>
      <c r="J356">
        <f>'[1]Processed Data'!J560</f>
        <v>4</v>
      </c>
      <c r="K356">
        <f>'[1]Processed Data'!K560</f>
        <v>46</v>
      </c>
      <c r="L356">
        <f>'[1]Processed Data'!L560</f>
        <v>84</v>
      </c>
      <c r="M356">
        <f>'[1]Processed Data'!M560</f>
        <v>427</v>
      </c>
      <c r="N356">
        <f>'[1]Processed Data'!N560</f>
        <v>4</v>
      </c>
      <c r="O356">
        <f>'[1]Processed Data'!O560</f>
        <v>2</v>
      </c>
      <c r="P356">
        <f>'[1]Processed Data'!P560</f>
        <v>222.6</v>
      </c>
      <c r="Q356">
        <f>'[1]Processed Data'!Q560</f>
        <v>15</v>
      </c>
    </row>
    <row r="357" spans="2:17">
      <c r="B357">
        <f>'[1]Processed Data'!B561</f>
        <v>2017</v>
      </c>
      <c r="C357">
        <f>'[1]Processed Data'!C561</f>
        <v>17</v>
      </c>
      <c r="D357" t="str">
        <f>'[1]Processed Data'!D561</f>
        <v>Andy Dalton</v>
      </c>
      <c r="E357">
        <f>Table1[[#This Row],[Year]]</f>
        <v>2017</v>
      </c>
      <c r="F357">
        <f>'[1]Processed Data'!F561</f>
        <v>297</v>
      </c>
      <c r="G357">
        <f>'[1]Processed Data'!G561</f>
        <v>496</v>
      </c>
      <c r="H357">
        <f>'[1]Processed Data'!H561</f>
        <v>59.9</v>
      </c>
      <c r="I357">
        <f>'[1]Processed Data'!I561</f>
        <v>25</v>
      </c>
      <c r="J357">
        <f>'[1]Processed Data'!J561</f>
        <v>12</v>
      </c>
      <c r="K357">
        <f>'[1]Processed Data'!K561</f>
        <v>39</v>
      </c>
      <c r="L357">
        <f>'[1]Processed Data'!L561</f>
        <v>38</v>
      </c>
      <c r="M357">
        <f>'[1]Processed Data'!M561</f>
        <v>99</v>
      </c>
      <c r="N357">
        <f>'[1]Processed Data'!N561</f>
        <v>0</v>
      </c>
      <c r="O357">
        <f>'[1]Processed Data'!O561</f>
        <v>4</v>
      </c>
      <c r="P357">
        <f>'[1]Processed Data'!P561</f>
        <v>210.7</v>
      </c>
      <c r="Q357">
        <f>'[1]Processed Data'!Q561</f>
        <v>16</v>
      </c>
    </row>
    <row r="358" spans="2:17">
      <c r="B358">
        <f>'[1]Processed Data'!B562</f>
        <v>2017</v>
      </c>
      <c r="C358">
        <f>'[1]Processed Data'!C562</f>
        <v>18</v>
      </c>
      <c r="D358" t="str">
        <f>'[1]Processed Data'!D562</f>
        <v>Marcus Mariota</v>
      </c>
      <c r="E358">
        <f>Table1[[#This Row],[Year]]</f>
        <v>2017</v>
      </c>
      <c r="F358">
        <f>'[1]Processed Data'!F562</f>
        <v>281</v>
      </c>
      <c r="G358">
        <f>'[1]Processed Data'!G562</f>
        <v>453</v>
      </c>
      <c r="H358">
        <f>'[1]Processed Data'!H562</f>
        <v>62</v>
      </c>
      <c r="I358">
        <f>'[1]Processed Data'!I562</f>
        <v>13</v>
      </c>
      <c r="J358">
        <f>'[1]Processed Data'!J562</f>
        <v>15</v>
      </c>
      <c r="K358">
        <f>'[1]Processed Data'!K562</f>
        <v>27</v>
      </c>
      <c r="L358">
        <f>'[1]Processed Data'!L562</f>
        <v>60</v>
      </c>
      <c r="M358">
        <f>'[1]Processed Data'!M562</f>
        <v>312</v>
      </c>
      <c r="N358">
        <f>'[1]Processed Data'!N562</f>
        <v>5</v>
      </c>
      <c r="O358">
        <f>'[1]Processed Data'!O562</f>
        <v>1</v>
      </c>
      <c r="P358">
        <f>'[1]Processed Data'!P562</f>
        <v>210.4</v>
      </c>
      <c r="Q358">
        <f>'[1]Processed Data'!Q562</f>
        <v>15</v>
      </c>
    </row>
    <row r="359" spans="2:17">
      <c r="B359">
        <f>'[1]Processed Data'!B563</f>
        <v>2017</v>
      </c>
      <c r="C359">
        <f>'[1]Processed Data'!C563</f>
        <v>19</v>
      </c>
      <c r="D359" t="str">
        <f>'[1]Processed Data'!D563</f>
        <v>Derek Carr</v>
      </c>
      <c r="E359">
        <f>Table1[[#This Row],[Year]]</f>
        <v>2017</v>
      </c>
      <c r="F359">
        <f>'[1]Processed Data'!F563</f>
        <v>323</v>
      </c>
      <c r="G359">
        <f>'[1]Processed Data'!G563</f>
        <v>515</v>
      </c>
      <c r="H359">
        <f>'[1]Processed Data'!H563</f>
        <v>62.7</v>
      </c>
      <c r="I359">
        <f>'[1]Processed Data'!I563</f>
        <v>22</v>
      </c>
      <c r="J359">
        <f>'[1]Processed Data'!J563</f>
        <v>13</v>
      </c>
      <c r="K359">
        <f>'[1]Processed Data'!K563</f>
        <v>20</v>
      </c>
      <c r="L359">
        <f>'[1]Processed Data'!L563</f>
        <v>23</v>
      </c>
      <c r="M359">
        <f>'[1]Processed Data'!M563</f>
        <v>66</v>
      </c>
      <c r="N359">
        <f>'[1]Processed Data'!N563</f>
        <v>0</v>
      </c>
      <c r="O359">
        <f>'[1]Processed Data'!O563</f>
        <v>3</v>
      </c>
      <c r="P359">
        <f>'[1]Processed Data'!P563</f>
        <v>206.3</v>
      </c>
      <c r="Q359">
        <f>'[1]Processed Data'!Q563</f>
        <v>15</v>
      </c>
    </row>
    <row r="360" spans="2:17">
      <c r="B360">
        <f>'[1]Processed Data'!B564</f>
        <v>2017</v>
      </c>
      <c r="C360">
        <f>'[1]Processed Data'!C564</f>
        <v>20</v>
      </c>
      <c r="D360" t="str">
        <f>'[1]Processed Data'!D564</f>
        <v>Jacoby Brissett</v>
      </c>
      <c r="E360">
        <f>Table1[[#This Row],[Year]]</f>
        <v>2017</v>
      </c>
      <c r="F360">
        <f>'[1]Processed Data'!F564</f>
        <v>276</v>
      </c>
      <c r="G360">
        <f>'[1]Processed Data'!G564</f>
        <v>469</v>
      </c>
      <c r="H360">
        <f>'[1]Processed Data'!H564</f>
        <v>58.8</v>
      </c>
      <c r="I360">
        <f>'[1]Processed Data'!I564</f>
        <v>13</v>
      </c>
      <c r="J360">
        <f>'[1]Processed Data'!J564</f>
        <v>7</v>
      </c>
      <c r="K360">
        <f>'[1]Processed Data'!K564</f>
        <v>52</v>
      </c>
      <c r="L360">
        <f>'[1]Processed Data'!L564</f>
        <v>63</v>
      </c>
      <c r="M360">
        <f>'[1]Processed Data'!M564</f>
        <v>260</v>
      </c>
      <c r="N360">
        <f>'[1]Processed Data'!N564</f>
        <v>4</v>
      </c>
      <c r="O360">
        <f>'[1]Processed Data'!O564</f>
        <v>3</v>
      </c>
      <c r="P360">
        <f>'[1]Processed Data'!P564</f>
        <v>206</v>
      </c>
      <c r="Q360">
        <f>'[1]Processed Data'!Q564</f>
        <v>16</v>
      </c>
    </row>
    <row r="361" spans="2:17">
      <c r="B361">
        <f>'[1]Processed Data'!B565</f>
        <v>2017</v>
      </c>
      <c r="C361">
        <f>'[1]Processed Data'!C565</f>
        <v>21</v>
      </c>
      <c r="D361" t="str">
        <f>'[1]Processed Data'!D565</f>
        <v>Josh McCown</v>
      </c>
      <c r="E361">
        <f>Table1[[#This Row],[Year]]</f>
        <v>2017</v>
      </c>
      <c r="F361">
        <f>'[1]Processed Data'!F565</f>
        <v>267</v>
      </c>
      <c r="G361">
        <f>'[1]Processed Data'!G565</f>
        <v>397</v>
      </c>
      <c r="H361">
        <f>'[1]Processed Data'!H565</f>
        <v>67.3</v>
      </c>
      <c r="I361">
        <f>'[1]Processed Data'!I565</f>
        <v>18</v>
      </c>
      <c r="J361">
        <f>'[1]Processed Data'!J565</f>
        <v>9</v>
      </c>
      <c r="K361">
        <f>'[1]Processed Data'!K565</f>
        <v>39</v>
      </c>
      <c r="L361">
        <f>'[1]Processed Data'!L565</f>
        <v>37</v>
      </c>
      <c r="M361">
        <f>'[1]Processed Data'!M565</f>
        <v>124</v>
      </c>
      <c r="N361">
        <f>'[1]Processed Data'!N565</f>
        <v>5</v>
      </c>
      <c r="O361">
        <f>'[1]Processed Data'!O565</f>
        <v>4</v>
      </c>
      <c r="P361">
        <f>'[1]Processed Data'!P565</f>
        <v>205.6</v>
      </c>
      <c r="Q361">
        <f>'[1]Processed Data'!Q565</f>
        <v>13</v>
      </c>
    </row>
    <row r="362" spans="2:17">
      <c r="B362">
        <f>'[1]Processed Data'!B566</f>
        <v>2017</v>
      </c>
      <c r="C362">
        <f>'[1]Processed Data'!C566</f>
        <v>22</v>
      </c>
      <c r="D362" t="str">
        <f>'[1]Processed Data'!D566</f>
        <v>Jameis Winston</v>
      </c>
      <c r="E362">
        <f>Table1[[#This Row],[Year]]</f>
        <v>2017</v>
      </c>
      <c r="F362">
        <f>'[1]Processed Data'!F566</f>
        <v>282</v>
      </c>
      <c r="G362">
        <f>'[1]Processed Data'!G566</f>
        <v>442</v>
      </c>
      <c r="H362">
        <f>'[1]Processed Data'!H566</f>
        <v>63.8</v>
      </c>
      <c r="I362">
        <f>'[1]Processed Data'!I566</f>
        <v>19</v>
      </c>
      <c r="J362">
        <f>'[1]Processed Data'!J566</f>
        <v>11</v>
      </c>
      <c r="K362">
        <f>'[1]Processed Data'!K566</f>
        <v>33</v>
      </c>
      <c r="L362">
        <f>'[1]Processed Data'!L566</f>
        <v>33</v>
      </c>
      <c r="M362">
        <f>'[1]Processed Data'!M566</f>
        <v>135</v>
      </c>
      <c r="N362">
        <f>'[1]Processed Data'!N566</f>
        <v>1</v>
      </c>
      <c r="O362">
        <f>'[1]Processed Data'!O566</f>
        <v>7</v>
      </c>
      <c r="P362">
        <f>'[1]Processed Data'!P566</f>
        <v>201.8</v>
      </c>
      <c r="Q362">
        <f>'[1]Processed Data'!Q566</f>
        <v>13</v>
      </c>
    </row>
    <row r="363" spans="2:17">
      <c r="B363">
        <f>'[1]Processed Data'!B567</f>
        <v>2017</v>
      </c>
      <c r="C363">
        <f>'[1]Processed Data'!C567</f>
        <v>23</v>
      </c>
      <c r="D363" t="str">
        <f>'[1]Processed Data'!D567</f>
        <v>Eli Manning</v>
      </c>
      <c r="E363">
        <f>Table1[[#This Row],[Year]]</f>
        <v>2017</v>
      </c>
      <c r="F363">
        <f>'[1]Processed Data'!F567</f>
        <v>352</v>
      </c>
      <c r="G363">
        <f>'[1]Processed Data'!G567</f>
        <v>571</v>
      </c>
      <c r="H363">
        <f>'[1]Processed Data'!H567</f>
        <v>61.6</v>
      </c>
      <c r="I363">
        <f>'[1]Processed Data'!I567</f>
        <v>19</v>
      </c>
      <c r="J363">
        <f>'[1]Processed Data'!J567</f>
        <v>13</v>
      </c>
      <c r="K363">
        <f>'[1]Processed Data'!K567</f>
        <v>31</v>
      </c>
      <c r="L363">
        <f>'[1]Processed Data'!L567</f>
        <v>12</v>
      </c>
      <c r="M363">
        <f>'[1]Processed Data'!M567</f>
        <v>26</v>
      </c>
      <c r="N363">
        <f>'[1]Processed Data'!N567</f>
        <v>1</v>
      </c>
      <c r="O363">
        <f>'[1]Processed Data'!O567</f>
        <v>5</v>
      </c>
      <c r="P363">
        <f>'[1]Processed Data'!P567</f>
        <v>187.3</v>
      </c>
      <c r="Q363">
        <f>'[1]Processed Data'!Q567</f>
        <v>15</v>
      </c>
    </row>
    <row r="364" spans="2:17">
      <c r="B364">
        <f>'[1]Processed Data'!B568</f>
        <v>2017</v>
      </c>
      <c r="C364">
        <f>'[1]Processed Data'!C568</f>
        <v>24</v>
      </c>
      <c r="D364" t="str">
        <f>'[1]Processed Data'!D568</f>
        <v>Joe Flacco</v>
      </c>
      <c r="E364">
        <f>Table1[[#This Row],[Year]]</f>
        <v>2017</v>
      </c>
      <c r="F364">
        <f>'[1]Processed Data'!F568</f>
        <v>352</v>
      </c>
      <c r="G364">
        <f>'[1]Processed Data'!G568</f>
        <v>549</v>
      </c>
      <c r="H364">
        <f>'[1]Processed Data'!H568</f>
        <v>64.099999999999994</v>
      </c>
      <c r="I364">
        <f>'[1]Processed Data'!I568</f>
        <v>18</v>
      </c>
      <c r="J364">
        <f>'[1]Processed Data'!J568</f>
        <v>13</v>
      </c>
      <c r="K364">
        <f>'[1]Processed Data'!K568</f>
        <v>27</v>
      </c>
      <c r="L364">
        <f>'[1]Processed Data'!L568</f>
        <v>25</v>
      </c>
      <c r="M364">
        <f>'[1]Processed Data'!M568</f>
        <v>54</v>
      </c>
      <c r="N364">
        <f>'[1]Processed Data'!N568</f>
        <v>1</v>
      </c>
      <c r="O364">
        <f>'[1]Processed Data'!O568</f>
        <v>0</v>
      </c>
      <c r="P364">
        <f>'[1]Processed Data'!P568</f>
        <v>184.9</v>
      </c>
      <c r="Q364">
        <f>'[1]Processed Data'!Q568</f>
        <v>16</v>
      </c>
    </row>
    <row r="365" spans="2:17">
      <c r="B365">
        <f>'[1]Processed Data'!B569</f>
        <v>2017</v>
      </c>
      <c r="C365">
        <f>'[1]Processed Data'!C569</f>
        <v>25</v>
      </c>
      <c r="D365" t="str">
        <f>'[1]Processed Data'!D569</f>
        <v>DeShone Kizer</v>
      </c>
      <c r="E365">
        <f>Table1[[#This Row],[Year]]</f>
        <v>2017</v>
      </c>
      <c r="F365">
        <f>'[1]Processed Data'!F569</f>
        <v>255</v>
      </c>
      <c r="G365">
        <f>'[1]Processed Data'!G569</f>
        <v>476</v>
      </c>
      <c r="H365">
        <f>'[1]Processed Data'!H569</f>
        <v>53.6</v>
      </c>
      <c r="I365">
        <f>'[1]Processed Data'!I569</f>
        <v>11</v>
      </c>
      <c r="J365">
        <f>'[1]Processed Data'!J569</f>
        <v>22</v>
      </c>
      <c r="K365">
        <f>'[1]Processed Data'!K569</f>
        <v>38</v>
      </c>
      <c r="L365">
        <f>'[1]Processed Data'!L569</f>
        <v>77</v>
      </c>
      <c r="M365">
        <f>'[1]Processed Data'!M569</f>
        <v>419</v>
      </c>
      <c r="N365">
        <f>'[1]Processed Data'!N569</f>
        <v>5</v>
      </c>
      <c r="O365">
        <f>'[1]Processed Data'!O569</f>
        <v>6</v>
      </c>
      <c r="P365">
        <f>'[1]Processed Data'!P569</f>
        <v>175.9</v>
      </c>
      <c r="Q365">
        <f>'[1]Processed Data'!Q569</f>
        <v>15</v>
      </c>
    </row>
    <row r="366" spans="2:17">
      <c r="B366">
        <f>'[1]Processed Data'!B570</f>
        <v>2017</v>
      </c>
      <c r="C366">
        <f>'[1]Processed Data'!C570</f>
        <v>26</v>
      </c>
      <c r="D366" t="str">
        <f>'[1]Processed Data'!D570</f>
        <v>Deshaun Watson</v>
      </c>
      <c r="E366">
        <f>Table1[[#This Row],[Year]]</f>
        <v>2017</v>
      </c>
      <c r="F366">
        <f>'[1]Processed Data'!F570</f>
        <v>126</v>
      </c>
      <c r="G366">
        <f>'[1]Processed Data'!G570</f>
        <v>204</v>
      </c>
      <c r="H366">
        <f>'[1]Processed Data'!H570</f>
        <v>61.8</v>
      </c>
      <c r="I366">
        <f>'[1]Processed Data'!I570</f>
        <v>19</v>
      </c>
      <c r="J366">
        <f>'[1]Processed Data'!J570</f>
        <v>8</v>
      </c>
      <c r="K366">
        <f>'[1]Processed Data'!K570</f>
        <v>19</v>
      </c>
      <c r="L366">
        <f>'[1]Processed Data'!L570</f>
        <v>36</v>
      </c>
      <c r="M366">
        <f>'[1]Processed Data'!M570</f>
        <v>269</v>
      </c>
      <c r="N366">
        <f>'[1]Processed Data'!N570</f>
        <v>2</v>
      </c>
      <c r="O366">
        <f>'[1]Processed Data'!O570</f>
        <v>1</v>
      </c>
      <c r="P366">
        <f>'[1]Processed Data'!P570</f>
        <v>168.8</v>
      </c>
      <c r="Q366">
        <f>'[1]Processed Data'!Q570</f>
        <v>7</v>
      </c>
    </row>
    <row r="367" spans="2:17">
      <c r="B367">
        <f>'[1]Processed Data'!B571</f>
        <v>2017</v>
      </c>
      <c r="C367">
        <f>'[1]Processed Data'!C571</f>
        <v>27</v>
      </c>
      <c r="D367" t="str">
        <f>'[1]Processed Data'!D571</f>
        <v>Jay Cutler</v>
      </c>
      <c r="E367">
        <f>Table1[[#This Row],[Year]]</f>
        <v>2017</v>
      </c>
      <c r="F367">
        <f>'[1]Processed Data'!F571</f>
        <v>266</v>
      </c>
      <c r="G367">
        <f>'[1]Processed Data'!G571</f>
        <v>429</v>
      </c>
      <c r="H367">
        <f>'[1]Processed Data'!H571</f>
        <v>62</v>
      </c>
      <c r="I367">
        <f>'[1]Processed Data'!I571</f>
        <v>19</v>
      </c>
      <c r="J367">
        <f>'[1]Processed Data'!J571</f>
        <v>14</v>
      </c>
      <c r="K367">
        <f>'[1]Processed Data'!K571</f>
        <v>20</v>
      </c>
      <c r="L367">
        <f>'[1]Processed Data'!L571</f>
        <v>19</v>
      </c>
      <c r="M367">
        <f>'[1]Processed Data'!M571</f>
        <v>32</v>
      </c>
      <c r="N367">
        <f>'[1]Processed Data'!N571</f>
        <v>0</v>
      </c>
      <c r="O367">
        <f>'[1]Processed Data'!O571</f>
        <v>0</v>
      </c>
      <c r="P367">
        <f>'[1]Processed Data'!P571</f>
        <v>157.69999999999999</v>
      </c>
      <c r="Q367">
        <f>'[1]Processed Data'!Q571</f>
        <v>14</v>
      </c>
    </row>
    <row r="368" spans="2:17">
      <c r="B368">
        <f>'[1]Processed Data'!B572</f>
        <v>2017</v>
      </c>
      <c r="C368">
        <f>'[1]Processed Data'!C572</f>
        <v>28</v>
      </c>
      <c r="D368" t="str">
        <f>'[1]Processed Data'!D572</f>
        <v>Mitchell Trubisky</v>
      </c>
      <c r="E368">
        <f>Table1[[#This Row],[Year]]</f>
        <v>2017</v>
      </c>
      <c r="F368">
        <f>'[1]Processed Data'!F572</f>
        <v>196</v>
      </c>
      <c r="G368">
        <f>'[1]Processed Data'!G572</f>
        <v>330</v>
      </c>
      <c r="H368">
        <f>'[1]Processed Data'!H572</f>
        <v>59.4</v>
      </c>
      <c r="I368">
        <f>'[1]Processed Data'!I572</f>
        <v>7</v>
      </c>
      <c r="J368">
        <f>'[1]Processed Data'!J572</f>
        <v>7</v>
      </c>
      <c r="K368">
        <f>'[1]Processed Data'!K572</f>
        <v>31</v>
      </c>
      <c r="L368">
        <f>'[1]Processed Data'!L572</f>
        <v>41</v>
      </c>
      <c r="M368">
        <f>'[1]Processed Data'!M572</f>
        <v>248</v>
      </c>
      <c r="N368">
        <f>'[1]Processed Data'!N572</f>
        <v>2</v>
      </c>
      <c r="O368">
        <f>'[1]Processed Data'!O572</f>
        <v>3</v>
      </c>
      <c r="P368">
        <f>'[1]Processed Data'!P572</f>
        <v>134.6</v>
      </c>
      <c r="Q368">
        <f>'[1]Processed Data'!Q572</f>
        <v>12</v>
      </c>
    </row>
    <row r="369" spans="2:17">
      <c r="B369">
        <f>'[1]Processed Data'!B573</f>
        <v>2017</v>
      </c>
      <c r="C369">
        <f>'[1]Processed Data'!C573</f>
        <v>29</v>
      </c>
      <c r="D369" t="str">
        <f>'[1]Processed Data'!D573</f>
        <v>Aaron Rodgers</v>
      </c>
      <c r="E369">
        <f>Table1[[#This Row],[Year]]</f>
        <v>2017</v>
      </c>
      <c r="F369">
        <f>'[1]Processed Data'!F573</f>
        <v>154</v>
      </c>
      <c r="G369">
        <f>'[1]Processed Data'!G573</f>
        <v>238</v>
      </c>
      <c r="H369">
        <f>'[1]Processed Data'!H573</f>
        <v>64.7</v>
      </c>
      <c r="I369">
        <f>'[1]Processed Data'!I573</f>
        <v>16</v>
      </c>
      <c r="J369">
        <f>'[1]Processed Data'!J573</f>
        <v>6</v>
      </c>
      <c r="K369">
        <f>'[1]Processed Data'!K573</f>
        <v>22</v>
      </c>
      <c r="L369">
        <f>'[1]Processed Data'!L573</f>
        <v>24</v>
      </c>
      <c r="M369">
        <f>'[1]Processed Data'!M573</f>
        <v>126</v>
      </c>
      <c r="N369">
        <f>'[1]Processed Data'!N573</f>
        <v>0</v>
      </c>
      <c r="O369">
        <f>'[1]Processed Data'!O573</f>
        <v>1</v>
      </c>
      <c r="P369">
        <f>'[1]Processed Data'!P573</f>
        <v>129.5</v>
      </c>
      <c r="Q369">
        <f>'[1]Processed Data'!Q573</f>
        <v>7</v>
      </c>
    </row>
    <row r="370" spans="2:17">
      <c r="B370">
        <f>'[1]Processed Data'!B574</f>
        <v>2017</v>
      </c>
      <c r="C370">
        <f>'[1]Processed Data'!C574</f>
        <v>30</v>
      </c>
      <c r="D370" t="str">
        <f>'[1]Processed Data'!D574</f>
        <v>Trevor Siemian</v>
      </c>
      <c r="E370">
        <f>Table1[[#This Row],[Year]]</f>
        <v>2017</v>
      </c>
      <c r="F370">
        <f>'[1]Processed Data'!F574</f>
        <v>206</v>
      </c>
      <c r="G370">
        <f>'[1]Processed Data'!G574</f>
        <v>349</v>
      </c>
      <c r="H370">
        <f>'[1]Processed Data'!H574</f>
        <v>59</v>
      </c>
      <c r="I370">
        <f>'[1]Processed Data'!I574</f>
        <v>12</v>
      </c>
      <c r="J370">
        <f>'[1]Processed Data'!J574</f>
        <v>14</v>
      </c>
      <c r="K370">
        <f>'[1]Processed Data'!K574</f>
        <v>33</v>
      </c>
      <c r="L370">
        <f>'[1]Processed Data'!L574</f>
        <v>31</v>
      </c>
      <c r="M370">
        <f>'[1]Processed Data'!M574</f>
        <v>127</v>
      </c>
      <c r="N370">
        <f>'[1]Processed Data'!N574</f>
        <v>1</v>
      </c>
      <c r="O370">
        <f>'[1]Processed Data'!O574</f>
        <v>2</v>
      </c>
      <c r="P370">
        <f>'[1]Processed Data'!P574</f>
        <v>126.2</v>
      </c>
      <c r="Q370">
        <f>'[1]Processed Data'!Q574</f>
        <v>11</v>
      </c>
    </row>
    <row r="371" spans="2:17">
      <c r="B371">
        <f>'[1]Processed Data'!B575</f>
        <v>2017</v>
      </c>
      <c r="C371">
        <f>'[1]Processed Data'!C575</f>
        <v>31</v>
      </c>
      <c r="D371" t="str">
        <f>'[1]Processed Data'!D575</f>
        <v>Brett Hundley</v>
      </c>
      <c r="E371">
        <f>Table1[[#This Row],[Year]]</f>
        <v>2017</v>
      </c>
      <c r="F371">
        <f>'[1]Processed Data'!F575</f>
        <v>192</v>
      </c>
      <c r="G371">
        <f>'[1]Processed Data'!G575</f>
        <v>316</v>
      </c>
      <c r="H371">
        <f>'[1]Processed Data'!H575</f>
        <v>60.8</v>
      </c>
      <c r="I371">
        <f>'[1]Processed Data'!I575</f>
        <v>9</v>
      </c>
      <c r="J371">
        <f>'[1]Processed Data'!J575</f>
        <v>12</v>
      </c>
      <c r="K371">
        <f>'[1]Processed Data'!K575</f>
        <v>29</v>
      </c>
      <c r="L371">
        <f>'[1]Processed Data'!L575</f>
        <v>36</v>
      </c>
      <c r="M371">
        <f>'[1]Processed Data'!M575</f>
        <v>270</v>
      </c>
      <c r="N371">
        <f>'[1]Processed Data'!N575</f>
        <v>2</v>
      </c>
      <c r="O371">
        <f>'[1]Processed Data'!O575</f>
        <v>2</v>
      </c>
      <c r="P371">
        <f>'[1]Processed Data'!P575</f>
        <v>124.1</v>
      </c>
      <c r="Q371">
        <f>'[1]Processed Data'!Q575</f>
        <v>11</v>
      </c>
    </row>
    <row r="372" spans="2:17">
      <c r="B372">
        <f>'[1]Processed Data'!B576</f>
        <v>2017</v>
      </c>
      <c r="C372">
        <f>'[1]Processed Data'!C576</f>
        <v>32</v>
      </c>
      <c r="D372" t="str">
        <f>'[1]Processed Data'!D576</f>
        <v>Carson Palmer</v>
      </c>
      <c r="E372">
        <f>Table1[[#This Row],[Year]]</f>
        <v>2017</v>
      </c>
      <c r="F372">
        <f>'[1]Processed Data'!F576</f>
        <v>164</v>
      </c>
      <c r="G372">
        <f>'[1]Processed Data'!G576</f>
        <v>267</v>
      </c>
      <c r="H372">
        <f>'[1]Processed Data'!H576</f>
        <v>61.4</v>
      </c>
      <c r="I372">
        <f>'[1]Processed Data'!I576</f>
        <v>9</v>
      </c>
      <c r="J372">
        <f>'[1]Processed Data'!J576</f>
        <v>7</v>
      </c>
      <c r="K372">
        <f>'[1]Processed Data'!K576</f>
        <v>22</v>
      </c>
      <c r="L372">
        <f>'[1]Processed Data'!L576</f>
        <v>14</v>
      </c>
      <c r="M372">
        <f>'[1]Processed Data'!M576</f>
        <v>12</v>
      </c>
      <c r="N372">
        <f>'[1]Processed Data'!N576</f>
        <v>0</v>
      </c>
      <c r="O372">
        <f>'[1]Processed Data'!O576</f>
        <v>0</v>
      </c>
      <c r="P372">
        <f>'[1]Processed Data'!P576</f>
        <v>102.4</v>
      </c>
      <c r="Q372">
        <f>'[1]Processed Data'!Q576</f>
        <v>7</v>
      </c>
    </row>
    <row r="373" spans="2:17">
      <c r="B373">
        <f>'[1]Processed Data'!B577</f>
        <v>2017</v>
      </c>
      <c r="C373">
        <f>'[1]Processed Data'!C577</f>
        <v>33</v>
      </c>
      <c r="D373" t="str">
        <f>'[1]Processed Data'!D577</f>
        <v>C.J. Beathard</v>
      </c>
      <c r="E373">
        <f>Table1[[#This Row],[Year]]</f>
        <v>2017</v>
      </c>
      <c r="F373">
        <f>'[1]Processed Data'!F577</f>
        <v>123</v>
      </c>
      <c r="G373">
        <f>'[1]Processed Data'!G577</f>
        <v>224</v>
      </c>
      <c r="H373">
        <f>'[1]Processed Data'!H577</f>
        <v>54.9</v>
      </c>
      <c r="I373">
        <f>'[1]Processed Data'!I577</f>
        <v>4</v>
      </c>
      <c r="J373">
        <f>'[1]Processed Data'!J577</f>
        <v>6</v>
      </c>
      <c r="K373">
        <f>'[1]Processed Data'!K577</f>
        <v>19</v>
      </c>
      <c r="L373">
        <f>'[1]Processed Data'!L577</f>
        <v>26</v>
      </c>
      <c r="M373">
        <f>'[1]Processed Data'!M577</f>
        <v>136</v>
      </c>
      <c r="N373">
        <f>'[1]Processed Data'!N577</f>
        <v>3</v>
      </c>
      <c r="O373">
        <f>'[1]Processed Data'!O577</f>
        <v>2</v>
      </c>
      <c r="P373">
        <f>'[1]Processed Data'!P577</f>
        <v>88.8</v>
      </c>
      <c r="Q373">
        <f>'[1]Processed Data'!Q577</f>
        <v>7</v>
      </c>
    </row>
    <row r="374" spans="2:17">
      <c r="B374">
        <f>'[1]Processed Data'!B578</f>
        <v>2017</v>
      </c>
      <c r="C374">
        <f>'[1]Processed Data'!C578</f>
        <v>34</v>
      </c>
      <c r="D374" t="str">
        <f>'[1]Processed Data'!D578</f>
        <v>Jimmy Garoppolo</v>
      </c>
      <c r="E374">
        <f>Table1[[#This Row],[Year]]</f>
        <v>2017</v>
      </c>
      <c r="F374">
        <f>'[1]Processed Data'!F578</f>
        <v>120</v>
      </c>
      <c r="G374">
        <f>'[1]Processed Data'!G578</f>
        <v>178</v>
      </c>
      <c r="H374">
        <f>'[1]Processed Data'!H578</f>
        <v>67.400000000000006</v>
      </c>
      <c r="I374">
        <f>'[1]Processed Data'!I578</f>
        <v>7</v>
      </c>
      <c r="J374">
        <f>'[1]Processed Data'!J578</f>
        <v>5</v>
      </c>
      <c r="K374">
        <f>'[1]Processed Data'!K578</f>
        <v>8</v>
      </c>
      <c r="L374">
        <f>'[1]Processed Data'!L578</f>
        <v>15</v>
      </c>
      <c r="M374">
        <f>'[1]Processed Data'!M578</f>
        <v>11</v>
      </c>
      <c r="N374">
        <f>'[1]Processed Data'!N578</f>
        <v>1</v>
      </c>
      <c r="O374">
        <f>'[1]Processed Data'!O578</f>
        <v>0</v>
      </c>
      <c r="P374">
        <f>'[1]Processed Data'!P578</f>
        <v>87.4</v>
      </c>
      <c r="Q374">
        <f>'[1]Processed Data'!Q578</f>
        <v>6</v>
      </c>
    </row>
    <row r="375" spans="2:17">
      <c r="B375">
        <f>'[1]Processed Data'!B579</f>
        <v>2017</v>
      </c>
      <c r="C375">
        <f>'[1]Processed Data'!C579</f>
        <v>35</v>
      </c>
      <c r="D375" t="str">
        <f>'[1]Processed Data'!D579</f>
        <v>Ryan Fitzpatrick</v>
      </c>
      <c r="E375">
        <f>Table1[[#This Row],[Year]]</f>
        <v>2017</v>
      </c>
      <c r="F375">
        <f>'[1]Processed Data'!F579</f>
        <v>96</v>
      </c>
      <c r="G375">
        <f>'[1]Processed Data'!G579</f>
        <v>163</v>
      </c>
      <c r="H375">
        <f>'[1]Processed Data'!H579</f>
        <v>58.9</v>
      </c>
      <c r="I375">
        <f>'[1]Processed Data'!I579</f>
        <v>7</v>
      </c>
      <c r="J375">
        <f>'[1]Processed Data'!J579</f>
        <v>3</v>
      </c>
      <c r="K375">
        <f>'[1]Processed Data'!K579</f>
        <v>7</v>
      </c>
      <c r="L375">
        <f>'[1]Processed Data'!L579</f>
        <v>15</v>
      </c>
      <c r="M375">
        <f>'[1]Processed Data'!M579</f>
        <v>78</v>
      </c>
      <c r="N375">
        <f>'[1]Processed Data'!N579</f>
        <v>0</v>
      </c>
      <c r="O375">
        <f>'[1]Processed Data'!O579</f>
        <v>0</v>
      </c>
      <c r="P375">
        <f>'[1]Processed Data'!P579</f>
        <v>73.7</v>
      </c>
      <c r="Q375">
        <f>'[1]Processed Data'!Q579</f>
        <v>6</v>
      </c>
    </row>
    <row r="376" spans="2:17">
      <c r="B376">
        <f>'[1]Processed Data'!B580</f>
        <v>2017</v>
      </c>
      <c r="C376">
        <f>'[1]Processed Data'!C580</f>
        <v>36</v>
      </c>
      <c r="D376" t="str">
        <f>'[1]Processed Data'!D580</f>
        <v>Brock Osweiler</v>
      </c>
      <c r="E376">
        <f>Table1[[#This Row],[Year]]</f>
        <v>2017</v>
      </c>
      <c r="F376">
        <f>'[1]Processed Data'!F580</f>
        <v>96</v>
      </c>
      <c r="G376">
        <f>'[1]Processed Data'!G580</f>
        <v>172</v>
      </c>
      <c r="H376">
        <f>'[1]Processed Data'!H580</f>
        <v>55.8</v>
      </c>
      <c r="I376">
        <f>'[1]Processed Data'!I580</f>
        <v>5</v>
      </c>
      <c r="J376">
        <f>'[1]Processed Data'!J580</f>
        <v>5</v>
      </c>
      <c r="K376">
        <f>'[1]Processed Data'!K580</f>
        <v>10</v>
      </c>
      <c r="L376">
        <f>'[1]Processed Data'!L580</f>
        <v>14</v>
      </c>
      <c r="M376">
        <f>'[1]Processed Data'!M580</f>
        <v>64</v>
      </c>
      <c r="N376">
        <f>'[1]Processed Data'!N580</f>
        <v>1</v>
      </c>
      <c r="O376">
        <f>'[1]Processed Data'!O580</f>
        <v>1</v>
      </c>
      <c r="P376">
        <f>'[1]Processed Data'!P580</f>
        <v>68.099999999999994</v>
      </c>
      <c r="Q376">
        <f>'[1]Processed Data'!Q580</f>
        <v>6</v>
      </c>
    </row>
    <row r="377" spans="2:17">
      <c r="B377">
        <f>'[1]Processed Data'!B581</f>
        <v>2017</v>
      </c>
      <c r="C377">
        <f>'[1]Processed Data'!C581</f>
        <v>37</v>
      </c>
      <c r="D377" t="str">
        <f>'[1]Processed Data'!D581</f>
        <v>Brian Hoyer</v>
      </c>
      <c r="E377">
        <f>Table1[[#This Row],[Year]]</f>
        <v>2017</v>
      </c>
      <c r="F377">
        <f>'[1]Processed Data'!F581</f>
        <v>123</v>
      </c>
      <c r="G377">
        <f>'[1]Processed Data'!G581</f>
        <v>211</v>
      </c>
      <c r="H377">
        <f>'[1]Processed Data'!H581</f>
        <v>58.3</v>
      </c>
      <c r="I377">
        <f>'[1]Processed Data'!I581</f>
        <v>4</v>
      </c>
      <c r="J377">
        <f>'[1]Processed Data'!J581</f>
        <v>4</v>
      </c>
      <c r="K377">
        <f>'[1]Processed Data'!K581</f>
        <v>16</v>
      </c>
      <c r="L377">
        <f>'[1]Processed Data'!L581</f>
        <v>9</v>
      </c>
      <c r="M377">
        <f>'[1]Processed Data'!M581</f>
        <v>4</v>
      </c>
      <c r="N377">
        <f>'[1]Processed Data'!N581</f>
        <v>1</v>
      </c>
      <c r="O377">
        <f>'[1]Processed Data'!O581</f>
        <v>1</v>
      </c>
      <c r="P377">
        <f>'[1]Processed Data'!P581</f>
        <v>64</v>
      </c>
      <c r="Q377">
        <f>'[1]Processed Data'!Q581</f>
        <v>11</v>
      </c>
    </row>
    <row r="378" spans="2:17">
      <c r="B378">
        <f>'[1]Processed Data'!B582</f>
        <v>2017</v>
      </c>
      <c r="C378">
        <f>'[1]Processed Data'!C582</f>
        <v>38</v>
      </c>
      <c r="D378" t="str">
        <f>'[1]Processed Data'!D582</f>
        <v>Blaine Gabbert</v>
      </c>
      <c r="E378">
        <f>Table1[[#This Row],[Year]]</f>
        <v>2017</v>
      </c>
      <c r="F378">
        <f>'[1]Processed Data'!F582</f>
        <v>95</v>
      </c>
      <c r="G378">
        <f>'[1]Processed Data'!G582</f>
        <v>171</v>
      </c>
      <c r="H378">
        <f>'[1]Processed Data'!H582</f>
        <v>55.6</v>
      </c>
      <c r="I378">
        <f>'[1]Processed Data'!I582</f>
        <v>6</v>
      </c>
      <c r="J378">
        <f>'[1]Processed Data'!J582</f>
        <v>6</v>
      </c>
      <c r="K378">
        <f>'[1]Processed Data'!K582</f>
        <v>23</v>
      </c>
      <c r="L378">
        <f>'[1]Processed Data'!L582</f>
        <v>22</v>
      </c>
      <c r="M378">
        <f>'[1]Processed Data'!M582</f>
        <v>82</v>
      </c>
      <c r="N378">
        <f>'[1]Processed Data'!N582</f>
        <v>0</v>
      </c>
      <c r="O378">
        <f>'[1]Processed Data'!O582</f>
        <v>2</v>
      </c>
      <c r="P378">
        <f>'[1]Processed Data'!P582</f>
        <v>61.6</v>
      </c>
      <c r="Q378">
        <f>'[1]Processed Data'!Q582</f>
        <v>5</v>
      </c>
    </row>
    <row r="379" spans="2:17">
      <c r="B379">
        <f>'[1]Processed Data'!B583</f>
        <v>2017</v>
      </c>
      <c r="C379">
        <f>'[1]Processed Data'!C583</f>
        <v>39</v>
      </c>
      <c r="D379" t="str">
        <f>'[1]Processed Data'!D583</f>
        <v>Tom Savage</v>
      </c>
      <c r="E379">
        <f>Table1[[#This Row],[Year]]</f>
        <v>2017</v>
      </c>
      <c r="F379">
        <f>'[1]Processed Data'!F583</f>
        <v>125</v>
      </c>
      <c r="G379">
        <f>'[1]Processed Data'!G583</f>
        <v>223</v>
      </c>
      <c r="H379">
        <f>'[1]Processed Data'!H583</f>
        <v>56.1</v>
      </c>
      <c r="I379">
        <f>'[1]Processed Data'!I583</f>
        <v>5</v>
      </c>
      <c r="J379">
        <f>'[1]Processed Data'!J583</f>
        <v>6</v>
      </c>
      <c r="K379">
        <f>'[1]Processed Data'!K583</f>
        <v>21</v>
      </c>
      <c r="L379">
        <f>'[1]Processed Data'!L583</f>
        <v>4</v>
      </c>
      <c r="M379">
        <f>'[1]Processed Data'!M583</f>
        <v>2</v>
      </c>
      <c r="N379">
        <f>'[1]Processed Data'!N583</f>
        <v>0</v>
      </c>
      <c r="O379">
        <f>'[1]Processed Data'!O583</f>
        <v>7</v>
      </c>
      <c r="P379">
        <f>'[1]Processed Data'!P583</f>
        <v>50.7</v>
      </c>
      <c r="Q379">
        <f>'[1]Processed Data'!Q583</f>
        <v>8</v>
      </c>
    </row>
    <row r="380" spans="2:17">
      <c r="B380">
        <f>'[1]Processed Data'!B584</f>
        <v>2017</v>
      </c>
      <c r="C380">
        <f>'[1]Processed Data'!C584</f>
        <v>40</v>
      </c>
      <c r="D380" t="str">
        <f>'[1]Processed Data'!D584</f>
        <v>Drew Stanton</v>
      </c>
      <c r="E380">
        <f>Table1[[#This Row],[Year]]</f>
        <v>2017</v>
      </c>
      <c r="F380">
        <f>'[1]Processed Data'!F584</f>
        <v>79</v>
      </c>
      <c r="G380">
        <f>'[1]Processed Data'!G584</f>
        <v>159</v>
      </c>
      <c r="H380">
        <f>'[1]Processed Data'!H584</f>
        <v>49.7</v>
      </c>
      <c r="I380">
        <f>'[1]Processed Data'!I584</f>
        <v>6</v>
      </c>
      <c r="J380">
        <f>'[1]Processed Data'!J584</f>
        <v>5</v>
      </c>
      <c r="K380">
        <f>'[1]Processed Data'!K584</f>
        <v>7</v>
      </c>
      <c r="L380">
        <f>'[1]Processed Data'!L584</f>
        <v>9</v>
      </c>
      <c r="M380">
        <f>'[1]Processed Data'!M584</f>
        <v>7</v>
      </c>
      <c r="N380">
        <f>'[1]Processed Data'!N584</f>
        <v>0</v>
      </c>
      <c r="O380">
        <f>'[1]Processed Data'!O584</f>
        <v>0</v>
      </c>
      <c r="P380">
        <f>'[1]Processed Data'!P584</f>
        <v>50.3</v>
      </c>
      <c r="Q380">
        <f>'[1]Processed Data'!Q584</f>
        <v>5</v>
      </c>
    </row>
    <row r="381" spans="2:17">
      <c r="B381">
        <f>'[1]Processed Data'!B585</f>
        <v>2017</v>
      </c>
      <c r="C381">
        <f>'[1]Processed Data'!C585</f>
        <v>41</v>
      </c>
      <c r="D381" t="str">
        <f>'[1]Processed Data'!D585</f>
        <v>Matt Moore</v>
      </c>
      <c r="E381">
        <f>Table1[[#This Row],[Year]]</f>
        <v>2017</v>
      </c>
      <c r="F381">
        <f>'[1]Processed Data'!F585</f>
        <v>78</v>
      </c>
      <c r="G381">
        <f>'[1]Processed Data'!G585</f>
        <v>127</v>
      </c>
      <c r="H381">
        <f>'[1]Processed Data'!H585</f>
        <v>61.4</v>
      </c>
      <c r="I381">
        <f>'[1]Processed Data'!I585</f>
        <v>4</v>
      </c>
      <c r="J381">
        <f>'[1]Processed Data'!J585</f>
        <v>5</v>
      </c>
      <c r="K381">
        <f>'[1]Processed Data'!K585</f>
        <v>12</v>
      </c>
      <c r="L381">
        <f>'[1]Processed Data'!L585</f>
        <v>3</v>
      </c>
      <c r="M381">
        <f>'[1]Processed Data'!M585</f>
        <v>9</v>
      </c>
      <c r="N381">
        <f>'[1]Processed Data'!N585</f>
        <v>0</v>
      </c>
      <c r="O381">
        <f>'[1]Processed Data'!O585</f>
        <v>0</v>
      </c>
      <c r="P381">
        <f>'[1]Processed Data'!P585</f>
        <v>41.3</v>
      </c>
      <c r="Q381">
        <f>'[1]Processed Data'!Q585</f>
        <v>4</v>
      </c>
    </row>
    <row r="382" spans="2:17">
      <c r="B382">
        <f>'[1]Processed Data'!B586</f>
        <v>2017</v>
      </c>
      <c r="C382">
        <f>'[1]Processed Data'!C586</f>
        <v>42</v>
      </c>
      <c r="D382" t="str">
        <f>'[1]Processed Data'!D586</f>
        <v>T.J. Yates</v>
      </c>
      <c r="E382">
        <f>Table1[[#This Row],[Year]]</f>
        <v>2017</v>
      </c>
      <c r="F382">
        <f>'[1]Processed Data'!F586</f>
        <v>47</v>
      </c>
      <c r="G382">
        <f>'[1]Processed Data'!G586</f>
        <v>97</v>
      </c>
      <c r="H382">
        <f>'[1]Processed Data'!H586</f>
        <v>48.5</v>
      </c>
      <c r="I382">
        <f>'[1]Processed Data'!I586</f>
        <v>4</v>
      </c>
      <c r="J382">
        <f>'[1]Processed Data'!J586</f>
        <v>3</v>
      </c>
      <c r="K382">
        <f>'[1]Processed Data'!K586</f>
        <v>13</v>
      </c>
      <c r="L382">
        <f>'[1]Processed Data'!L586</f>
        <v>5</v>
      </c>
      <c r="M382">
        <f>'[1]Processed Data'!M586</f>
        <v>51</v>
      </c>
      <c r="N382">
        <f>'[1]Processed Data'!N586</f>
        <v>0</v>
      </c>
      <c r="O382">
        <f>'[1]Processed Data'!O586</f>
        <v>1</v>
      </c>
      <c r="P382">
        <f>'[1]Processed Data'!P586</f>
        <v>34</v>
      </c>
      <c r="Q382">
        <f>'[1]Processed Data'!Q586</f>
        <v>4</v>
      </c>
    </row>
    <row r="383" spans="2:17">
      <c r="B383">
        <f>'[1]Processed Data'!B587</f>
        <v>2017</v>
      </c>
      <c r="C383">
        <f>'[1]Processed Data'!C587</f>
        <v>43</v>
      </c>
      <c r="D383" t="str">
        <f>'[1]Processed Data'!D587</f>
        <v>Nick Foles</v>
      </c>
      <c r="E383">
        <f>Table1[[#This Row],[Year]]</f>
        <v>2017</v>
      </c>
      <c r="F383">
        <f>'[1]Processed Data'!F587</f>
        <v>57</v>
      </c>
      <c r="G383">
        <f>'[1]Processed Data'!G587</f>
        <v>101</v>
      </c>
      <c r="H383">
        <f>'[1]Processed Data'!H587</f>
        <v>56.4</v>
      </c>
      <c r="I383">
        <f>'[1]Processed Data'!I587</f>
        <v>5</v>
      </c>
      <c r="J383">
        <f>'[1]Processed Data'!J587</f>
        <v>2</v>
      </c>
      <c r="K383">
        <f>'[1]Processed Data'!K587</f>
        <v>5</v>
      </c>
      <c r="L383">
        <f>'[1]Processed Data'!L587</f>
        <v>11</v>
      </c>
      <c r="M383">
        <f>'[1]Processed Data'!M587</f>
        <v>3</v>
      </c>
      <c r="N383">
        <f>'[1]Processed Data'!N587</f>
        <v>0</v>
      </c>
      <c r="O383">
        <f>'[1]Processed Data'!O587</f>
        <v>2</v>
      </c>
      <c r="P383">
        <f>'[1]Processed Data'!P587</f>
        <v>33.799999999999997</v>
      </c>
      <c r="Q383">
        <f>'[1]Processed Data'!Q587</f>
        <v>7</v>
      </c>
    </row>
    <row r="384" spans="2:17">
      <c r="B384">
        <f>'[1]Processed Data'!B588</f>
        <v>2017</v>
      </c>
      <c r="C384">
        <f>'[1]Processed Data'!C588</f>
        <v>44</v>
      </c>
      <c r="D384" t="str">
        <f>'[1]Processed Data'!D588</f>
        <v>Kevin Hogan</v>
      </c>
      <c r="E384">
        <f>Table1[[#This Row],[Year]]</f>
        <v>2017</v>
      </c>
      <c r="F384">
        <f>'[1]Processed Data'!F588</f>
        <v>46</v>
      </c>
      <c r="G384">
        <f>'[1]Processed Data'!G588</f>
        <v>75</v>
      </c>
      <c r="H384">
        <f>'[1]Processed Data'!H588</f>
        <v>61.3</v>
      </c>
      <c r="I384">
        <f>'[1]Processed Data'!I588</f>
        <v>4</v>
      </c>
      <c r="J384">
        <f>'[1]Processed Data'!J588</f>
        <v>5</v>
      </c>
      <c r="K384">
        <f>'[1]Processed Data'!K588</f>
        <v>6</v>
      </c>
      <c r="L384">
        <f>'[1]Processed Data'!L588</f>
        <v>10</v>
      </c>
      <c r="M384">
        <f>'[1]Processed Data'!M588</f>
        <v>71</v>
      </c>
      <c r="N384">
        <f>'[1]Processed Data'!N588</f>
        <v>0</v>
      </c>
      <c r="O384">
        <f>'[1]Processed Data'!O588</f>
        <v>0</v>
      </c>
      <c r="P384">
        <f>'[1]Processed Data'!P588</f>
        <v>33.799999999999997</v>
      </c>
      <c r="Q384">
        <f>'[1]Processed Data'!Q588</f>
        <v>4</v>
      </c>
    </row>
    <row r="385" spans="2:17">
      <c r="B385">
        <f>'[1]Processed Data'!B589</f>
        <v>2017</v>
      </c>
      <c r="C385">
        <f>'[1]Processed Data'!C589</f>
        <v>45</v>
      </c>
      <c r="D385" t="str">
        <f>'[1]Processed Data'!D589</f>
        <v>Mike Glennon</v>
      </c>
      <c r="E385">
        <f>Table1[[#This Row],[Year]]</f>
        <v>2017</v>
      </c>
      <c r="F385">
        <f>'[1]Processed Data'!F589</f>
        <v>93</v>
      </c>
      <c r="G385">
        <f>'[1]Processed Data'!G589</f>
        <v>140</v>
      </c>
      <c r="H385">
        <f>'[1]Processed Data'!H589</f>
        <v>66.400000000000006</v>
      </c>
      <c r="I385">
        <f>'[1]Processed Data'!I589</f>
        <v>4</v>
      </c>
      <c r="J385">
        <f>'[1]Processed Data'!J589</f>
        <v>5</v>
      </c>
      <c r="K385">
        <f>'[1]Processed Data'!K589</f>
        <v>8</v>
      </c>
      <c r="L385">
        <f>'[1]Processed Data'!L589</f>
        <v>4</v>
      </c>
      <c r="M385">
        <f>'[1]Processed Data'!M589</f>
        <v>4</v>
      </c>
      <c r="N385">
        <f>'[1]Processed Data'!N589</f>
        <v>0</v>
      </c>
      <c r="O385">
        <f>'[1]Processed Data'!O589</f>
        <v>3</v>
      </c>
      <c r="P385">
        <f>'[1]Processed Data'!P589</f>
        <v>33.6</v>
      </c>
      <c r="Q385">
        <f>'[1]Processed Data'!Q589</f>
        <v>4</v>
      </c>
    </row>
    <row r="386" spans="2:17">
      <c r="B386">
        <f>'[1]Processed Data'!B590</f>
        <v>2017</v>
      </c>
      <c r="C386">
        <f>'[1]Processed Data'!C590</f>
        <v>46</v>
      </c>
      <c r="D386" t="str">
        <f>'[1]Processed Data'!D590</f>
        <v>Sam Bradford</v>
      </c>
      <c r="E386">
        <f>Table1[[#This Row],[Year]]</f>
        <v>2017</v>
      </c>
      <c r="F386">
        <f>'[1]Processed Data'!F590</f>
        <v>32</v>
      </c>
      <c r="G386">
        <f>'[1]Processed Data'!G590</f>
        <v>43</v>
      </c>
      <c r="H386">
        <f>'[1]Processed Data'!H590</f>
        <v>74.400000000000006</v>
      </c>
      <c r="I386">
        <f>'[1]Processed Data'!I590</f>
        <v>3</v>
      </c>
      <c r="J386">
        <f>'[1]Processed Data'!J590</f>
        <v>0</v>
      </c>
      <c r="K386">
        <f>'[1]Processed Data'!K590</f>
        <v>5</v>
      </c>
      <c r="L386">
        <f>'[1]Processed Data'!L590</f>
        <v>2</v>
      </c>
      <c r="M386">
        <f>'[1]Processed Data'!M590</f>
        <v>-3</v>
      </c>
      <c r="N386">
        <f>'[1]Processed Data'!N590</f>
        <v>0</v>
      </c>
      <c r="O386">
        <f>'[1]Processed Data'!O590</f>
        <v>0</v>
      </c>
      <c r="P386">
        <f>'[1]Processed Data'!P590</f>
        <v>26.9</v>
      </c>
      <c r="Q386">
        <f>'[1]Processed Data'!Q590</f>
        <v>2</v>
      </c>
    </row>
    <row r="387" spans="2:17">
      <c r="B387">
        <f>'[1]Processed Data'!B591</f>
        <v>2017</v>
      </c>
      <c r="C387">
        <f>'[1]Processed Data'!C591</f>
        <v>47</v>
      </c>
      <c r="D387" t="str">
        <f>'[1]Processed Data'!D591</f>
        <v>Bryce Petty</v>
      </c>
      <c r="E387">
        <f>Table1[[#This Row],[Year]]</f>
        <v>2017</v>
      </c>
      <c r="F387">
        <f>'[1]Processed Data'!F591</f>
        <v>55</v>
      </c>
      <c r="G387">
        <f>'[1]Processed Data'!G591</f>
        <v>112</v>
      </c>
      <c r="H387">
        <f>'[1]Processed Data'!H591</f>
        <v>49.1</v>
      </c>
      <c r="I387">
        <f>'[1]Processed Data'!I591</f>
        <v>1</v>
      </c>
      <c r="J387">
        <f>'[1]Processed Data'!J591</f>
        <v>3</v>
      </c>
      <c r="K387">
        <f>'[1]Processed Data'!K591</f>
        <v>8</v>
      </c>
      <c r="L387">
        <f>'[1]Processed Data'!L591</f>
        <v>7</v>
      </c>
      <c r="M387">
        <f>'[1]Processed Data'!M591</f>
        <v>55</v>
      </c>
      <c r="N387">
        <f>'[1]Processed Data'!N591</f>
        <v>0</v>
      </c>
      <c r="O387">
        <f>'[1]Processed Data'!O591</f>
        <v>0</v>
      </c>
      <c r="P387">
        <f>'[1]Processed Data'!P591</f>
        <v>25.4</v>
      </c>
      <c r="Q387">
        <f>'[1]Processed Data'!Q591</f>
        <v>4</v>
      </c>
    </row>
    <row r="388" spans="2:17">
      <c r="B388">
        <f>'[1]Processed Data'!B592</f>
        <v>2017</v>
      </c>
      <c r="C388">
        <f>'[1]Processed Data'!C592</f>
        <v>48</v>
      </c>
      <c r="D388" t="str">
        <f>'[1]Processed Data'!D592</f>
        <v>David Fales</v>
      </c>
      <c r="E388">
        <f>Table1[[#This Row],[Year]]</f>
        <v>2017</v>
      </c>
      <c r="F388">
        <f>'[1]Processed Data'!F592</f>
        <v>29</v>
      </c>
      <c r="G388">
        <f>'[1]Processed Data'!G592</f>
        <v>43</v>
      </c>
      <c r="H388">
        <f>'[1]Processed Data'!H592</f>
        <v>67.400000000000006</v>
      </c>
      <c r="I388">
        <f>'[1]Processed Data'!I592</f>
        <v>1</v>
      </c>
      <c r="J388">
        <f>'[1]Processed Data'!J592</f>
        <v>1</v>
      </c>
      <c r="K388">
        <f>'[1]Processed Data'!K592</f>
        <v>1</v>
      </c>
      <c r="L388">
        <f>'[1]Processed Data'!L592</f>
        <v>4</v>
      </c>
      <c r="M388">
        <f>'[1]Processed Data'!M592</f>
        <v>8</v>
      </c>
      <c r="N388">
        <f>'[1]Processed Data'!N592</f>
        <v>1</v>
      </c>
      <c r="O388">
        <f>'[1]Processed Data'!O592</f>
        <v>0</v>
      </c>
      <c r="P388">
        <f>'[1]Processed Data'!P592</f>
        <v>19.399999999999999</v>
      </c>
      <c r="Q388">
        <f>'[1]Processed Data'!Q592</f>
        <v>2</v>
      </c>
    </row>
    <row r="389" spans="2:17">
      <c r="B389">
        <f>'[1]Processed Data'!B593</f>
        <v>2017</v>
      </c>
      <c r="C389">
        <f>'[1]Processed Data'!C593</f>
        <v>49</v>
      </c>
      <c r="D389" t="str">
        <f>'[1]Processed Data'!D593</f>
        <v>Paxton Lynch</v>
      </c>
      <c r="E389">
        <f>Table1[[#This Row],[Year]]</f>
        <v>2017</v>
      </c>
      <c r="F389">
        <f>'[1]Processed Data'!F593</f>
        <v>30</v>
      </c>
      <c r="G389">
        <f>'[1]Processed Data'!G593</f>
        <v>45</v>
      </c>
      <c r="H389">
        <f>'[1]Processed Data'!H593</f>
        <v>66.7</v>
      </c>
      <c r="I389">
        <f>'[1]Processed Data'!I593</f>
        <v>2</v>
      </c>
      <c r="J389">
        <f>'[1]Processed Data'!J593</f>
        <v>3</v>
      </c>
      <c r="K389">
        <f>'[1]Processed Data'!K593</f>
        <v>9</v>
      </c>
      <c r="L389">
        <f>'[1]Processed Data'!L593</f>
        <v>5</v>
      </c>
      <c r="M389">
        <f>'[1]Processed Data'!M593</f>
        <v>30</v>
      </c>
      <c r="N389">
        <f>'[1]Processed Data'!N593</f>
        <v>0</v>
      </c>
      <c r="O389">
        <f>'[1]Processed Data'!O593</f>
        <v>1</v>
      </c>
      <c r="P389">
        <f>'[1]Processed Data'!P593</f>
        <v>15.1</v>
      </c>
      <c r="Q389">
        <f>'[1]Processed Data'!Q593</f>
        <v>2</v>
      </c>
    </row>
    <row r="390" spans="2:17">
      <c r="B390">
        <f>'[1]Processed Data'!B594</f>
        <v>2017</v>
      </c>
      <c r="C390">
        <f>'[1]Processed Data'!C594</f>
        <v>50</v>
      </c>
      <c r="D390" t="str">
        <f>'[1]Processed Data'!D594</f>
        <v>E.J. Manuel</v>
      </c>
      <c r="E390">
        <f>Table1[[#This Row],[Year]]</f>
        <v>2017</v>
      </c>
      <c r="F390">
        <f>'[1]Processed Data'!F594</f>
        <v>24</v>
      </c>
      <c r="G390">
        <f>'[1]Processed Data'!G594</f>
        <v>43</v>
      </c>
      <c r="H390">
        <f>'[1]Processed Data'!H594</f>
        <v>55.8</v>
      </c>
      <c r="I390">
        <f>'[1]Processed Data'!I594</f>
        <v>1</v>
      </c>
      <c r="J390">
        <f>'[1]Processed Data'!J594</f>
        <v>1</v>
      </c>
      <c r="K390">
        <f>'[1]Processed Data'!K594</f>
        <v>4</v>
      </c>
      <c r="L390">
        <f>'[1]Processed Data'!L594</f>
        <v>2</v>
      </c>
      <c r="M390">
        <f>'[1]Processed Data'!M594</f>
        <v>15</v>
      </c>
      <c r="N390">
        <f>'[1]Processed Data'!N594</f>
        <v>0</v>
      </c>
      <c r="O390">
        <f>'[1]Processed Data'!O594</f>
        <v>0</v>
      </c>
      <c r="P390">
        <f>'[1]Processed Data'!P594</f>
        <v>14.1</v>
      </c>
      <c r="Q390">
        <f>'[1]Processed Data'!Q594</f>
        <v>2</v>
      </c>
    </row>
    <row r="391" spans="2:17">
      <c r="B391">
        <f>'[1]Processed Data'!B595</f>
        <v>2017</v>
      </c>
      <c r="C391">
        <f>'[1]Processed Data'!C595</f>
        <v>51</v>
      </c>
      <c r="D391" t="str">
        <f>'[1]Processed Data'!D595</f>
        <v>Patrick Mahomes II</v>
      </c>
      <c r="E391">
        <f>Table1[[#This Row],[Year]]</f>
        <v>2017</v>
      </c>
      <c r="F391">
        <f>'[1]Processed Data'!F595</f>
        <v>22</v>
      </c>
      <c r="G391">
        <f>'[1]Processed Data'!G595</f>
        <v>35</v>
      </c>
      <c r="H391">
        <f>'[1]Processed Data'!H595</f>
        <v>62.9</v>
      </c>
      <c r="I391">
        <f>'[1]Processed Data'!I595</f>
        <v>0</v>
      </c>
      <c r="J391">
        <f>'[1]Processed Data'!J595</f>
        <v>1</v>
      </c>
      <c r="K391">
        <f>'[1]Processed Data'!K595</f>
        <v>2</v>
      </c>
      <c r="L391">
        <f>'[1]Processed Data'!L595</f>
        <v>7</v>
      </c>
      <c r="M391">
        <f>'[1]Processed Data'!M595</f>
        <v>10</v>
      </c>
      <c r="N391">
        <f>'[1]Processed Data'!N595</f>
        <v>0</v>
      </c>
      <c r="O391">
        <f>'[1]Processed Data'!O595</f>
        <v>0</v>
      </c>
      <c r="P391">
        <f>'[1]Processed Data'!P595</f>
        <v>10.4</v>
      </c>
      <c r="Q391">
        <f>'[1]Processed Data'!Q595</f>
        <v>1</v>
      </c>
    </row>
    <row r="392" spans="2:17">
      <c r="B392">
        <f>'[1]Processed Data'!B596</f>
        <v>2017</v>
      </c>
      <c r="C392">
        <f>'[1]Processed Data'!C596</f>
        <v>52</v>
      </c>
      <c r="D392" t="str">
        <f>'[1]Processed Data'!D596</f>
        <v>Nathan Peterman</v>
      </c>
      <c r="E392">
        <f>Table1[[#This Row],[Year]]</f>
        <v>2017</v>
      </c>
      <c r="F392">
        <f>'[1]Processed Data'!F596</f>
        <v>24</v>
      </c>
      <c r="G392">
        <f>'[1]Processed Data'!G596</f>
        <v>49</v>
      </c>
      <c r="H392">
        <f>'[1]Processed Data'!H596</f>
        <v>49</v>
      </c>
      <c r="I392">
        <f>'[1]Processed Data'!I596</f>
        <v>2</v>
      </c>
      <c r="J392">
        <f>'[1]Processed Data'!J596</f>
        <v>5</v>
      </c>
      <c r="K392">
        <f>'[1]Processed Data'!K596</f>
        <v>1</v>
      </c>
      <c r="L392">
        <f>'[1]Processed Data'!L596</f>
        <v>7</v>
      </c>
      <c r="M392">
        <f>'[1]Processed Data'!M596</f>
        <v>23</v>
      </c>
      <c r="N392">
        <f>'[1]Processed Data'!N596</f>
        <v>0</v>
      </c>
      <c r="O392">
        <f>'[1]Processed Data'!O596</f>
        <v>0</v>
      </c>
      <c r="P392">
        <f>'[1]Processed Data'!P596</f>
        <v>10.4</v>
      </c>
      <c r="Q392">
        <f>'[1]Processed Data'!Q596</f>
        <v>4</v>
      </c>
    </row>
    <row r="393" spans="2:17">
      <c r="B393">
        <f>'[1]Processed Data'!B597</f>
        <v>2017</v>
      </c>
      <c r="C393">
        <f>'[1]Processed Data'!C597</f>
        <v>53</v>
      </c>
      <c r="D393" t="str">
        <f>'[1]Processed Data'!D597</f>
        <v>Ryan Mallett</v>
      </c>
      <c r="E393">
        <f>Table1[[#This Row],[Year]]</f>
        <v>2017</v>
      </c>
      <c r="F393">
        <f>'[1]Processed Data'!F597</f>
        <v>9</v>
      </c>
      <c r="G393">
        <f>'[1]Processed Data'!G597</f>
        <v>16</v>
      </c>
      <c r="H393">
        <f>'[1]Processed Data'!H597</f>
        <v>56.3</v>
      </c>
      <c r="I393">
        <f>'[1]Processed Data'!I597</f>
        <v>2</v>
      </c>
      <c r="J393">
        <f>'[1]Processed Data'!J597</f>
        <v>0</v>
      </c>
      <c r="K393">
        <f>'[1]Processed Data'!K597</f>
        <v>0</v>
      </c>
      <c r="L393">
        <f>'[1]Processed Data'!L597</f>
        <v>4</v>
      </c>
      <c r="M393">
        <f>'[1]Processed Data'!M597</f>
        <v>-3</v>
      </c>
      <c r="N393">
        <f>'[1]Processed Data'!N597</f>
        <v>0</v>
      </c>
      <c r="O393">
        <f>'[1]Processed Data'!O597</f>
        <v>0</v>
      </c>
      <c r="P393">
        <f>'[1]Processed Data'!P597</f>
        <v>9.9</v>
      </c>
      <c r="Q393">
        <f>'[1]Processed Data'!Q597</f>
        <v>3</v>
      </c>
    </row>
    <row r="394" spans="2:17">
      <c r="B394">
        <f>'[1]Processed Data'!B598</f>
        <v>2017</v>
      </c>
      <c r="C394">
        <f>'[1]Processed Data'!C598</f>
        <v>54</v>
      </c>
      <c r="D394" t="str">
        <f>'[1]Processed Data'!D598</f>
        <v>Geno Smith</v>
      </c>
      <c r="E394">
        <f>Table1[[#This Row],[Year]]</f>
        <v>2017</v>
      </c>
      <c r="F394">
        <f>'[1]Processed Data'!F598</f>
        <v>21</v>
      </c>
      <c r="G394">
        <f>'[1]Processed Data'!G598</f>
        <v>36</v>
      </c>
      <c r="H394">
        <f>'[1]Processed Data'!H598</f>
        <v>58.3</v>
      </c>
      <c r="I394">
        <f>'[1]Processed Data'!I598</f>
        <v>1</v>
      </c>
      <c r="J394">
        <f>'[1]Processed Data'!J598</f>
        <v>0</v>
      </c>
      <c r="K394">
        <f>'[1]Processed Data'!K598</f>
        <v>3</v>
      </c>
      <c r="L394">
        <f>'[1]Processed Data'!L598</f>
        <v>4</v>
      </c>
      <c r="M394">
        <f>'[1]Processed Data'!M598</f>
        <v>12</v>
      </c>
      <c r="N394">
        <f>'[1]Processed Data'!N598</f>
        <v>0</v>
      </c>
      <c r="O394">
        <f>'[1]Processed Data'!O598</f>
        <v>2</v>
      </c>
      <c r="P394">
        <f>'[1]Processed Data'!P598</f>
        <v>9.6999999999999993</v>
      </c>
      <c r="Q394">
        <f>'[1]Processed Data'!Q598</f>
        <v>2</v>
      </c>
    </row>
    <row r="395" spans="2:17">
      <c r="B395">
        <f>'[1]Processed Data'!B599</f>
        <v>2017</v>
      </c>
      <c r="C395">
        <f>'[1]Processed Data'!C599</f>
        <v>55</v>
      </c>
      <c r="D395" t="str">
        <f>'[1]Processed Data'!D599</f>
        <v>Landry Jones</v>
      </c>
      <c r="E395">
        <f>Table1[[#This Row],[Year]]</f>
        <v>2017</v>
      </c>
      <c r="F395">
        <f>'[1]Processed Data'!F599</f>
        <v>23</v>
      </c>
      <c r="G395">
        <f>'[1]Processed Data'!G599</f>
        <v>28</v>
      </c>
      <c r="H395">
        <f>'[1]Processed Data'!H599</f>
        <v>82.1</v>
      </c>
      <c r="I395">
        <f>'[1]Processed Data'!I599</f>
        <v>1</v>
      </c>
      <c r="J395">
        <f>'[1]Processed Data'!J599</f>
        <v>1</v>
      </c>
      <c r="K395">
        <f>'[1]Processed Data'!K599</f>
        <v>3</v>
      </c>
      <c r="L395">
        <f>'[1]Processed Data'!L599</f>
        <v>8</v>
      </c>
      <c r="M395">
        <f>'[1]Processed Data'!M599</f>
        <v>-10</v>
      </c>
      <c r="N395">
        <f>'[1]Processed Data'!N599</f>
        <v>0</v>
      </c>
      <c r="O395">
        <f>'[1]Processed Data'!O599</f>
        <v>1</v>
      </c>
      <c r="P395">
        <f>'[1]Processed Data'!P599</f>
        <v>8.6</v>
      </c>
      <c r="Q395">
        <f>'[1]Processed Data'!Q599</f>
        <v>3</v>
      </c>
    </row>
    <row r="396" spans="2:17">
      <c r="B396">
        <f>'[1]Processed Data'!B600</f>
        <v>2017</v>
      </c>
      <c r="C396">
        <f>'[1]Processed Data'!C600</f>
        <v>56</v>
      </c>
      <c r="D396" t="str">
        <f>'[1]Processed Data'!D600</f>
        <v>Nate Sudfeld</v>
      </c>
      <c r="E396">
        <f>Table1[[#This Row],[Year]]</f>
        <v>2017</v>
      </c>
      <c r="F396">
        <f>'[1]Processed Data'!F600</f>
        <v>19</v>
      </c>
      <c r="G396">
        <f>'[1]Processed Data'!G600</f>
        <v>23</v>
      </c>
      <c r="H396">
        <f>'[1]Processed Data'!H600</f>
        <v>82.6</v>
      </c>
      <c r="I396">
        <f>'[1]Processed Data'!I600</f>
        <v>0</v>
      </c>
      <c r="J396">
        <f>'[1]Processed Data'!J600</f>
        <v>0</v>
      </c>
      <c r="K396">
        <f>'[1]Processed Data'!K600</f>
        <v>3</v>
      </c>
      <c r="L396">
        <f>'[1]Processed Data'!L600</f>
        <v>1</v>
      </c>
      <c r="M396">
        <f>'[1]Processed Data'!M600</f>
        <v>22</v>
      </c>
      <c r="N396">
        <f>'[1]Processed Data'!N600</f>
        <v>0</v>
      </c>
      <c r="O396">
        <f>'[1]Processed Data'!O600</f>
        <v>0</v>
      </c>
      <c r="P396">
        <f>'[1]Processed Data'!P600</f>
        <v>7.6</v>
      </c>
      <c r="Q396">
        <f>'[1]Processed Data'!Q600</f>
        <v>1</v>
      </c>
    </row>
    <row r="397" spans="2:17">
      <c r="B397">
        <f>'[1]Processed Data'!B601</f>
        <v>2017</v>
      </c>
      <c r="C397">
        <f>'[1]Processed Data'!C601</f>
        <v>57</v>
      </c>
      <c r="D397" t="str">
        <f>'[1]Processed Data'!D601</f>
        <v>Sean Mannion</v>
      </c>
      <c r="E397">
        <f>Table1[[#This Row],[Year]]</f>
        <v>2017</v>
      </c>
      <c r="F397">
        <f>'[1]Processed Data'!F601</f>
        <v>22</v>
      </c>
      <c r="G397">
        <f>'[1]Processed Data'!G601</f>
        <v>37</v>
      </c>
      <c r="H397">
        <f>'[1]Processed Data'!H601</f>
        <v>59.5</v>
      </c>
      <c r="I397">
        <f>'[1]Processed Data'!I601</f>
        <v>0</v>
      </c>
      <c r="J397">
        <f>'[1]Processed Data'!J601</f>
        <v>0</v>
      </c>
      <c r="K397">
        <f>'[1]Processed Data'!K601</f>
        <v>3</v>
      </c>
      <c r="L397">
        <f>'[1]Processed Data'!L601</f>
        <v>9</v>
      </c>
      <c r="M397">
        <f>'[1]Processed Data'!M601</f>
        <v>-2</v>
      </c>
      <c r="N397">
        <f>'[1]Processed Data'!N601</f>
        <v>0</v>
      </c>
      <c r="O397">
        <f>'[1]Processed Data'!O601</f>
        <v>1</v>
      </c>
      <c r="P397">
        <f>'[1]Processed Data'!P601</f>
        <v>5.3</v>
      </c>
      <c r="Q397">
        <f>'[1]Processed Data'!Q601</f>
        <v>5</v>
      </c>
    </row>
    <row r="398" spans="2:17">
      <c r="B398">
        <f>'[1]Processed Data'!B602</f>
        <v>2017</v>
      </c>
      <c r="C398">
        <f>'[1]Processed Data'!C602</f>
        <v>58</v>
      </c>
      <c r="D398" t="str">
        <f>'[1]Processed Data'!D602</f>
        <v>Joe Webb III</v>
      </c>
      <c r="E398">
        <f>Table1[[#This Row],[Year]]</f>
        <v>2017</v>
      </c>
      <c r="F398">
        <f>'[1]Processed Data'!F602</f>
        <v>2</v>
      </c>
      <c r="G398">
        <f>'[1]Processed Data'!G602</f>
        <v>7</v>
      </c>
      <c r="H398">
        <f>'[1]Processed Data'!H602</f>
        <v>28.6</v>
      </c>
      <c r="I398">
        <f>'[1]Processed Data'!I602</f>
        <v>0</v>
      </c>
      <c r="J398">
        <f>'[1]Processed Data'!J602</f>
        <v>1</v>
      </c>
      <c r="K398">
        <f>'[1]Processed Data'!K602</f>
        <v>0</v>
      </c>
      <c r="L398">
        <f>'[1]Processed Data'!L602</f>
        <v>8</v>
      </c>
      <c r="M398">
        <f>'[1]Processed Data'!M602</f>
        <v>54</v>
      </c>
      <c r="N398">
        <f>'[1]Processed Data'!N602</f>
        <v>0</v>
      </c>
      <c r="O398">
        <f>'[1]Processed Data'!O602</f>
        <v>0</v>
      </c>
      <c r="P398">
        <f>'[1]Processed Data'!P602</f>
        <v>4.8</v>
      </c>
      <c r="Q398">
        <f>'[1]Processed Data'!Q602</f>
        <v>16</v>
      </c>
    </row>
    <row r="399" spans="2:17">
      <c r="B399">
        <f>'[1]Processed Data'!B603</f>
        <v>2017</v>
      </c>
      <c r="C399">
        <f>'[1]Processed Data'!C603</f>
        <v>59</v>
      </c>
      <c r="D399" t="str">
        <f>'[1]Processed Data'!D603</f>
        <v>Cody Kessler</v>
      </c>
      <c r="E399">
        <f>Table1[[#This Row],[Year]]</f>
        <v>2017</v>
      </c>
      <c r="F399">
        <f>'[1]Processed Data'!F603</f>
        <v>11</v>
      </c>
      <c r="G399">
        <f>'[1]Processed Data'!G603</f>
        <v>23</v>
      </c>
      <c r="H399">
        <f>'[1]Processed Data'!H603</f>
        <v>47.8</v>
      </c>
      <c r="I399">
        <f>'[1]Processed Data'!I603</f>
        <v>0</v>
      </c>
      <c r="J399">
        <f>'[1]Processed Data'!J603</f>
        <v>1</v>
      </c>
      <c r="K399">
        <f>'[1]Processed Data'!K603</f>
        <v>6</v>
      </c>
      <c r="L399">
        <f>'[1]Processed Data'!L603</f>
        <v>1</v>
      </c>
      <c r="M399">
        <f>'[1]Processed Data'!M603</f>
        <v>-1</v>
      </c>
      <c r="N399">
        <f>'[1]Processed Data'!N603</f>
        <v>0</v>
      </c>
      <c r="O399">
        <f>'[1]Processed Data'!O603</f>
        <v>0</v>
      </c>
      <c r="P399">
        <f>'[1]Processed Data'!P603</f>
        <v>2.9</v>
      </c>
      <c r="Q399">
        <f>'[1]Processed Data'!Q603</f>
        <v>3</v>
      </c>
    </row>
    <row r="400" spans="2:17">
      <c r="B400">
        <f>'[1]Processed Data'!B604</f>
        <v>2017</v>
      </c>
      <c r="C400">
        <f>'[1]Processed Data'!C604</f>
        <v>60</v>
      </c>
      <c r="D400" t="str">
        <f>'[1]Processed Data'!D604</f>
        <v>AJ McCarron</v>
      </c>
      <c r="E400">
        <f>Table1[[#This Row],[Year]]</f>
        <v>2017</v>
      </c>
      <c r="F400">
        <f>'[1]Processed Data'!F604</f>
        <v>7</v>
      </c>
      <c r="G400">
        <f>'[1]Processed Data'!G604</f>
        <v>14</v>
      </c>
      <c r="H400">
        <f>'[1]Processed Data'!H604</f>
        <v>50</v>
      </c>
      <c r="I400">
        <f>'[1]Processed Data'!I604</f>
        <v>0</v>
      </c>
      <c r="J400">
        <f>'[1]Processed Data'!J604</f>
        <v>0</v>
      </c>
      <c r="K400">
        <f>'[1]Processed Data'!K604</f>
        <v>1</v>
      </c>
      <c r="L400">
        <f>'[1]Processed Data'!L604</f>
        <v>0</v>
      </c>
      <c r="M400">
        <f>'[1]Processed Data'!M604</f>
        <v>0</v>
      </c>
      <c r="N400">
        <f>'[1]Processed Data'!N604</f>
        <v>0</v>
      </c>
      <c r="O400">
        <f>'[1]Processed Data'!O604</f>
        <v>0</v>
      </c>
      <c r="P400">
        <f>'[1]Processed Data'!P604</f>
        <v>2.7</v>
      </c>
      <c r="Q400">
        <f>'[1]Processed Data'!Q604</f>
        <v>3</v>
      </c>
    </row>
    <row r="401" spans="2:17">
      <c r="B401">
        <f>'[1]Processed Data'!B605</f>
        <v>2017</v>
      </c>
      <c r="C401">
        <f>'[1]Processed Data'!C605</f>
        <v>61</v>
      </c>
      <c r="D401" t="str">
        <f>'[1]Processed Data'!D605</f>
        <v>Matt Cassel</v>
      </c>
      <c r="E401">
        <f>Table1[[#This Row],[Year]]</f>
        <v>2017</v>
      </c>
      <c r="F401">
        <f>'[1]Processed Data'!F605</f>
        <v>25</v>
      </c>
      <c r="G401">
        <f>'[1]Processed Data'!G605</f>
        <v>42</v>
      </c>
      <c r="H401">
        <f>'[1]Processed Data'!H605</f>
        <v>59.5</v>
      </c>
      <c r="I401">
        <f>'[1]Processed Data'!I605</f>
        <v>1</v>
      </c>
      <c r="J401">
        <f>'[1]Processed Data'!J605</f>
        <v>2</v>
      </c>
      <c r="K401">
        <f>'[1]Processed Data'!K605</f>
        <v>8</v>
      </c>
      <c r="L401">
        <f>'[1]Processed Data'!L605</f>
        <v>0</v>
      </c>
      <c r="M401">
        <f>'[1]Processed Data'!M605</f>
        <v>0</v>
      </c>
      <c r="N401">
        <f>'[1]Processed Data'!N605</f>
        <v>0</v>
      </c>
      <c r="O401">
        <f>'[1]Processed Data'!O605</f>
        <v>2</v>
      </c>
      <c r="P401">
        <f>'[1]Processed Data'!P605</f>
        <v>2.4</v>
      </c>
      <c r="Q401">
        <f>'[1]Processed Data'!Q605</f>
        <v>2</v>
      </c>
    </row>
    <row r="402" spans="2:17">
      <c r="B402">
        <f>'[1]Processed Data'!B606</f>
        <v>2017</v>
      </c>
      <c r="C402">
        <f>'[1]Processed Data'!C606</f>
        <v>62</v>
      </c>
      <c r="D402" t="str">
        <f>'[1]Processed Data'!D606</f>
        <v>Cooper Rush</v>
      </c>
      <c r="E402">
        <f>Table1[[#This Row],[Year]]</f>
        <v>2017</v>
      </c>
      <c r="F402">
        <f>'[1]Processed Data'!F606</f>
        <v>1</v>
      </c>
      <c r="G402">
        <f>'[1]Processed Data'!G606</f>
        <v>3</v>
      </c>
      <c r="H402">
        <f>'[1]Processed Data'!H606</f>
        <v>33.299999999999997</v>
      </c>
      <c r="I402">
        <f>'[1]Processed Data'!I606</f>
        <v>0</v>
      </c>
      <c r="J402">
        <f>'[1]Processed Data'!J606</f>
        <v>0</v>
      </c>
      <c r="K402">
        <f>'[1]Processed Data'!K606</f>
        <v>0</v>
      </c>
      <c r="L402">
        <f>'[1]Processed Data'!L606</f>
        <v>2</v>
      </c>
      <c r="M402">
        <f>'[1]Processed Data'!M606</f>
        <v>13</v>
      </c>
      <c r="N402">
        <f>'[1]Processed Data'!N606</f>
        <v>0</v>
      </c>
      <c r="O402">
        <f>'[1]Processed Data'!O606</f>
        <v>0</v>
      </c>
      <c r="P402">
        <f>'[1]Processed Data'!P606</f>
        <v>1.4</v>
      </c>
      <c r="Q402">
        <f>'[1]Processed Data'!Q606</f>
        <v>2</v>
      </c>
    </row>
    <row r="403" spans="2:17">
      <c r="B403">
        <f>'[1]Processed Data'!B607</f>
        <v>2017</v>
      </c>
      <c r="C403">
        <f>'[1]Processed Data'!C607</f>
        <v>63</v>
      </c>
      <c r="D403" t="str">
        <f>'[1]Processed Data'!D607</f>
        <v>Scott Tolzien</v>
      </c>
      <c r="E403">
        <f>Table1[[#This Row],[Year]]</f>
        <v>2017</v>
      </c>
      <c r="F403">
        <f>'[1]Processed Data'!F607</f>
        <v>9</v>
      </c>
      <c r="G403">
        <f>'[1]Processed Data'!G607</f>
        <v>18</v>
      </c>
      <c r="H403">
        <f>'[1]Processed Data'!H607</f>
        <v>50</v>
      </c>
      <c r="I403">
        <f>'[1]Processed Data'!I607</f>
        <v>0</v>
      </c>
      <c r="J403">
        <f>'[1]Processed Data'!J607</f>
        <v>2</v>
      </c>
      <c r="K403">
        <f>'[1]Processed Data'!K607</f>
        <v>4</v>
      </c>
      <c r="L403">
        <f>'[1]Processed Data'!L607</f>
        <v>2</v>
      </c>
      <c r="M403">
        <f>'[1]Processed Data'!M607</f>
        <v>2</v>
      </c>
      <c r="N403">
        <f>'[1]Processed Data'!N607</f>
        <v>0</v>
      </c>
      <c r="O403">
        <f>'[1]Processed Data'!O607</f>
        <v>0</v>
      </c>
      <c r="P403">
        <f>'[1]Processed Data'!P607</f>
        <v>1.3</v>
      </c>
      <c r="Q403">
        <f>'[1]Processed Data'!Q607</f>
        <v>1</v>
      </c>
    </row>
    <row r="404" spans="2:17">
      <c r="B404">
        <f>'[1]Processed Data'!B608</f>
        <v>2017</v>
      </c>
      <c r="C404">
        <f>'[1]Processed Data'!C608</f>
        <v>64</v>
      </c>
      <c r="D404" t="str">
        <f>'[1]Processed Data'!D608</f>
        <v>Taylor Heinicke</v>
      </c>
      <c r="E404">
        <f>Table1[[#This Row],[Year]]</f>
        <v>2017</v>
      </c>
      <c r="F404">
        <f>'[1]Processed Data'!F608</f>
        <v>1</v>
      </c>
      <c r="G404">
        <f>'[1]Processed Data'!G608</f>
        <v>1</v>
      </c>
      <c r="H404">
        <f>'[1]Processed Data'!H608</f>
        <v>100</v>
      </c>
      <c r="I404">
        <f>'[1]Processed Data'!I608</f>
        <v>0</v>
      </c>
      <c r="J404">
        <f>'[1]Processed Data'!J608</f>
        <v>0</v>
      </c>
      <c r="K404">
        <f>'[1]Processed Data'!K608</f>
        <v>1</v>
      </c>
      <c r="L404">
        <f>'[1]Processed Data'!L608</f>
        <v>1</v>
      </c>
      <c r="M404">
        <f>'[1]Processed Data'!M608</f>
        <v>2</v>
      </c>
      <c r="N404">
        <f>'[1]Processed Data'!N608</f>
        <v>0</v>
      </c>
      <c r="O404">
        <f>'[1]Processed Data'!O608</f>
        <v>0</v>
      </c>
      <c r="P404">
        <f>'[1]Processed Data'!P608</f>
        <v>0.6</v>
      </c>
      <c r="Q404">
        <f>'[1]Processed Data'!Q608</f>
        <v>1</v>
      </c>
    </row>
    <row r="405" spans="2:17">
      <c r="B405">
        <f>'[1]Processed Data'!B609</f>
        <v>2017</v>
      </c>
      <c r="C405">
        <f>'[1]Processed Data'!C609</f>
        <v>65</v>
      </c>
      <c r="D405" t="str">
        <f>'[1]Processed Data'!D609</f>
        <v>Derek Anderson</v>
      </c>
      <c r="E405">
        <f>Table1[[#This Row],[Year]]</f>
        <v>2017</v>
      </c>
      <c r="F405">
        <f>'[1]Processed Data'!F609</f>
        <v>2</v>
      </c>
      <c r="G405">
        <f>'[1]Processed Data'!G609</f>
        <v>8</v>
      </c>
      <c r="H405">
        <f>'[1]Processed Data'!H609</f>
        <v>25</v>
      </c>
      <c r="I405">
        <f>'[1]Processed Data'!I609</f>
        <v>0</v>
      </c>
      <c r="J405">
        <f>'[1]Processed Data'!J609</f>
        <v>0</v>
      </c>
      <c r="K405">
        <f>'[1]Processed Data'!K609</f>
        <v>0</v>
      </c>
      <c r="L405">
        <f>'[1]Processed Data'!L609</f>
        <v>2</v>
      </c>
      <c r="M405">
        <f>'[1]Processed Data'!M609</f>
        <v>-2</v>
      </c>
      <c r="N405">
        <f>'[1]Processed Data'!N609</f>
        <v>0</v>
      </c>
      <c r="O405">
        <f>'[1]Processed Data'!O609</f>
        <v>0</v>
      </c>
      <c r="P405">
        <f>'[1]Processed Data'!P609</f>
        <v>0.5</v>
      </c>
      <c r="Q405">
        <f>'[1]Processed Data'!Q609</f>
        <v>3</v>
      </c>
    </row>
    <row r="406" spans="2:17">
      <c r="B406">
        <f>'[1]Processed Data'!B610</f>
        <v>2017</v>
      </c>
      <c r="C406">
        <f>'[1]Processed Data'!C610</f>
        <v>66</v>
      </c>
      <c r="D406" t="str">
        <f>'[1]Processed Data'!D610</f>
        <v>Joe Callahan</v>
      </c>
      <c r="E406">
        <f>Table1[[#This Row],[Year]]</f>
        <v>2017</v>
      </c>
      <c r="F406">
        <f>'[1]Processed Data'!F610</f>
        <v>5</v>
      </c>
      <c r="G406">
        <f>'[1]Processed Data'!G610</f>
        <v>7</v>
      </c>
      <c r="H406">
        <f>'[1]Processed Data'!H610</f>
        <v>71.400000000000006</v>
      </c>
      <c r="I406">
        <f>'[1]Processed Data'!I610</f>
        <v>0</v>
      </c>
      <c r="J406">
        <f>'[1]Processed Data'!J610</f>
        <v>0</v>
      </c>
      <c r="K406">
        <f>'[1]Processed Data'!K610</f>
        <v>0</v>
      </c>
      <c r="L406">
        <f>'[1]Processed Data'!L610</f>
        <v>0</v>
      </c>
      <c r="M406">
        <f>'[1]Processed Data'!M610</f>
        <v>0</v>
      </c>
      <c r="N406">
        <f>'[1]Processed Data'!N610</f>
        <v>0</v>
      </c>
      <c r="O406">
        <f>'[1]Processed Data'!O610</f>
        <v>0</v>
      </c>
      <c r="P406">
        <f>'[1]Processed Data'!P610</f>
        <v>0.4</v>
      </c>
      <c r="Q406">
        <f>'[1]Processed Data'!Q610</f>
        <v>1</v>
      </c>
    </row>
    <row r="407" spans="2:17">
      <c r="B407">
        <f>'[1]Processed Data'!B667</f>
        <v>2017</v>
      </c>
      <c r="C407">
        <f>'[1]Processed Data'!C667</f>
        <v>123</v>
      </c>
      <c r="D407" t="str">
        <f>'[1]Processed Data'!D667</f>
        <v>Colt McCoy</v>
      </c>
      <c r="E407">
        <f>Table1[[#This Row],[Year]]</f>
        <v>2017</v>
      </c>
      <c r="F407">
        <f>'[1]Processed Data'!F667</f>
        <v>0</v>
      </c>
      <c r="G407">
        <f>'[1]Processed Data'!G667</f>
        <v>0</v>
      </c>
      <c r="H407">
        <f>'[1]Processed Data'!H667</f>
        <v>0</v>
      </c>
      <c r="I407">
        <f>'[1]Processed Data'!I667</f>
        <v>0</v>
      </c>
      <c r="J407">
        <f>'[1]Processed Data'!J667</f>
        <v>0</v>
      </c>
      <c r="K407">
        <f>'[1]Processed Data'!K667</f>
        <v>0</v>
      </c>
      <c r="L407">
        <f>'[1]Processed Data'!L667</f>
        <v>0</v>
      </c>
      <c r="M407">
        <f>'[1]Processed Data'!M667</f>
        <v>0</v>
      </c>
      <c r="N407">
        <f>'[1]Processed Data'!N667</f>
        <v>0</v>
      </c>
      <c r="O407">
        <f>'[1]Processed Data'!O667</f>
        <v>0</v>
      </c>
      <c r="P407">
        <f>'[1]Processed Data'!P667</f>
        <v>0</v>
      </c>
      <c r="Q407">
        <f>'[1]Processed Data'!Q667</f>
        <v>1</v>
      </c>
    </row>
    <row r="408" spans="2:17">
      <c r="B408">
        <f>'[1]Processed Data'!B672</f>
        <v>2017</v>
      </c>
      <c r="C408">
        <f>'[1]Processed Data'!C672</f>
        <v>128</v>
      </c>
      <c r="D408" t="str">
        <f>'[1]Processed Data'!D672</f>
        <v>Taysom Hill</v>
      </c>
      <c r="E408">
        <f>Table1[[#This Row],[Year]]</f>
        <v>2017</v>
      </c>
      <c r="F408">
        <f>'[1]Processed Data'!F672</f>
        <v>0</v>
      </c>
      <c r="G408">
        <f>'[1]Processed Data'!G672</f>
        <v>0</v>
      </c>
      <c r="H408">
        <f>'[1]Processed Data'!H672</f>
        <v>0</v>
      </c>
      <c r="I408">
        <f>'[1]Processed Data'!I672</f>
        <v>0</v>
      </c>
      <c r="J408">
        <f>'[1]Processed Data'!J672</f>
        <v>0</v>
      </c>
      <c r="K408">
        <f>'[1]Processed Data'!K672</f>
        <v>0</v>
      </c>
      <c r="L408">
        <f>'[1]Processed Data'!L672</f>
        <v>0</v>
      </c>
      <c r="M408">
        <f>'[1]Processed Data'!M672</f>
        <v>0</v>
      </c>
      <c r="N408">
        <f>'[1]Processed Data'!N672</f>
        <v>0</v>
      </c>
      <c r="O408">
        <f>'[1]Processed Data'!O672</f>
        <v>0</v>
      </c>
      <c r="P408">
        <f>'[1]Processed Data'!P672</f>
        <v>0</v>
      </c>
      <c r="Q408">
        <f>'[1]Processed Data'!Q672</f>
        <v>5</v>
      </c>
    </row>
    <row r="409" spans="2:17">
      <c r="B409">
        <f>'[1]Processed Data'!B673</f>
        <v>2017</v>
      </c>
      <c r="C409">
        <f>'[1]Processed Data'!C673</f>
        <v>129</v>
      </c>
      <c r="D409" t="str">
        <f>'[1]Processed Data'!D673</f>
        <v>Darius Hillary</v>
      </c>
      <c r="E409">
        <f>Table1[[#This Row],[Year]]</f>
        <v>2017</v>
      </c>
      <c r="F409">
        <f>'[1]Processed Data'!F673</f>
        <v>0</v>
      </c>
      <c r="G409">
        <f>'[1]Processed Data'!G673</f>
        <v>0</v>
      </c>
      <c r="H409">
        <f>'[1]Processed Data'!H673</f>
        <v>0</v>
      </c>
      <c r="I409">
        <f>'[1]Processed Data'!I673</f>
        <v>0</v>
      </c>
      <c r="J409">
        <f>'[1]Processed Data'!J673</f>
        <v>0</v>
      </c>
      <c r="K409">
        <f>'[1]Processed Data'!K673</f>
        <v>0</v>
      </c>
      <c r="L409">
        <f>'[1]Processed Data'!L673</f>
        <v>0</v>
      </c>
      <c r="M409">
        <f>'[1]Processed Data'!M673</f>
        <v>0</v>
      </c>
      <c r="N409">
        <f>'[1]Processed Data'!N673</f>
        <v>0</v>
      </c>
      <c r="O409">
        <f>'[1]Processed Data'!O673</f>
        <v>0</v>
      </c>
      <c r="P409">
        <f>'[1]Processed Data'!P673</f>
        <v>0</v>
      </c>
      <c r="Q409">
        <f>'[1]Processed Data'!Q673</f>
        <v>1</v>
      </c>
    </row>
    <row r="410" spans="2:17">
      <c r="B410">
        <f>'[1]Processed Data'!B690</f>
        <v>2017</v>
      </c>
      <c r="C410">
        <f>'[1]Processed Data'!C690</f>
        <v>146</v>
      </c>
      <c r="D410" t="str">
        <f>'[1]Processed Data'!D690</f>
        <v>Austin Davis</v>
      </c>
      <c r="E410">
        <f>Table1[[#This Row],[Year]]</f>
        <v>2017</v>
      </c>
      <c r="F410">
        <f>'[1]Processed Data'!F690</f>
        <v>0</v>
      </c>
      <c r="G410">
        <f>'[1]Processed Data'!G690</f>
        <v>0</v>
      </c>
      <c r="H410">
        <f>'[1]Processed Data'!H690</f>
        <v>0</v>
      </c>
      <c r="I410">
        <f>'[1]Processed Data'!I690</f>
        <v>0</v>
      </c>
      <c r="J410">
        <f>'[1]Processed Data'!J690</f>
        <v>0</v>
      </c>
      <c r="K410">
        <f>'[1]Processed Data'!K690</f>
        <v>0</v>
      </c>
      <c r="L410">
        <f>'[1]Processed Data'!L690</f>
        <v>1</v>
      </c>
      <c r="M410">
        <f>'[1]Processed Data'!M690</f>
        <v>-1</v>
      </c>
      <c r="N410">
        <f>'[1]Processed Data'!N690</f>
        <v>0</v>
      </c>
      <c r="O410">
        <f>'[1]Processed Data'!O690</f>
        <v>0</v>
      </c>
      <c r="P410">
        <f>'[1]Processed Data'!P690</f>
        <v>-0.1</v>
      </c>
      <c r="Q410">
        <f>'[1]Processed Data'!Q690</f>
        <v>3</v>
      </c>
    </row>
    <row r="411" spans="2:17">
      <c r="B411">
        <f>'[1]Processed Data'!B691</f>
        <v>2017</v>
      </c>
      <c r="C411">
        <f>'[1]Processed Data'!C691</f>
        <v>147</v>
      </c>
      <c r="D411" t="str">
        <f>'[1]Processed Data'!D691</f>
        <v>Chase Daniel</v>
      </c>
      <c r="E411">
        <f>Table1[[#This Row],[Year]]</f>
        <v>2017</v>
      </c>
      <c r="F411">
        <f>'[1]Processed Data'!F691</f>
        <v>0</v>
      </c>
      <c r="G411">
        <f>'[1]Processed Data'!G691</f>
        <v>0</v>
      </c>
      <c r="H411">
        <f>'[1]Processed Data'!H691</f>
        <v>0</v>
      </c>
      <c r="I411">
        <f>'[1]Processed Data'!I691</f>
        <v>0</v>
      </c>
      <c r="J411">
        <f>'[1]Processed Data'!J691</f>
        <v>0</v>
      </c>
      <c r="K411">
        <f>'[1]Processed Data'!K691</f>
        <v>0</v>
      </c>
      <c r="L411">
        <f>'[1]Processed Data'!L691</f>
        <v>3</v>
      </c>
      <c r="M411">
        <f>'[1]Processed Data'!M691</f>
        <v>-2</v>
      </c>
      <c r="N411">
        <f>'[1]Processed Data'!N691</f>
        <v>0</v>
      </c>
      <c r="O411">
        <f>'[1]Processed Data'!O691</f>
        <v>0</v>
      </c>
      <c r="P411">
        <f>'[1]Processed Data'!P691</f>
        <v>-0.2</v>
      </c>
      <c r="Q411">
        <f>'[1]Processed Data'!Q691</f>
        <v>1</v>
      </c>
    </row>
    <row r="412" spans="2:17">
      <c r="B412">
        <f>'[1]Processed Data'!B692</f>
        <v>2017</v>
      </c>
      <c r="C412">
        <f>'[1]Processed Data'!C692</f>
        <v>148</v>
      </c>
      <c r="D412" t="str">
        <f>'[1]Processed Data'!D692</f>
        <v>Chad Henne</v>
      </c>
      <c r="E412">
        <f>Table1[[#This Row],[Year]]</f>
        <v>2017</v>
      </c>
      <c r="F412">
        <f>'[1]Processed Data'!F692</f>
        <v>0</v>
      </c>
      <c r="G412">
        <f>'[1]Processed Data'!G692</f>
        <v>2</v>
      </c>
      <c r="H412">
        <f>'[1]Processed Data'!H692</f>
        <v>0</v>
      </c>
      <c r="I412">
        <f>'[1]Processed Data'!I692</f>
        <v>0</v>
      </c>
      <c r="J412">
        <f>'[1]Processed Data'!J692</f>
        <v>0</v>
      </c>
      <c r="K412">
        <f>'[1]Processed Data'!K692</f>
        <v>0</v>
      </c>
      <c r="L412">
        <f>'[1]Processed Data'!L692</f>
        <v>5</v>
      </c>
      <c r="M412">
        <f>'[1]Processed Data'!M692</f>
        <v>-5</v>
      </c>
      <c r="N412">
        <f>'[1]Processed Data'!N692</f>
        <v>0</v>
      </c>
      <c r="O412">
        <f>'[1]Processed Data'!O692</f>
        <v>0</v>
      </c>
      <c r="P412">
        <f>'[1]Processed Data'!P692</f>
        <v>-0.5</v>
      </c>
      <c r="Q412">
        <f>'[1]Processed Data'!Q692</f>
        <v>2</v>
      </c>
    </row>
    <row r="413" spans="2:17">
      <c r="B413">
        <f>'[1]Processed Data'!B693</f>
        <v>2017</v>
      </c>
      <c r="C413">
        <f>'[1]Processed Data'!C693</f>
        <v>149</v>
      </c>
      <c r="D413" t="str">
        <f>'[1]Processed Data'!D693</f>
        <v>Jake Rudock</v>
      </c>
      <c r="E413">
        <f>Table1[[#This Row],[Year]]</f>
        <v>2017</v>
      </c>
      <c r="F413">
        <f>'[1]Processed Data'!F693</f>
        <v>3</v>
      </c>
      <c r="G413">
        <f>'[1]Processed Data'!G693</f>
        <v>5</v>
      </c>
      <c r="H413">
        <f>'[1]Processed Data'!H693</f>
        <v>60</v>
      </c>
      <c r="I413">
        <f>'[1]Processed Data'!I693</f>
        <v>0</v>
      </c>
      <c r="J413">
        <f>'[1]Processed Data'!J693</f>
        <v>1</v>
      </c>
      <c r="K413">
        <f>'[1]Processed Data'!K693</f>
        <v>0</v>
      </c>
      <c r="L413">
        <f>'[1]Processed Data'!L693</f>
        <v>0</v>
      </c>
      <c r="M413">
        <f>'[1]Processed Data'!M693</f>
        <v>0</v>
      </c>
      <c r="N413">
        <f>'[1]Processed Data'!N693</f>
        <v>0</v>
      </c>
      <c r="O413">
        <f>'[1]Processed Data'!O693</f>
        <v>0</v>
      </c>
      <c r="P413">
        <f>'[1]Processed Data'!P693</f>
        <v>-1</v>
      </c>
      <c r="Q413">
        <f>'[1]Processed Data'!Q693</f>
        <v>3</v>
      </c>
    </row>
    <row r="414" spans="2:17">
      <c r="B414">
        <f>'[1]Processed Data'!B694</f>
        <v>2017</v>
      </c>
      <c r="C414">
        <f>'[1]Processed Data'!C694</f>
        <v>150</v>
      </c>
      <c r="D414" t="str">
        <f>'[1]Processed Data'!D694</f>
        <v>Kellen Clemens</v>
      </c>
      <c r="E414">
        <f>Table1[[#This Row],[Year]]</f>
        <v>2017</v>
      </c>
      <c r="F414">
        <f>'[1]Processed Data'!F694</f>
        <v>6</v>
      </c>
      <c r="G414">
        <f>'[1]Processed Data'!G694</f>
        <v>8</v>
      </c>
      <c r="H414">
        <f>'[1]Processed Data'!H694</f>
        <v>75</v>
      </c>
      <c r="I414">
        <f>'[1]Processed Data'!I694</f>
        <v>0</v>
      </c>
      <c r="J414">
        <f>'[1]Processed Data'!J694</f>
        <v>1</v>
      </c>
      <c r="K414">
        <f>'[1]Processed Data'!K694</f>
        <v>0</v>
      </c>
      <c r="L414">
        <f>'[1]Processed Data'!L694</f>
        <v>5</v>
      </c>
      <c r="M414">
        <f>'[1]Processed Data'!M694</f>
        <v>-5</v>
      </c>
      <c r="N414">
        <f>'[1]Processed Data'!N694</f>
        <v>0</v>
      </c>
      <c r="O414">
        <f>'[1]Processed Data'!O694</f>
        <v>0</v>
      </c>
      <c r="P414">
        <f>'[1]Processed Data'!P694</f>
        <v>-1.1000000000000001</v>
      </c>
      <c r="Q414">
        <f>'[1]Processed Data'!Q694</f>
        <v>8</v>
      </c>
    </row>
    <row r="415" spans="2:17">
      <c r="B415">
        <f>'[1]Processed Data'!B695</f>
        <v>2017</v>
      </c>
      <c r="C415">
        <f>'[1]Processed Data'!C695</f>
        <v>151</v>
      </c>
      <c r="D415" t="str">
        <f>'[1]Processed Data'!D695</f>
        <v>Tyler Bray</v>
      </c>
      <c r="E415">
        <f>Table1[[#This Row],[Year]]</f>
        <v>2017</v>
      </c>
      <c r="F415">
        <f>'[1]Processed Data'!F695</f>
        <v>0</v>
      </c>
      <c r="G415">
        <f>'[1]Processed Data'!G695</f>
        <v>1</v>
      </c>
      <c r="H415">
        <f>'[1]Processed Data'!H695</f>
        <v>0</v>
      </c>
      <c r="I415">
        <f>'[1]Processed Data'!I695</f>
        <v>0</v>
      </c>
      <c r="J415">
        <f>'[1]Processed Data'!J695</f>
        <v>0</v>
      </c>
      <c r="K415">
        <f>'[1]Processed Data'!K695</f>
        <v>0</v>
      </c>
      <c r="L415">
        <f>'[1]Processed Data'!L695</f>
        <v>1</v>
      </c>
      <c r="M415">
        <f>'[1]Processed Data'!M695</f>
        <v>0</v>
      </c>
      <c r="N415">
        <f>'[1]Processed Data'!N695</f>
        <v>0</v>
      </c>
      <c r="O415">
        <f>'[1]Processed Data'!O695</f>
        <v>1</v>
      </c>
      <c r="P415">
        <f>'[1]Processed Data'!P695</f>
        <v>-2</v>
      </c>
      <c r="Q415">
        <f>'[1]Processed Data'!Q695</f>
        <v>1</v>
      </c>
    </row>
    <row r="416" spans="2:17">
      <c r="B416">
        <f>'[1]Processed Data'!B696</f>
        <v>2017</v>
      </c>
      <c r="C416">
        <f>'[1]Processed Data'!C696</f>
        <v>152</v>
      </c>
      <c r="D416" t="str">
        <f>'[1]Processed Data'!D696</f>
        <v>Teddy Bridgewater</v>
      </c>
      <c r="E416">
        <f>Table1[[#This Row],[Year]]</f>
        <v>2017</v>
      </c>
      <c r="F416">
        <f>'[1]Processed Data'!F696</f>
        <v>0</v>
      </c>
      <c r="G416">
        <f>'[1]Processed Data'!G696</f>
        <v>2</v>
      </c>
      <c r="H416">
        <f>'[1]Processed Data'!H696</f>
        <v>0</v>
      </c>
      <c r="I416">
        <f>'[1]Processed Data'!I696</f>
        <v>0</v>
      </c>
      <c r="J416">
        <f>'[1]Processed Data'!J696</f>
        <v>1</v>
      </c>
      <c r="K416">
        <f>'[1]Processed Data'!K696</f>
        <v>0</v>
      </c>
      <c r="L416">
        <f>'[1]Processed Data'!L696</f>
        <v>3</v>
      </c>
      <c r="M416">
        <f>'[1]Processed Data'!M696</f>
        <v>-3</v>
      </c>
      <c r="N416">
        <f>'[1]Processed Data'!N696</f>
        <v>0</v>
      </c>
      <c r="O416">
        <f>'[1]Processed Data'!O696</f>
        <v>0</v>
      </c>
      <c r="P416">
        <f>'[1]Processed Data'!P696</f>
        <v>-2.2999999999999998</v>
      </c>
      <c r="Q416">
        <f>'[1]Processed Data'!Q696</f>
        <v>1</v>
      </c>
    </row>
    <row r="417" spans="2:17">
      <c r="B417">
        <f>'[1]Processed Data'!B697</f>
        <v>2016</v>
      </c>
      <c r="C417">
        <f>'[1]Processed Data'!C697</f>
        <v>1</v>
      </c>
      <c r="D417" t="str">
        <f>'[1]Processed Data'!D697</f>
        <v>Aaron Rodgers</v>
      </c>
      <c r="E417">
        <f>Table1[[#This Row],[Year]]</f>
        <v>2016</v>
      </c>
      <c r="F417">
        <f>'[1]Processed Data'!F697</f>
        <v>401</v>
      </c>
      <c r="G417">
        <f>'[1]Processed Data'!G697</f>
        <v>610</v>
      </c>
      <c r="H417">
        <f>'[1]Processed Data'!H697</f>
        <v>65.7</v>
      </c>
      <c r="I417">
        <f>'[1]Processed Data'!I697</f>
        <v>40</v>
      </c>
      <c r="J417">
        <f>'[1]Processed Data'!J697</f>
        <v>7</v>
      </c>
      <c r="K417">
        <f>'[1]Processed Data'!K697</f>
        <v>35</v>
      </c>
      <c r="L417">
        <f>'[1]Processed Data'!L697</f>
        <v>67</v>
      </c>
      <c r="M417">
        <f>'[1]Processed Data'!M697</f>
        <v>369</v>
      </c>
      <c r="N417">
        <f>'[1]Processed Data'!N697</f>
        <v>4</v>
      </c>
      <c r="O417">
        <f>'[1]Processed Data'!O697</f>
        <v>4</v>
      </c>
      <c r="P417">
        <f>'[1]Processed Data'!P697</f>
        <v>380</v>
      </c>
      <c r="Q417">
        <f>'[1]Processed Data'!Q697</f>
        <v>16</v>
      </c>
    </row>
    <row r="418" spans="2:17">
      <c r="B418">
        <f>'[1]Processed Data'!B698</f>
        <v>2016</v>
      </c>
      <c r="C418">
        <f>'[1]Processed Data'!C698</f>
        <v>2</v>
      </c>
      <c r="D418" t="str">
        <f>'[1]Processed Data'!D698</f>
        <v>Matt Ryan</v>
      </c>
      <c r="E418">
        <f>Table1[[#This Row],[Year]]</f>
        <v>2016</v>
      </c>
      <c r="F418">
        <f>'[1]Processed Data'!F698</f>
        <v>373</v>
      </c>
      <c r="G418">
        <f>'[1]Processed Data'!G698</f>
        <v>534</v>
      </c>
      <c r="H418">
        <f>'[1]Processed Data'!H698</f>
        <v>69.900000000000006</v>
      </c>
      <c r="I418">
        <f>'[1]Processed Data'!I698</f>
        <v>38</v>
      </c>
      <c r="J418">
        <f>'[1]Processed Data'!J698</f>
        <v>7</v>
      </c>
      <c r="K418">
        <f>'[1]Processed Data'!K698</f>
        <v>37</v>
      </c>
      <c r="L418">
        <f>'[1]Processed Data'!L698</f>
        <v>35</v>
      </c>
      <c r="M418">
        <f>'[1]Processed Data'!M698</f>
        <v>117</v>
      </c>
      <c r="N418">
        <f>'[1]Processed Data'!N698</f>
        <v>0</v>
      </c>
      <c r="O418">
        <f>'[1]Processed Data'!O698</f>
        <v>2</v>
      </c>
      <c r="P418">
        <f>'[1]Processed Data'!P698</f>
        <v>347.5</v>
      </c>
      <c r="Q418">
        <f>'[1]Processed Data'!Q698</f>
        <v>16</v>
      </c>
    </row>
    <row r="419" spans="2:17">
      <c r="B419">
        <f>'[1]Processed Data'!B699</f>
        <v>2016</v>
      </c>
      <c r="C419">
        <f>'[1]Processed Data'!C699</f>
        <v>3</v>
      </c>
      <c r="D419" t="str">
        <f>'[1]Processed Data'!D699</f>
        <v>Drew Brees</v>
      </c>
      <c r="E419">
        <f>Table1[[#This Row],[Year]]</f>
        <v>2016</v>
      </c>
      <c r="F419">
        <f>'[1]Processed Data'!F699</f>
        <v>471</v>
      </c>
      <c r="G419">
        <f>'[1]Processed Data'!G699</f>
        <v>673</v>
      </c>
      <c r="H419">
        <f>'[1]Processed Data'!H699</f>
        <v>70</v>
      </c>
      <c r="I419">
        <f>'[1]Processed Data'!I699</f>
        <v>37</v>
      </c>
      <c r="J419">
        <f>'[1]Processed Data'!J699</f>
        <v>15</v>
      </c>
      <c r="K419">
        <f>'[1]Processed Data'!K699</f>
        <v>27</v>
      </c>
      <c r="L419">
        <f>'[1]Processed Data'!L699</f>
        <v>23</v>
      </c>
      <c r="M419">
        <f>'[1]Processed Data'!M699</f>
        <v>20</v>
      </c>
      <c r="N419">
        <f>'[1]Processed Data'!N699</f>
        <v>2</v>
      </c>
      <c r="O419">
        <f>'[1]Processed Data'!O699</f>
        <v>4</v>
      </c>
      <c r="P419">
        <f>'[1]Processed Data'!P699</f>
        <v>332.3</v>
      </c>
      <c r="Q419">
        <f>'[1]Processed Data'!Q699</f>
        <v>16</v>
      </c>
    </row>
    <row r="420" spans="2:17">
      <c r="B420">
        <f>'[1]Processed Data'!B700</f>
        <v>2016</v>
      </c>
      <c r="C420">
        <f>'[1]Processed Data'!C700</f>
        <v>4</v>
      </c>
      <c r="D420" t="str">
        <f>'[1]Processed Data'!D700</f>
        <v>Andrew Luck</v>
      </c>
      <c r="E420">
        <f>Table1[[#This Row],[Year]]</f>
        <v>2016</v>
      </c>
      <c r="F420">
        <f>'[1]Processed Data'!F700</f>
        <v>346</v>
      </c>
      <c r="G420">
        <f>'[1]Processed Data'!G700</f>
        <v>545</v>
      </c>
      <c r="H420">
        <f>'[1]Processed Data'!H700</f>
        <v>63.5</v>
      </c>
      <c r="I420">
        <f>'[1]Processed Data'!I700</f>
        <v>31</v>
      </c>
      <c r="J420">
        <f>'[1]Processed Data'!J700</f>
        <v>13</v>
      </c>
      <c r="K420">
        <f>'[1]Processed Data'!K700</f>
        <v>41</v>
      </c>
      <c r="L420">
        <f>'[1]Processed Data'!L700</f>
        <v>64</v>
      </c>
      <c r="M420">
        <f>'[1]Processed Data'!M700</f>
        <v>341</v>
      </c>
      <c r="N420">
        <f>'[1]Processed Data'!N700</f>
        <v>2</v>
      </c>
      <c r="O420">
        <f>'[1]Processed Data'!O700</f>
        <v>5</v>
      </c>
      <c r="P420">
        <f>'[1]Processed Data'!P700</f>
        <v>307.60000000000002</v>
      </c>
      <c r="Q420">
        <f>'[1]Processed Data'!Q700</f>
        <v>15</v>
      </c>
    </row>
    <row r="421" spans="2:17">
      <c r="B421">
        <f>'[1]Processed Data'!B701</f>
        <v>2016</v>
      </c>
      <c r="C421">
        <f>'[1]Processed Data'!C701</f>
        <v>5</v>
      </c>
      <c r="D421" t="str">
        <f>'[1]Processed Data'!D701</f>
        <v>Kirk Cousins</v>
      </c>
      <c r="E421">
        <f>Table1[[#This Row],[Year]]</f>
        <v>2016</v>
      </c>
      <c r="F421">
        <f>'[1]Processed Data'!F701</f>
        <v>406</v>
      </c>
      <c r="G421">
        <f>'[1]Processed Data'!G701</f>
        <v>606</v>
      </c>
      <c r="H421">
        <f>'[1]Processed Data'!H701</f>
        <v>67</v>
      </c>
      <c r="I421">
        <f>'[1]Processed Data'!I701</f>
        <v>25</v>
      </c>
      <c r="J421">
        <f>'[1]Processed Data'!J701</f>
        <v>12</v>
      </c>
      <c r="K421">
        <f>'[1]Processed Data'!K701</f>
        <v>23</v>
      </c>
      <c r="L421">
        <f>'[1]Processed Data'!L701</f>
        <v>34</v>
      </c>
      <c r="M421">
        <f>'[1]Processed Data'!M701</f>
        <v>96</v>
      </c>
      <c r="N421">
        <f>'[1]Processed Data'!N701</f>
        <v>4</v>
      </c>
      <c r="O421">
        <f>'[1]Processed Data'!O701</f>
        <v>3</v>
      </c>
      <c r="P421">
        <f>'[1]Processed Data'!P701</f>
        <v>300.7</v>
      </c>
      <c r="Q421">
        <f>'[1]Processed Data'!Q701</f>
        <v>16</v>
      </c>
    </row>
    <row r="422" spans="2:17">
      <c r="B422">
        <f>'[1]Processed Data'!B702</f>
        <v>2016</v>
      </c>
      <c r="C422">
        <f>'[1]Processed Data'!C702</f>
        <v>6</v>
      </c>
      <c r="D422" t="str">
        <f>'[1]Processed Data'!D702</f>
        <v>Dak Prescott</v>
      </c>
      <c r="E422">
        <f>Table1[[#This Row],[Year]]</f>
        <v>2016</v>
      </c>
      <c r="F422">
        <f>'[1]Processed Data'!F702</f>
        <v>311</v>
      </c>
      <c r="G422">
        <f>'[1]Processed Data'!G702</f>
        <v>459</v>
      </c>
      <c r="H422">
        <f>'[1]Processed Data'!H702</f>
        <v>67.8</v>
      </c>
      <c r="I422">
        <f>'[1]Processed Data'!I702</f>
        <v>23</v>
      </c>
      <c r="J422">
        <f>'[1]Processed Data'!J702</f>
        <v>4</v>
      </c>
      <c r="K422">
        <f>'[1]Processed Data'!K702</f>
        <v>25</v>
      </c>
      <c r="L422">
        <f>'[1]Processed Data'!L702</f>
        <v>57</v>
      </c>
      <c r="M422">
        <f>'[1]Processed Data'!M702</f>
        <v>282</v>
      </c>
      <c r="N422">
        <f>'[1]Processed Data'!N702</f>
        <v>6</v>
      </c>
      <c r="O422">
        <f>'[1]Processed Data'!O702</f>
        <v>4</v>
      </c>
      <c r="P422">
        <f>'[1]Processed Data'!P702</f>
        <v>287.10000000000002</v>
      </c>
      <c r="Q422">
        <f>'[1]Processed Data'!Q702</f>
        <v>16</v>
      </c>
    </row>
    <row r="423" spans="2:17">
      <c r="B423">
        <f>'[1]Processed Data'!B703</f>
        <v>2016</v>
      </c>
      <c r="C423">
        <f>'[1]Processed Data'!C703</f>
        <v>7</v>
      </c>
      <c r="D423" t="str">
        <f>'[1]Processed Data'!D703</f>
        <v>Matthew Stafford</v>
      </c>
      <c r="E423">
        <f>Table1[[#This Row],[Year]]</f>
        <v>2016</v>
      </c>
      <c r="F423">
        <f>'[1]Processed Data'!F703</f>
        <v>388</v>
      </c>
      <c r="G423">
        <f>'[1]Processed Data'!G703</f>
        <v>594</v>
      </c>
      <c r="H423">
        <f>'[1]Processed Data'!H703</f>
        <v>65.3</v>
      </c>
      <c r="I423">
        <f>'[1]Processed Data'!I703</f>
        <v>24</v>
      </c>
      <c r="J423">
        <f>'[1]Processed Data'!J703</f>
        <v>10</v>
      </c>
      <c r="K423">
        <f>'[1]Processed Data'!K703</f>
        <v>37</v>
      </c>
      <c r="L423">
        <f>'[1]Processed Data'!L703</f>
        <v>37</v>
      </c>
      <c r="M423">
        <f>'[1]Processed Data'!M703</f>
        <v>207</v>
      </c>
      <c r="N423">
        <f>'[1]Processed Data'!N703</f>
        <v>2</v>
      </c>
      <c r="O423">
        <f>'[1]Processed Data'!O703</f>
        <v>2</v>
      </c>
      <c r="P423">
        <f>'[1]Processed Data'!P703</f>
        <v>279.7</v>
      </c>
      <c r="Q423">
        <f>'[1]Processed Data'!Q703</f>
        <v>16</v>
      </c>
    </row>
    <row r="424" spans="2:17">
      <c r="B424">
        <f>'[1]Processed Data'!B704</f>
        <v>2016</v>
      </c>
      <c r="C424">
        <f>'[1]Processed Data'!C704</f>
        <v>8</v>
      </c>
      <c r="D424" t="str">
        <f>'[1]Processed Data'!D704</f>
        <v>Tyrod Taylor</v>
      </c>
      <c r="E424">
        <f>Table1[[#This Row],[Year]]</f>
        <v>2016</v>
      </c>
      <c r="F424">
        <f>'[1]Processed Data'!F704</f>
        <v>269</v>
      </c>
      <c r="G424">
        <f>'[1]Processed Data'!G704</f>
        <v>436</v>
      </c>
      <c r="H424">
        <f>'[1]Processed Data'!H704</f>
        <v>61.7</v>
      </c>
      <c r="I424">
        <f>'[1]Processed Data'!I704</f>
        <v>17</v>
      </c>
      <c r="J424">
        <f>'[1]Processed Data'!J704</f>
        <v>6</v>
      </c>
      <c r="K424">
        <f>'[1]Processed Data'!K704</f>
        <v>42</v>
      </c>
      <c r="L424">
        <f>'[1]Processed Data'!L704</f>
        <v>95</v>
      </c>
      <c r="M424">
        <f>'[1]Processed Data'!M704</f>
        <v>580</v>
      </c>
      <c r="N424">
        <f>'[1]Processed Data'!N704</f>
        <v>6</v>
      </c>
      <c r="O424">
        <f>'[1]Processed Data'!O704</f>
        <v>2</v>
      </c>
      <c r="P424">
        <f>'[1]Processed Data'!P704</f>
        <v>270.89999999999998</v>
      </c>
      <c r="Q424">
        <f>'[1]Processed Data'!Q704</f>
        <v>15</v>
      </c>
    </row>
    <row r="425" spans="2:17">
      <c r="B425">
        <f>'[1]Processed Data'!B705</f>
        <v>2016</v>
      </c>
      <c r="C425">
        <f>'[1]Processed Data'!C705</f>
        <v>9</v>
      </c>
      <c r="D425" t="str">
        <f>'[1]Processed Data'!D705</f>
        <v>Blake Bortles</v>
      </c>
      <c r="E425">
        <f>Table1[[#This Row],[Year]]</f>
        <v>2016</v>
      </c>
      <c r="F425">
        <f>'[1]Processed Data'!F705</f>
        <v>368</v>
      </c>
      <c r="G425">
        <f>'[1]Processed Data'!G705</f>
        <v>625</v>
      </c>
      <c r="H425">
        <f>'[1]Processed Data'!H705</f>
        <v>58.9</v>
      </c>
      <c r="I425">
        <f>'[1]Processed Data'!I705</f>
        <v>23</v>
      </c>
      <c r="J425">
        <f>'[1]Processed Data'!J705</f>
        <v>16</v>
      </c>
      <c r="K425">
        <f>'[1]Processed Data'!K705</f>
        <v>34</v>
      </c>
      <c r="L425">
        <f>'[1]Processed Data'!L705</f>
        <v>58</v>
      </c>
      <c r="M425">
        <f>'[1]Processed Data'!M705</f>
        <v>359</v>
      </c>
      <c r="N425">
        <f>'[1]Processed Data'!N705</f>
        <v>3</v>
      </c>
      <c r="O425">
        <f>'[1]Processed Data'!O705</f>
        <v>6</v>
      </c>
      <c r="P425">
        <f>'[1]Processed Data'!P705</f>
        <v>270.60000000000002</v>
      </c>
      <c r="Q425">
        <f>'[1]Processed Data'!Q705</f>
        <v>16</v>
      </c>
    </row>
    <row r="426" spans="2:17">
      <c r="B426">
        <f>'[1]Processed Data'!B706</f>
        <v>2016</v>
      </c>
      <c r="C426">
        <f>'[1]Processed Data'!C706</f>
        <v>10</v>
      </c>
      <c r="D426" t="str">
        <f>'[1]Processed Data'!D706</f>
        <v>Russell Wilson</v>
      </c>
      <c r="E426">
        <f>Table1[[#This Row],[Year]]</f>
        <v>2016</v>
      </c>
      <c r="F426">
        <f>'[1]Processed Data'!F706</f>
        <v>353</v>
      </c>
      <c r="G426">
        <f>'[1]Processed Data'!G706</f>
        <v>546</v>
      </c>
      <c r="H426">
        <f>'[1]Processed Data'!H706</f>
        <v>64.7</v>
      </c>
      <c r="I426">
        <f>'[1]Processed Data'!I706</f>
        <v>21</v>
      </c>
      <c r="J426">
        <f>'[1]Processed Data'!J706</f>
        <v>11</v>
      </c>
      <c r="K426">
        <f>'[1]Processed Data'!K706</f>
        <v>41</v>
      </c>
      <c r="L426">
        <f>'[1]Processed Data'!L706</f>
        <v>72</v>
      </c>
      <c r="M426">
        <f>'[1]Processed Data'!M706</f>
        <v>259</v>
      </c>
      <c r="N426">
        <f>'[1]Processed Data'!N706</f>
        <v>1</v>
      </c>
      <c r="O426">
        <f>'[1]Processed Data'!O706</f>
        <v>2</v>
      </c>
      <c r="P426">
        <f>'[1]Processed Data'!P706</f>
        <v>269.10000000000002</v>
      </c>
      <c r="Q426">
        <f>'[1]Processed Data'!Q706</f>
        <v>16</v>
      </c>
    </row>
    <row r="427" spans="2:17">
      <c r="B427">
        <f>'[1]Processed Data'!B707</f>
        <v>2016</v>
      </c>
      <c r="C427">
        <f>'[1]Processed Data'!C707</f>
        <v>11</v>
      </c>
      <c r="D427" t="str">
        <f>'[1]Processed Data'!D707</f>
        <v>Derek Carr</v>
      </c>
      <c r="E427">
        <f>Table1[[#This Row],[Year]]</f>
        <v>2016</v>
      </c>
      <c r="F427">
        <f>'[1]Processed Data'!F707</f>
        <v>357</v>
      </c>
      <c r="G427">
        <f>'[1]Processed Data'!G707</f>
        <v>560</v>
      </c>
      <c r="H427">
        <f>'[1]Processed Data'!H707</f>
        <v>63.8</v>
      </c>
      <c r="I427">
        <f>'[1]Processed Data'!I707</f>
        <v>28</v>
      </c>
      <c r="J427">
        <f>'[1]Processed Data'!J707</f>
        <v>6</v>
      </c>
      <c r="K427">
        <f>'[1]Processed Data'!K707</f>
        <v>16</v>
      </c>
      <c r="L427">
        <f>'[1]Processed Data'!L707</f>
        <v>39</v>
      </c>
      <c r="M427">
        <f>'[1]Processed Data'!M707</f>
        <v>70</v>
      </c>
      <c r="N427">
        <f>'[1]Processed Data'!N707</f>
        <v>0</v>
      </c>
      <c r="O427">
        <f>'[1]Processed Data'!O707</f>
        <v>3</v>
      </c>
      <c r="P427">
        <f>'[1]Processed Data'!P707</f>
        <v>268.39999999999998</v>
      </c>
      <c r="Q427">
        <f>'[1]Processed Data'!Q707</f>
        <v>15</v>
      </c>
    </row>
    <row r="428" spans="2:17">
      <c r="B428">
        <f>'[1]Processed Data'!B708</f>
        <v>2016</v>
      </c>
      <c r="C428">
        <f>'[1]Processed Data'!C708</f>
        <v>12</v>
      </c>
      <c r="D428" t="str">
        <f>'[1]Processed Data'!D708</f>
        <v>Marcus Mariota</v>
      </c>
      <c r="E428">
        <f>Table1[[#This Row],[Year]]</f>
        <v>2016</v>
      </c>
      <c r="F428">
        <f>'[1]Processed Data'!F708</f>
        <v>276</v>
      </c>
      <c r="G428">
        <f>'[1]Processed Data'!G708</f>
        <v>451</v>
      </c>
      <c r="H428">
        <f>'[1]Processed Data'!H708</f>
        <v>61.2</v>
      </c>
      <c r="I428">
        <f>'[1]Processed Data'!I708</f>
        <v>26</v>
      </c>
      <c r="J428">
        <f>'[1]Processed Data'!J708</f>
        <v>9</v>
      </c>
      <c r="K428">
        <f>'[1]Processed Data'!K708</f>
        <v>23</v>
      </c>
      <c r="L428">
        <f>'[1]Processed Data'!L708</f>
        <v>60</v>
      </c>
      <c r="M428">
        <f>'[1]Processed Data'!M708</f>
        <v>349</v>
      </c>
      <c r="N428">
        <f>'[1]Processed Data'!N708</f>
        <v>2</v>
      </c>
      <c r="O428">
        <f>'[1]Processed Data'!O708</f>
        <v>5</v>
      </c>
      <c r="P428">
        <f>'[1]Processed Data'!P708</f>
        <v>260.7</v>
      </c>
      <c r="Q428">
        <f>'[1]Processed Data'!Q708</f>
        <v>15</v>
      </c>
    </row>
    <row r="429" spans="2:17">
      <c r="B429">
        <f>'[1]Processed Data'!B709</f>
        <v>2016</v>
      </c>
      <c r="C429">
        <f>'[1]Processed Data'!C709</f>
        <v>13</v>
      </c>
      <c r="D429" t="str">
        <f>'[1]Processed Data'!D709</f>
        <v>Andy Dalton</v>
      </c>
      <c r="E429">
        <f>Table1[[#This Row],[Year]]</f>
        <v>2016</v>
      </c>
      <c r="F429">
        <f>'[1]Processed Data'!F709</f>
        <v>364</v>
      </c>
      <c r="G429">
        <f>'[1]Processed Data'!G709</f>
        <v>563</v>
      </c>
      <c r="H429">
        <f>'[1]Processed Data'!H709</f>
        <v>64.7</v>
      </c>
      <c r="I429">
        <f>'[1]Processed Data'!I709</f>
        <v>18</v>
      </c>
      <c r="J429">
        <f>'[1]Processed Data'!J709</f>
        <v>8</v>
      </c>
      <c r="K429">
        <f>'[1]Processed Data'!K709</f>
        <v>41</v>
      </c>
      <c r="L429">
        <f>'[1]Processed Data'!L709</f>
        <v>46</v>
      </c>
      <c r="M429">
        <f>'[1]Processed Data'!M709</f>
        <v>184</v>
      </c>
      <c r="N429">
        <f>'[1]Processed Data'!N709</f>
        <v>4</v>
      </c>
      <c r="O429">
        <f>'[1]Processed Data'!O709</f>
        <v>3</v>
      </c>
      <c r="P429">
        <f>'[1]Processed Data'!P709</f>
        <v>260.60000000000002</v>
      </c>
      <c r="Q429">
        <f>'[1]Processed Data'!Q709</f>
        <v>16</v>
      </c>
    </row>
    <row r="430" spans="2:17">
      <c r="B430">
        <f>'[1]Processed Data'!B710</f>
        <v>2016</v>
      </c>
      <c r="C430">
        <f>'[1]Processed Data'!C710</f>
        <v>14</v>
      </c>
      <c r="D430" t="str">
        <f>'[1]Processed Data'!D710</f>
        <v>Philip Rivers</v>
      </c>
      <c r="E430">
        <f>Table1[[#This Row],[Year]]</f>
        <v>2016</v>
      </c>
      <c r="F430">
        <f>'[1]Processed Data'!F710</f>
        <v>349</v>
      </c>
      <c r="G430">
        <f>'[1]Processed Data'!G710</f>
        <v>578</v>
      </c>
      <c r="H430">
        <f>'[1]Processed Data'!H710</f>
        <v>60.4</v>
      </c>
      <c r="I430">
        <f>'[1]Processed Data'!I710</f>
        <v>33</v>
      </c>
      <c r="J430">
        <f>'[1]Processed Data'!J710</f>
        <v>21</v>
      </c>
      <c r="K430">
        <f>'[1]Processed Data'!K710</f>
        <v>36</v>
      </c>
      <c r="L430">
        <f>'[1]Processed Data'!L710</f>
        <v>14</v>
      </c>
      <c r="M430">
        <f>'[1]Processed Data'!M710</f>
        <v>35</v>
      </c>
      <c r="N430">
        <f>'[1]Processed Data'!N710</f>
        <v>0</v>
      </c>
      <c r="O430">
        <f>'[1]Processed Data'!O710</f>
        <v>5</v>
      </c>
      <c r="P430">
        <f>'[1]Processed Data'!P710</f>
        <v>259</v>
      </c>
      <c r="Q430">
        <f>'[1]Processed Data'!Q710</f>
        <v>16</v>
      </c>
    </row>
    <row r="431" spans="2:17">
      <c r="B431">
        <f>'[1]Processed Data'!B711</f>
        <v>2016</v>
      </c>
      <c r="C431">
        <f>'[1]Processed Data'!C711</f>
        <v>15</v>
      </c>
      <c r="D431" t="str">
        <f>'[1]Processed Data'!D711</f>
        <v>Tom Brady</v>
      </c>
      <c r="E431">
        <f>Table1[[#This Row],[Year]]</f>
        <v>2016</v>
      </c>
      <c r="F431">
        <f>'[1]Processed Data'!F711</f>
        <v>291</v>
      </c>
      <c r="G431">
        <f>'[1]Processed Data'!G711</f>
        <v>432</v>
      </c>
      <c r="H431">
        <f>'[1]Processed Data'!H711</f>
        <v>67.400000000000006</v>
      </c>
      <c r="I431">
        <f>'[1]Processed Data'!I711</f>
        <v>28</v>
      </c>
      <c r="J431">
        <f>'[1]Processed Data'!J711</f>
        <v>2</v>
      </c>
      <c r="K431">
        <f>'[1]Processed Data'!K711</f>
        <v>15</v>
      </c>
      <c r="L431">
        <f>'[1]Processed Data'!L711</f>
        <v>28</v>
      </c>
      <c r="M431">
        <f>'[1]Processed Data'!M711</f>
        <v>64</v>
      </c>
      <c r="N431">
        <f>'[1]Processed Data'!N711</f>
        <v>0</v>
      </c>
      <c r="O431">
        <f>'[1]Processed Data'!O711</f>
        <v>0</v>
      </c>
      <c r="P431">
        <f>'[1]Processed Data'!P711</f>
        <v>258.39999999999998</v>
      </c>
      <c r="Q431">
        <f>'[1]Processed Data'!Q711</f>
        <v>12</v>
      </c>
    </row>
    <row r="432" spans="2:17">
      <c r="B432">
        <f>'[1]Processed Data'!B712</f>
        <v>2016</v>
      </c>
      <c r="C432">
        <f>'[1]Processed Data'!C712</f>
        <v>16</v>
      </c>
      <c r="D432" t="str">
        <f>'[1]Processed Data'!D712</f>
        <v>Jameis Winston</v>
      </c>
      <c r="E432">
        <f>Table1[[#This Row],[Year]]</f>
        <v>2016</v>
      </c>
      <c r="F432">
        <f>'[1]Processed Data'!F712</f>
        <v>345</v>
      </c>
      <c r="G432">
        <f>'[1]Processed Data'!G712</f>
        <v>567</v>
      </c>
      <c r="H432">
        <f>'[1]Processed Data'!H712</f>
        <v>60.8</v>
      </c>
      <c r="I432">
        <f>'[1]Processed Data'!I712</f>
        <v>28</v>
      </c>
      <c r="J432">
        <f>'[1]Processed Data'!J712</f>
        <v>18</v>
      </c>
      <c r="K432">
        <f>'[1]Processed Data'!K712</f>
        <v>35</v>
      </c>
      <c r="L432">
        <f>'[1]Processed Data'!L712</f>
        <v>53</v>
      </c>
      <c r="M432">
        <f>'[1]Processed Data'!M712</f>
        <v>165</v>
      </c>
      <c r="N432">
        <f>'[1]Processed Data'!N712</f>
        <v>1</v>
      </c>
      <c r="O432">
        <f>'[1]Processed Data'!O712</f>
        <v>6</v>
      </c>
      <c r="P432">
        <f>'[1]Processed Data'!P712</f>
        <v>256.5</v>
      </c>
      <c r="Q432">
        <f>'[1]Processed Data'!Q712</f>
        <v>16</v>
      </c>
    </row>
    <row r="433" spans="2:17">
      <c r="B433">
        <f>'[1]Processed Data'!B713</f>
        <v>2016</v>
      </c>
      <c r="C433">
        <f>'[1]Processed Data'!C713</f>
        <v>17</v>
      </c>
      <c r="D433" t="str">
        <f>'[1]Processed Data'!D713</f>
        <v>Cam Newton</v>
      </c>
      <c r="E433">
        <f>Table1[[#This Row],[Year]]</f>
        <v>2016</v>
      </c>
      <c r="F433">
        <f>'[1]Processed Data'!F713</f>
        <v>270</v>
      </c>
      <c r="G433">
        <f>'[1]Processed Data'!G713</f>
        <v>510</v>
      </c>
      <c r="H433">
        <f>'[1]Processed Data'!H713</f>
        <v>52.9</v>
      </c>
      <c r="I433">
        <f>'[1]Processed Data'!I713</f>
        <v>19</v>
      </c>
      <c r="J433">
        <f>'[1]Processed Data'!J713</f>
        <v>14</v>
      </c>
      <c r="K433">
        <f>'[1]Processed Data'!K713</f>
        <v>36</v>
      </c>
      <c r="L433">
        <f>'[1]Processed Data'!L713</f>
        <v>90</v>
      </c>
      <c r="M433">
        <f>'[1]Processed Data'!M713</f>
        <v>359</v>
      </c>
      <c r="N433">
        <f>'[1]Processed Data'!N713</f>
        <v>5</v>
      </c>
      <c r="O433">
        <f>'[1]Processed Data'!O713</f>
        <v>2</v>
      </c>
      <c r="P433">
        <f>'[1]Processed Data'!P713</f>
        <v>254.3</v>
      </c>
      <c r="Q433">
        <f>'[1]Processed Data'!Q713</f>
        <v>15</v>
      </c>
    </row>
    <row r="434" spans="2:17">
      <c r="B434">
        <f>'[1]Processed Data'!B714</f>
        <v>2016</v>
      </c>
      <c r="C434">
        <f>'[1]Processed Data'!C714</f>
        <v>18</v>
      </c>
      <c r="D434" t="str">
        <f>'[1]Processed Data'!D714</f>
        <v>Ben Roethlisberger</v>
      </c>
      <c r="E434">
        <f>Table1[[#This Row],[Year]]</f>
        <v>2016</v>
      </c>
      <c r="F434">
        <f>'[1]Processed Data'!F714</f>
        <v>328</v>
      </c>
      <c r="G434">
        <f>'[1]Processed Data'!G714</f>
        <v>509</v>
      </c>
      <c r="H434">
        <f>'[1]Processed Data'!H714</f>
        <v>64.400000000000006</v>
      </c>
      <c r="I434">
        <f>'[1]Processed Data'!I714</f>
        <v>29</v>
      </c>
      <c r="J434">
        <f>'[1]Processed Data'!J714</f>
        <v>13</v>
      </c>
      <c r="K434">
        <f>'[1]Processed Data'!K714</f>
        <v>17</v>
      </c>
      <c r="L434">
        <f>'[1]Processed Data'!L714</f>
        <v>16</v>
      </c>
      <c r="M434">
        <f>'[1]Processed Data'!M714</f>
        <v>14</v>
      </c>
      <c r="N434">
        <f>'[1]Processed Data'!N714</f>
        <v>1</v>
      </c>
      <c r="O434">
        <f>'[1]Processed Data'!O714</f>
        <v>2</v>
      </c>
      <c r="P434">
        <f>'[1]Processed Data'!P714</f>
        <v>252.3</v>
      </c>
      <c r="Q434">
        <f>'[1]Processed Data'!Q714</f>
        <v>14</v>
      </c>
    </row>
    <row r="435" spans="2:17">
      <c r="B435">
        <f>'[1]Processed Data'!B715</f>
        <v>2016</v>
      </c>
      <c r="C435">
        <f>'[1]Processed Data'!C715</f>
        <v>19</v>
      </c>
      <c r="D435" t="str">
        <f>'[1]Processed Data'!D715</f>
        <v>Carson Palmer</v>
      </c>
      <c r="E435">
        <f>Table1[[#This Row],[Year]]</f>
        <v>2016</v>
      </c>
      <c r="F435">
        <f>'[1]Processed Data'!F715</f>
        <v>364</v>
      </c>
      <c r="G435">
        <f>'[1]Processed Data'!G715</f>
        <v>597</v>
      </c>
      <c r="H435">
        <f>'[1]Processed Data'!H715</f>
        <v>61</v>
      </c>
      <c r="I435">
        <f>'[1]Processed Data'!I715</f>
        <v>26</v>
      </c>
      <c r="J435">
        <f>'[1]Processed Data'!J715</f>
        <v>14</v>
      </c>
      <c r="K435">
        <f>'[1]Processed Data'!K715</f>
        <v>40</v>
      </c>
      <c r="L435">
        <f>'[1]Processed Data'!L715</f>
        <v>14</v>
      </c>
      <c r="M435">
        <f>'[1]Processed Data'!M715</f>
        <v>38</v>
      </c>
      <c r="N435">
        <f>'[1]Processed Data'!N715</f>
        <v>0</v>
      </c>
      <c r="O435">
        <f>'[1]Processed Data'!O715</f>
        <v>4</v>
      </c>
      <c r="P435">
        <f>'[1]Processed Data'!P715</f>
        <v>243.2</v>
      </c>
      <c r="Q435">
        <f>'[1]Processed Data'!Q715</f>
        <v>15</v>
      </c>
    </row>
    <row r="436" spans="2:17">
      <c r="B436">
        <f>'[1]Processed Data'!B716</f>
        <v>2016</v>
      </c>
      <c r="C436">
        <f>'[1]Processed Data'!C716</f>
        <v>20</v>
      </c>
      <c r="D436" t="str">
        <f>'[1]Processed Data'!D716</f>
        <v>Joe Flacco</v>
      </c>
      <c r="E436">
        <f>Table1[[#This Row],[Year]]</f>
        <v>2016</v>
      </c>
      <c r="F436">
        <f>'[1]Processed Data'!F716</f>
        <v>436</v>
      </c>
      <c r="G436">
        <f>'[1]Processed Data'!G716</f>
        <v>672</v>
      </c>
      <c r="H436">
        <f>'[1]Processed Data'!H716</f>
        <v>64.900000000000006</v>
      </c>
      <c r="I436">
        <f>'[1]Processed Data'!I716</f>
        <v>20</v>
      </c>
      <c r="J436">
        <f>'[1]Processed Data'!J716</f>
        <v>15</v>
      </c>
      <c r="K436">
        <f>'[1]Processed Data'!K716</f>
        <v>33</v>
      </c>
      <c r="L436">
        <f>'[1]Processed Data'!L716</f>
        <v>21</v>
      </c>
      <c r="M436">
        <f>'[1]Processed Data'!M716</f>
        <v>58</v>
      </c>
      <c r="N436">
        <f>'[1]Processed Data'!N716</f>
        <v>2</v>
      </c>
      <c r="O436">
        <f>'[1]Processed Data'!O716</f>
        <v>3</v>
      </c>
      <c r="P436">
        <f>'[1]Processed Data'!P716</f>
        <v>242</v>
      </c>
      <c r="Q436">
        <f>'[1]Processed Data'!Q716</f>
        <v>16</v>
      </c>
    </row>
    <row r="437" spans="2:17">
      <c r="B437">
        <f>'[1]Processed Data'!B717</f>
        <v>2016</v>
      </c>
      <c r="C437">
        <f>'[1]Processed Data'!C717</f>
        <v>21</v>
      </c>
      <c r="D437" t="str">
        <f>'[1]Processed Data'!D717</f>
        <v>Alex Smith</v>
      </c>
      <c r="E437">
        <f>Table1[[#This Row],[Year]]</f>
        <v>2016</v>
      </c>
      <c r="F437">
        <f>'[1]Processed Data'!F717</f>
        <v>328</v>
      </c>
      <c r="G437">
        <f>'[1]Processed Data'!G717</f>
        <v>489</v>
      </c>
      <c r="H437">
        <f>'[1]Processed Data'!H717</f>
        <v>67.099999999999994</v>
      </c>
      <c r="I437">
        <f>'[1]Processed Data'!I717</f>
        <v>15</v>
      </c>
      <c r="J437">
        <f>'[1]Processed Data'!J717</f>
        <v>8</v>
      </c>
      <c r="K437">
        <f>'[1]Processed Data'!K717</f>
        <v>28</v>
      </c>
      <c r="L437">
        <f>'[1]Processed Data'!L717</f>
        <v>48</v>
      </c>
      <c r="M437">
        <f>'[1]Processed Data'!M717</f>
        <v>134</v>
      </c>
      <c r="N437">
        <f>'[1]Processed Data'!N717</f>
        <v>5</v>
      </c>
      <c r="O437">
        <f>'[1]Processed Data'!O717</f>
        <v>4</v>
      </c>
      <c r="P437">
        <f>'[1]Processed Data'!P717</f>
        <v>224.4</v>
      </c>
      <c r="Q437">
        <f>'[1]Processed Data'!Q717</f>
        <v>15</v>
      </c>
    </row>
    <row r="438" spans="2:17">
      <c r="B438">
        <f>'[1]Processed Data'!B718</f>
        <v>2016</v>
      </c>
      <c r="C438">
        <f>'[1]Processed Data'!C718</f>
        <v>22</v>
      </c>
      <c r="D438" t="str">
        <f>'[1]Processed Data'!D718</f>
        <v>Eli Manning</v>
      </c>
      <c r="E438">
        <f>Table1[[#This Row],[Year]]</f>
        <v>2016</v>
      </c>
      <c r="F438">
        <f>'[1]Processed Data'!F718</f>
        <v>377</v>
      </c>
      <c r="G438">
        <f>'[1]Processed Data'!G718</f>
        <v>598</v>
      </c>
      <c r="H438">
        <f>'[1]Processed Data'!H718</f>
        <v>63</v>
      </c>
      <c r="I438">
        <f>'[1]Processed Data'!I718</f>
        <v>26</v>
      </c>
      <c r="J438">
        <f>'[1]Processed Data'!J718</f>
        <v>16</v>
      </c>
      <c r="K438">
        <f>'[1]Processed Data'!K718</f>
        <v>21</v>
      </c>
      <c r="L438">
        <f>'[1]Processed Data'!L718</f>
        <v>21</v>
      </c>
      <c r="M438">
        <f>'[1]Processed Data'!M718</f>
        <v>-9</v>
      </c>
      <c r="N438">
        <f>'[1]Processed Data'!N718</f>
        <v>0</v>
      </c>
      <c r="O438">
        <f>'[1]Processed Data'!O718</f>
        <v>4</v>
      </c>
      <c r="P438">
        <f>'[1]Processed Data'!P718</f>
        <v>224.1</v>
      </c>
      <c r="Q438">
        <f>'[1]Processed Data'!Q718</f>
        <v>16</v>
      </c>
    </row>
    <row r="439" spans="2:17">
      <c r="B439">
        <f>'[1]Processed Data'!B719</f>
        <v>2016</v>
      </c>
      <c r="C439">
        <f>'[1]Processed Data'!C719</f>
        <v>23</v>
      </c>
      <c r="D439" t="str">
        <f>'[1]Processed Data'!D719</f>
        <v>Sam Bradford</v>
      </c>
      <c r="E439">
        <f>Table1[[#This Row],[Year]]</f>
        <v>2016</v>
      </c>
      <c r="F439">
        <f>'[1]Processed Data'!F719</f>
        <v>395</v>
      </c>
      <c r="G439">
        <f>'[1]Processed Data'!G719</f>
        <v>552</v>
      </c>
      <c r="H439">
        <f>'[1]Processed Data'!H719</f>
        <v>71.599999999999994</v>
      </c>
      <c r="I439">
        <f>'[1]Processed Data'!I719</f>
        <v>20</v>
      </c>
      <c r="J439">
        <f>'[1]Processed Data'!J719</f>
        <v>5</v>
      </c>
      <c r="K439">
        <f>'[1]Processed Data'!K719</f>
        <v>37</v>
      </c>
      <c r="L439">
        <f>'[1]Processed Data'!L719</f>
        <v>20</v>
      </c>
      <c r="M439">
        <f>'[1]Processed Data'!M719</f>
        <v>53</v>
      </c>
      <c r="N439">
        <f>'[1]Processed Data'!N719</f>
        <v>0</v>
      </c>
      <c r="O439">
        <f>'[1]Processed Data'!O719</f>
        <v>5</v>
      </c>
      <c r="P439">
        <f>'[1]Processed Data'!P719</f>
        <v>221.4</v>
      </c>
      <c r="Q439">
        <f>'[1]Processed Data'!Q719</f>
        <v>15</v>
      </c>
    </row>
    <row r="440" spans="2:17">
      <c r="B440">
        <f>'[1]Processed Data'!B720</f>
        <v>2016</v>
      </c>
      <c r="C440">
        <f>'[1]Processed Data'!C720</f>
        <v>24</v>
      </c>
      <c r="D440" t="str">
        <f>'[1]Processed Data'!D720</f>
        <v>Carson Wentz</v>
      </c>
      <c r="E440">
        <f>Table1[[#This Row],[Year]]</f>
        <v>2016</v>
      </c>
      <c r="F440">
        <f>'[1]Processed Data'!F720</f>
        <v>379</v>
      </c>
      <c r="G440">
        <f>'[1]Processed Data'!G720</f>
        <v>607</v>
      </c>
      <c r="H440">
        <f>'[1]Processed Data'!H720</f>
        <v>62.4</v>
      </c>
      <c r="I440">
        <f>'[1]Processed Data'!I720</f>
        <v>16</v>
      </c>
      <c r="J440">
        <f>'[1]Processed Data'!J720</f>
        <v>14</v>
      </c>
      <c r="K440">
        <f>'[1]Processed Data'!K720</f>
        <v>33</v>
      </c>
      <c r="L440">
        <f>'[1]Processed Data'!L720</f>
        <v>46</v>
      </c>
      <c r="M440">
        <f>'[1]Processed Data'!M720</f>
        <v>150</v>
      </c>
      <c r="N440">
        <f>'[1]Processed Data'!N720</f>
        <v>2</v>
      </c>
      <c r="O440">
        <f>'[1]Processed Data'!O720</f>
        <v>3</v>
      </c>
      <c r="P440">
        <f>'[1]Processed Data'!P720</f>
        <v>213.5</v>
      </c>
      <c r="Q440">
        <f>'[1]Processed Data'!Q720</f>
        <v>16</v>
      </c>
    </row>
    <row r="441" spans="2:17">
      <c r="B441">
        <f>'[1]Processed Data'!B721</f>
        <v>2016</v>
      </c>
      <c r="C441">
        <f>'[1]Processed Data'!C721</f>
        <v>25</v>
      </c>
      <c r="D441" t="str">
        <f>'[1]Processed Data'!D721</f>
        <v>Colin Kaepernick</v>
      </c>
      <c r="E441">
        <f>Table1[[#This Row],[Year]]</f>
        <v>2016</v>
      </c>
      <c r="F441">
        <f>'[1]Processed Data'!F721</f>
        <v>196</v>
      </c>
      <c r="G441">
        <f>'[1]Processed Data'!G721</f>
        <v>331</v>
      </c>
      <c r="H441">
        <f>'[1]Processed Data'!H721</f>
        <v>59.2</v>
      </c>
      <c r="I441">
        <f>'[1]Processed Data'!I721</f>
        <v>16</v>
      </c>
      <c r="J441">
        <f>'[1]Processed Data'!J721</f>
        <v>4</v>
      </c>
      <c r="K441">
        <f>'[1]Processed Data'!K721</f>
        <v>36</v>
      </c>
      <c r="L441">
        <f>'[1]Processed Data'!L721</f>
        <v>69</v>
      </c>
      <c r="M441">
        <f>'[1]Processed Data'!M721</f>
        <v>468</v>
      </c>
      <c r="N441">
        <f>'[1]Processed Data'!N721</f>
        <v>2</v>
      </c>
      <c r="O441">
        <f>'[1]Processed Data'!O721</f>
        <v>3</v>
      </c>
      <c r="P441">
        <f>'[1]Processed Data'!P721</f>
        <v>200.3</v>
      </c>
      <c r="Q441">
        <f>'[1]Processed Data'!Q721</f>
        <v>12</v>
      </c>
    </row>
    <row r="442" spans="2:17">
      <c r="B442">
        <f>'[1]Processed Data'!B722</f>
        <v>2016</v>
      </c>
      <c r="C442">
        <f>'[1]Processed Data'!C722</f>
        <v>26</v>
      </c>
      <c r="D442" t="str">
        <f>'[1]Processed Data'!D722</f>
        <v>Trevor Siemian</v>
      </c>
      <c r="E442">
        <f>Table1[[#This Row],[Year]]</f>
        <v>2016</v>
      </c>
      <c r="F442">
        <f>'[1]Processed Data'!F722</f>
        <v>289</v>
      </c>
      <c r="G442">
        <f>'[1]Processed Data'!G722</f>
        <v>486</v>
      </c>
      <c r="H442">
        <f>'[1]Processed Data'!H722</f>
        <v>59.5</v>
      </c>
      <c r="I442">
        <f>'[1]Processed Data'!I722</f>
        <v>18</v>
      </c>
      <c r="J442">
        <f>'[1]Processed Data'!J722</f>
        <v>10</v>
      </c>
      <c r="K442">
        <f>'[1]Processed Data'!K722</f>
        <v>31</v>
      </c>
      <c r="L442">
        <f>'[1]Processed Data'!L722</f>
        <v>28</v>
      </c>
      <c r="M442">
        <f>'[1]Processed Data'!M722</f>
        <v>57</v>
      </c>
      <c r="N442">
        <f>'[1]Processed Data'!N722</f>
        <v>0</v>
      </c>
      <c r="O442">
        <f>'[1]Processed Data'!O722</f>
        <v>2</v>
      </c>
      <c r="P442">
        <f>'[1]Processed Data'!P722</f>
        <v>191.6</v>
      </c>
      <c r="Q442">
        <f>'[1]Processed Data'!Q722</f>
        <v>14</v>
      </c>
    </row>
    <row r="443" spans="2:17">
      <c r="B443">
        <f>'[1]Processed Data'!B723</f>
        <v>2016</v>
      </c>
      <c r="C443">
        <f>'[1]Processed Data'!C723</f>
        <v>27</v>
      </c>
      <c r="D443" t="str">
        <f>'[1]Processed Data'!D723</f>
        <v>Ryan Tannehill</v>
      </c>
      <c r="E443">
        <f>Table1[[#This Row],[Year]]</f>
        <v>2016</v>
      </c>
      <c r="F443">
        <f>'[1]Processed Data'!F723</f>
        <v>261</v>
      </c>
      <c r="G443">
        <f>'[1]Processed Data'!G723</f>
        <v>389</v>
      </c>
      <c r="H443">
        <f>'[1]Processed Data'!H723</f>
        <v>67.099999999999994</v>
      </c>
      <c r="I443">
        <f>'[1]Processed Data'!I723</f>
        <v>19</v>
      </c>
      <c r="J443">
        <f>'[1]Processed Data'!J723</f>
        <v>12</v>
      </c>
      <c r="K443">
        <f>'[1]Processed Data'!K723</f>
        <v>29</v>
      </c>
      <c r="L443">
        <f>'[1]Processed Data'!L723</f>
        <v>39</v>
      </c>
      <c r="M443">
        <f>'[1]Processed Data'!M723</f>
        <v>164</v>
      </c>
      <c r="N443">
        <f>'[1]Processed Data'!N723</f>
        <v>1</v>
      </c>
      <c r="O443">
        <f>'[1]Processed Data'!O723</f>
        <v>3</v>
      </c>
      <c r="P443">
        <f>'[1]Processed Data'!P723</f>
        <v>190.4</v>
      </c>
      <c r="Q443">
        <f>'[1]Processed Data'!Q723</f>
        <v>13</v>
      </c>
    </row>
    <row r="444" spans="2:17">
      <c r="B444">
        <f>'[1]Processed Data'!B724</f>
        <v>2016</v>
      </c>
      <c r="C444">
        <f>'[1]Processed Data'!C724</f>
        <v>28</v>
      </c>
      <c r="D444" t="str">
        <f>'[1]Processed Data'!D724</f>
        <v>Brock Osweiler</v>
      </c>
      <c r="E444">
        <f>Table1[[#This Row],[Year]]</f>
        <v>2016</v>
      </c>
      <c r="F444">
        <f>'[1]Processed Data'!F724</f>
        <v>301</v>
      </c>
      <c r="G444">
        <f>'[1]Processed Data'!G724</f>
        <v>510</v>
      </c>
      <c r="H444">
        <f>'[1]Processed Data'!H724</f>
        <v>59</v>
      </c>
      <c r="I444">
        <f>'[1]Processed Data'!I724</f>
        <v>15</v>
      </c>
      <c r="J444">
        <f>'[1]Processed Data'!J724</f>
        <v>16</v>
      </c>
      <c r="K444">
        <f>'[1]Processed Data'!K724</f>
        <v>27</v>
      </c>
      <c r="L444">
        <f>'[1]Processed Data'!L724</f>
        <v>30</v>
      </c>
      <c r="M444">
        <f>'[1]Processed Data'!M724</f>
        <v>131</v>
      </c>
      <c r="N444">
        <f>'[1]Processed Data'!N724</f>
        <v>2</v>
      </c>
      <c r="O444">
        <f>'[1]Processed Data'!O724</f>
        <v>1</v>
      </c>
      <c r="P444">
        <f>'[1]Processed Data'!P724</f>
        <v>168.4</v>
      </c>
      <c r="Q444">
        <f>'[1]Processed Data'!Q724</f>
        <v>15</v>
      </c>
    </row>
    <row r="445" spans="2:17">
      <c r="B445">
        <f>'[1]Processed Data'!B725</f>
        <v>2016</v>
      </c>
      <c r="C445">
        <f>'[1]Processed Data'!C725</f>
        <v>29</v>
      </c>
      <c r="D445" t="str">
        <f>'[1]Processed Data'!D725</f>
        <v>Ryan Fitzpatrick</v>
      </c>
      <c r="E445">
        <f>Table1[[#This Row],[Year]]</f>
        <v>2016</v>
      </c>
      <c r="F445">
        <f>'[1]Processed Data'!F725</f>
        <v>228</v>
      </c>
      <c r="G445">
        <f>'[1]Processed Data'!G725</f>
        <v>403</v>
      </c>
      <c r="H445">
        <f>'[1]Processed Data'!H725</f>
        <v>56.6</v>
      </c>
      <c r="I445">
        <f>'[1]Processed Data'!I725</f>
        <v>12</v>
      </c>
      <c r="J445">
        <f>'[1]Processed Data'!J725</f>
        <v>17</v>
      </c>
      <c r="K445">
        <f>'[1]Processed Data'!K725</f>
        <v>19</v>
      </c>
      <c r="L445">
        <f>'[1]Processed Data'!L725</f>
        <v>33</v>
      </c>
      <c r="M445">
        <f>'[1]Processed Data'!M725</f>
        <v>130</v>
      </c>
      <c r="N445">
        <f>'[1]Processed Data'!N725</f>
        <v>0</v>
      </c>
      <c r="O445">
        <f>'[1]Processed Data'!O725</f>
        <v>1</v>
      </c>
      <c r="P445">
        <f>'[1]Processed Data'!P725</f>
        <v>133.30000000000001</v>
      </c>
      <c r="Q445">
        <f>'[1]Processed Data'!Q725</f>
        <v>14</v>
      </c>
    </row>
    <row r="446" spans="2:17">
      <c r="B446">
        <f>'[1]Processed Data'!B726</f>
        <v>2016</v>
      </c>
      <c r="C446">
        <f>'[1]Processed Data'!C726</f>
        <v>30</v>
      </c>
      <c r="D446" t="str">
        <f>'[1]Processed Data'!D726</f>
        <v>Case Keenum</v>
      </c>
      <c r="E446">
        <f>Table1[[#This Row],[Year]]</f>
        <v>2016</v>
      </c>
      <c r="F446">
        <f>'[1]Processed Data'!F726</f>
        <v>196</v>
      </c>
      <c r="G446">
        <f>'[1]Processed Data'!G726</f>
        <v>322</v>
      </c>
      <c r="H446">
        <f>'[1]Processed Data'!H726</f>
        <v>60.9</v>
      </c>
      <c r="I446">
        <f>'[1]Processed Data'!I726</f>
        <v>9</v>
      </c>
      <c r="J446">
        <f>'[1]Processed Data'!J726</f>
        <v>11</v>
      </c>
      <c r="K446">
        <f>'[1]Processed Data'!K726</f>
        <v>23</v>
      </c>
      <c r="L446">
        <f>'[1]Processed Data'!L726</f>
        <v>20</v>
      </c>
      <c r="M446">
        <f>'[1]Processed Data'!M726</f>
        <v>51</v>
      </c>
      <c r="N446">
        <f>'[1]Processed Data'!N726</f>
        <v>1</v>
      </c>
      <c r="O446">
        <f>'[1]Processed Data'!O726</f>
        <v>1</v>
      </c>
      <c r="P446">
        <f>'[1]Processed Data'!P726</f>
        <v>111</v>
      </c>
      <c r="Q446">
        <f>'[1]Processed Data'!Q726</f>
        <v>10</v>
      </c>
    </row>
    <row r="447" spans="2:17">
      <c r="B447">
        <f>'[1]Processed Data'!B727</f>
        <v>2016</v>
      </c>
      <c r="C447">
        <f>'[1]Processed Data'!C727</f>
        <v>31</v>
      </c>
      <c r="D447" t="str">
        <f>'[1]Processed Data'!D727</f>
        <v>Brian Hoyer</v>
      </c>
      <c r="E447">
        <f>Table1[[#This Row],[Year]]</f>
        <v>2016</v>
      </c>
      <c r="F447">
        <f>'[1]Processed Data'!F727</f>
        <v>134</v>
      </c>
      <c r="G447">
        <f>'[1]Processed Data'!G727</f>
        <v>200</v>
      </c>
      <c r="H447">
        <f>'[1]Processed Data'!H727</f>
        <v>67</v>
      </c>
      <c r="I447">
        <f>'[1]Processed Data'!I727</f>
        <v>6</v>
      </c>
      <c r="J447">
        <f>'[1]Processed Data'!J727</f>
        <v>0</v>
      </c>
      <c r="K447">
        <f>'[1]Processed Data'!K727</f>
        <v>4</v>
      </c>
      <c r="L447">
        <f>'[1]Processed Data'!L727</f>
        <v>7</v>
      </c>
      <c r="M447">
        <f>'[1]Processed Data'!M727</f>
        <v>-2</v>
      </c>
      <c r="N447">
        <f>'[1]Processed Data'!N727</f>
        <v>0</v>
      </c>
      <c r="O447">
        <f>'[1]Processed Data'!O727</f>
        <v>1</v>
      </c>
      <c r="P447">
        <f>'[1]Processed Data'!P727</f>
        <v>79.2</v>
      </c>
      <c r="Q447">
        <f>'[1]Processed Data'!Q727</f>
        <v>6</v>
      </c>
    </row>
    <row r="448" spans="2:17">
      <c r="B448">
        <f>'[1]Processed Data'!B728</f>
        <v>2016</v>
      </c>
      <c r="C448">
        <f>'[1]Processed Data'!C728</f>
        <v>32</v>
      </c>
      <c r="D448" t="str">
        <f>'[1]Processed Data'!D728</f>
        <v>Cody Kessler</v>
      </c>
      <c r="E448">
        <f>Table1[[#This Row],[Year]]</f>
        <v>2016</v>
      </c>
      <c r="F448">
        <f>'[1]Processed Data'!F728</f>
        <v>128</v>
      </c>
      <c r="G448">
        <f>'[1]Processed Data'!G728</f>
        <v>195</v>
      </c>
      <c r="H448">
        <f>'[1]Processed Data'!H728</f>
        <v>65.599999999999994</v>
      </c>
      <c r="I448">
        <f>'[1]Processed Data'!I728</f>
        <v>6</v>
      </c>
      <c r="J448">
        <f>'[1]Processed Data'!J728</f>
        <v>2</v>
      </c>
      <c r="K448">
        <f>'[1]Processed Data'!K728</f>
        <v>21</v>
      </c>
      <c r="L448">
        <f>'[1]Processed Data'!L728</f>
        <v>11</v>
      </c>
      <c r="M448">
        <f>'[1]Processed Data'!M728</f>
        <v>18</v>
      </c>
      <c r="N448">
        <f>'[1]Processed Data'!N728</f>
        <v>0</v>
      </c>
      <c r="O448">
        <f>'[1]Processed Data'!O728</f>
        <v>1</v>
      </c>
      <c r="P448">
        <f>'[1]Processed Data'!P728</f>
        <v>76.900000000000006</v>
      </c>
      <c r="Q448">
        <f>'[1]Processed Data'!Q728</f>
        <v>9</v>
      </c>
    </row>
    <row r="449" spans="2:17">
      <c r="B449">
        <f>'[1]Processed Data'!B729</f>
        <v>2016</v>
      </c>
      <c r="C449">
        <f>'[1]Processed Data'!C729</f>
        <v>33</v>
      </c>
      <c r="D449" t="str">
        <f>'[1]Processed Data'!D729</f>
        <v>Blaine Gabbert</v>
      </c>
      <c r="E449">
        <f>Table1[[#This Row],[Year]]</f>
        <v>2016</v>
      </c>
      <c r="F449">
        <f>'[1]Processed Data'!F729</f>
        <v>91</v>
      </c>
      <c r="G449">
        <f>'[1]Processed Data'!G729</f>
        <v>160</v>
      </c>
      <c r="H449">
        <f>'[1]Processed Data'!H729</f>
        <v>56.9</v>
      </c>
      <c r="I449">
        <f>'[1]Processed Data'!I729</f>
        <v>5</v>
      </c>
      <c r="J449">
        <f>'[1]Processed Data'!J729</f>
        <v>6</v>
      </c>
      <c r="K449">
        <f>'[1]Processed Data'!K729</f>
        <v>11</v>
      </c>
      <c r="L449">
        <f>'[1]Processed Data'!L729</f>
        <v>40</v>
      </c>
      <c r="M449">
        <f>'[1]Processed Data'!M729</f>
        <v>173</v>
      </c>
      <c r="N449">
        <f>'[1]Processed Data'!N729</f>
        <v>2</v>
      </c>
      <c r="O449">
        <f>'[1]Processed Data'!O729</f>
        <v>0</v>
      </c>
      <c r="P449">
        <f>'[1]Processed Data'!P729</f>
        <v>73.2</v>
      </c>
      <c r="Q449">
        <f>'[1]Processed Data'!Q729</f>
        <v>6</v>
      </c>
    </row>
    <row r="450" spans="2:17">
      <c r="B450">
        <f>'[1]Processed Data'!B730</f>
        <v>2016</v>
      </c>
      <c r="C450">
        <f>'[1]Processed Data'!C730</f>
        <v>34</v>
      </c>
      <c r="D450" t="str">
        <f>'[1]Processed Data'!D730</f>
        <v>Matt Barkley</v>
      </c>
      <c r="E450">
        <f>Table1[[#This Row],[Year]]</f>
        <v>2016</v>
      </c>
      <c r="F450">
        <f>'[1]Processed Data'!F730</f>
        <v>129</v>
      </c>
      <c r="G450">
        <f>'[1]Processed Data'!G730</f>
        <v>216</v>
      </c>
      <c r="H450">
        <f>'[1]Processed Data'!H730</f>
        <v>59.7</v>
      </c>
      <c r="I450">
        <f>'[1]Processed Data'!I730</f>
        <v>8</v>
      </c>
      <c r="J450">
        <f>'[1]Processed Data'!J730</f>
        <v>14</v>
      </c>
      <c r="K450">
        <f>'[1]Processed Data'!K730</f>
        <v>6</v>
      </c>
      <c r="L450">
        <f>'[1]Processed Data'!L730</f>
        <v>7</v>
      </c>
      <c r="M450">
        <f>'[1]Processed Data'!M730</f>
        <v>2</v>
      </c>
      <c r="N450">
        <f>'[1]Processed Data'!N730</f>
        <v>0</v>
      </c>
      <c r="O450">
        <f>'[1]Processed Data'!O730</f>
        <v>2</v>
      </c>
      <c r="P450">
        <f>'[1]Processed Data'!P730</f>
        <v>71.3</v>
      </c>
      <c r="Q450">
        <f>'[1]Processed Data'!Q730</f>
        <v>7</v>
      </c>
    </row>
    <row r="451" spans="2:17">
      <c r="B451">
        <f>'[1]Processed Data'!B731</f>
        <v>2016</v>
      </c>
      <c r="C451">
        <f>'[1]Processed Data'!C731</f>
        <v>35</v>
      </c>
      <c r="D451" t="str">
        <f>'[1]Processed Data'!D731</f>
        <v>Robert Griffin III</v>
      </c>
      <c r="E451">
        <f>Table1[[#This Row],[Year]]</f>
        <v>2016</v>
      </c>
      <c r="F451">
        <f>'[1]Processed Data'!F731</f>
        <v>87</v>
      </c>
      <c r="G451">
        <f>'[1]Processed Data'!G731</f>
        <v>147</v>
      </c>
      <c r="H451">
        <f>'[1]Processed Data'!H731</f>
        <v>59.2</v>
      </c>
      <c r="I451">
        <f>'[1]Processed Data'!I731</f>
        <v>2</v>
      </c>
      <c r="J451">
        <f>'[1]Processed Data'!J731</f>
        <v>3</v>
      </c>
      <c r="K451">
        <f>'[1]Processed Data'!K731</f>
        <v>22</v>
      </c>
      <c r="L451">
        <f>'[1]Processed Data'!L731</f>
        <v>31</v>
      </c>
      <c r="M451">
        <f>'[1]Processed Data'!M731</f>
        <v>190</v>
      </c>
      <c r="N451">
        <f>'[1]Processed Data'!N731</f>
        <v>2</v>
      </c>
      <c r="O451">
        <f>'[1]Processed Data'!O731</f>
        <v>1</v>
      </c>
      <c r="P451">
        <f>'[1]Processed Data'!P731</f>
        <v>66.5</v>
      </c>
      <c r="Q451">
        <f>'[1]Processed Data'!Q731</f>
        <v>5</v>
      </c>
    </row>
    <row r="452" spans="2:17">
      <c r="B452">
        <f>'[1]Processed Data'!B732</f>
        <v>2016</v>
      </c>
      <c r="C452">
        <f>'[1]Processed Data'!C732</f>
        <v>36</v>
      </c>
      <c r="D452" t="str">
        <f>'[1]Processed Data'!D732</f>
        <v>Matt Moore</v>
      </c>
      <c r="E452">
        <f>Table1[[#This Row],[Year]]</f>
        <v>2016</v>
      </c>
      <c r="F452">
        <f>'[1]Processed Data'!F732</f>
        <v>55</v>
      </c>
      <c r="G452">
        <f>'[1]Processed Data'!G732</f>
        <v>87</v>
      </c>
      <c r="H452">
        <f>'[1]Processed Data'!H732</f>
        <v>63.2</v>
      </c>
      <c r="I452">
        <f>'[1]Processed Data'!I732</f>
        <v>8</v>
      </c>
      <c r="J452">
        <f>'[1]Processed Data'!J732</f>
        <v>3</v>
      </c>
      <c r="K452">
        <f>'[1]Processed Data'!K732</f>
        <v>1</v>
      </c>
      <c r="L452">
        <f>'[1]Processed Data'!L732</f>
        <v>1</v>
      </c>
      <c r="M452">
        <f>'[1]Processed Data'!M732</f>
        <v>-1</v>
      </c>
      <c r="N452">
        <f>'[1]Processed Data'!N732</f>
        <v>0</v>
      </c>
      <c r="O452">
        <f>'[1]Processed Data'!O732</f>
        <v>0</v>
      </c>
      <c r="P452">
        <f>'[1]Processed Data'!P732</f>
        <v>54.7</v>
      </c>
      <c r="Q452">
        <f>'[1]Processed Data'!Q732</f>
        <v>4</v>
      </c>
    </row>
    <row r="453" spans="2:17">
      <c r="B453">
        <f>'[1]Processed Data'!B733</f>
        <v>2016</v>
      </c>
      <c r="C453">
        <f>'[1]Processed Data'!C733</f>
        <v>37</v>
      </c>
      <c r="D453" t="str">
        <f>'[1]Processed Data'!D733</f>
        <v>Jared Goff</v>
      </c>
      <c r="E453">
        <f>Table1[[#This Row],[Year]]</f>
        <v>2016</v>
      </c>
      <c r="F453">
        <f>'[1]Processed Data'!F733</f>
        <v>112</v>
      </c>
      <c r="G453">
        <f>'[1]Processed Data'!G733</f>
        <v>205</v>
      </c>
      <c r="H453">
        <f>'[1]Processed Data'!H733</f>
        <v>54.6</v>
      </c>
      <c r="I453">
        <f>'[1]Processed Data'!I733</f>
        <v>5</v>
      </c>
      <c r="J453">
        <f>'[1]Processed Data'!J733</f>
        <v>7</v>
      </c>
      <c r="K453">
        <f>'[1]Processed Data'!K733</f>
        <v>26</v>
      </c>
      <c r="L453">
        <f>'[1]Processed Data'!L733</f>
        <v>8</v>
      </c>
      <c r="M453">
        <f>'[1]Processed Data'!M733</f>
        <v>16</v>
      </c>
      <c r="N453">
        <f>'[1]Processed Data'!N733</f>
        <v>1</v>
      </c>
      <c r="O453">
        <f>'[1]Processed Data'!O733</f>
        <v>2</v>
      </c>
      <c r="P453">
        <f>'[1]Processed Data'!P733</f>
        <v>53.2</v>
      </c>
      <c r="Q453">
        <f>'[1]Processed Data'!Q733</f>
        <v>7</v>
      </c>
    </row>
    <row r="454" spans="2:17">
      <c r="B454">
        <f>'[1]Processed Data'!B734</f>
        <v>2016</v>
      </c>
      <c r="C454">
        <f>'[1]Processed Data'!C734</f>
        <v>38</v>
      </c>
      <c r="D454" t="str">
        <f>'[1]Processed Data'!D734</f>
        <v>Josh McCown</v>
      </c>
      <c r="E454">
        <f>Table1[[#This Row],[Year]]</f>
        <v>2016</v>
      </c>
      <c r="F454">
        <f>'[1]Processed Data'!F734</f>
        <v>90</v>
      </c>
      <c r="G454">
        <f>'[1]Processed Data'!G734</f>
        <v>165</v>
      </c>
      <c r="H454">
        <f>'[1]Processed Data'!H734</f>
        <v>54.5</v>
      </c>
      <c r="I454">
        <f>'[1]Processed Data'!I734</f>
        <v>6</v>
      </c>
      <c r="J454">
        <f>'[1]Processed Data'!J734</f>
        <v>6</v>
      </c>
      <c r="K454">
        <f>'[1]Processed Data'!K734</f>
        <v>18</v>
      </c>
      <c r="L454">
        <f>'[1]Processed Data'!L734</f>
        <v>7</v>
      </c>
      <c r="M454">
        <f>'[1]Processed Data'!M734</f>
        <v>21</v>
      </c>
      <c r="N454">
        <f>'[1]Processed Data'!N734</f>
        <v>0</v>
      </c>
      <c r="O454">
        <f>'[1]Processed Data'!O734</f>
        <v>4</v>
      </c>
      <c r="P454">
        <f>'[1]Processed Data'!P734</f>
        <v>52.1</v>
      </c>
      <c r="Q454">
        <f>'[1]Processed Data'!Q734</f>
        <v>5</v>
      </c>
    </row>
    <row r="455" spans="2:17">
      <c r="B455">
        <f>'[1]Processed Data'!B735</f>
        <v>2016</v>
      </c>
      <c r="C455">
        <f>'[1]Processed Data'!C735</f>
        <v>39</v>
      </c>
      <c r="D455" t="str">
        <f>'[1]Processed Data'!D735</f>
        <v>Jay Cutler</v>
      </c>
      <c r="E455">
        <f>Table1[[#This Row],[Year]]</f>
        <v>2016</v>
      </c>
      <c r="F455">
        <f>'[1]Processed Data'!F735</f>
        <v>81</v>
      </c>
      <c r="G455">
        <f>'[1]Processed Data'!G735</f>
        <v>137</v>
      </c>
      <c r="H455">
        <f>'[1]Processed Data'!H735</f>
        <v>59.1</v>
      </c>
      <c r="I455">
        <f>'[1]Processed Data'!I735</f>
        <v>4</v>
      </c>
      <c r="J455">
        <f>'[1]Processed Data'!J735</f>
        <v>5</v>
      </c>
      <c r="K455">
        <f>'[1]Processed Data'!K735</f>
        <v>17</v>
      </c>
      <c r="L455">
        <f>'[1]Processed Data'!L735</f>
        <v>5</v>
      </c>
      <c r="M455">
        <f>'[1]Processed Data'!M735</f>
        <v>24</v>
      </c>
      <c r="N455">
        <f>'[1]Processed Data'!N735</f>
        <v>0</v>
      </c>
      <c r="O455">
        <f>'[1]Processed Data'!O735</f>
        <v>2</v>
      </c>
      <c r="P455">
        <f>'[1]Processed Data'!P735</f>
        <v>46.8</v>
      </c>
      <c r="Q455">
        <f>'[1]Processed Data'!Q735</f>
        <v>5</v>
      </c>
    </row>
    <row r="456" spans="2:17">
      <c r="B456">
        <f>'[1]Processed Data'!B736</f>
        <v>2016</v>
      </c>
      <c r="C456">
        <f>'[1]Processed Data'!C736</f>
        <v>40</v>
      </c>
      <c r="D456" t="str">
        <f>'[1]Processed Data'!D736</f>
        <v>Jimmy Garoppolo</v>
      </c>
      <c r="E456">
        <f>Table1[[#This Row],[Year]]</f>
        <v>2016</v>
      </c>
      <c r="F456">
        <f>'[1]Processed Data'!F736</f>
        <v>43</v>
      </c>
      <c r="G456">
        <f>'[1]Processed Data'!G736</f>
        <v>63</v>
      </c>
      <c r="H456">
        <f>'[1]Processed Data'!H736</f>
        <v>68.3</v>
      </c>
      <c r="I456">
        <f>'[1]Processed Data'!I736</f>
        <v>4</v>
      </c>
      <c r="J456">
        <f>'[1]Processed Data'!J736</f>
        <v>0</v>
      </c>
      <c r="K456">
        <f>'[1]Processed Data'!K736</f>
        <v>3</v>
      </c>
      <c r="L456">
        <f>'[1]Processed Data'!L736</f>
        <v>10</v>
      </c>
      <c r="M456">
        <f>'[1]Processed Data'!M736</f>
        <v>6</v>
      </c>
      <c r="N456">
        <f>'[1]Processed Data'!N736</f>
        <v>0</v>
      </c>
      <c r="O456">
        <f>'[1]Processed Data'!O736</f>
        <v>1</v>
      </c>
      <c r="P456">
        <f>'[1]Processed Data'!P736</f>
        <v>35.6</v>
      </c>
      <c r="Q456">
        <f>'[1]Processed Data'!Q736</f>
        <v>6</v>
      </c>
    </row>
    <row r="457" spans="2:17">
      <c r="B457">
        <f>'[1]Processed Data'!B737</f>
        <v>2016</v>
      </c>
      <c r="C457">
        <f>'[1]Processed Data'!C737</f>
        <v>41</v>
      </c>
      <c r="D457" t="str">
        <f>'[1]Processed Data'!D737</f>
        <v>Landry Jones</v>
      </c>
      <c r="E457">
        <f>Table1[[#This Row],[Year]]</f>
        <v>2016</v>
      </c>
      <c r="F457">
        <f>'[1]Processed Data'!F737</f>
        <v>53</v>
      </c>
      <c r="G457">
        <f>'[1]Processed Data'!G737</f>
        <v>86</v>
      </c>
      <c r="H457">
        <f>'[1]Processed Data'!H737</f>
        <v>61.6</v>
      </c>
      <c r="I457">
        <f>'[1]Processed Data'!I737</f>
        <v>4</v>
      </c>
      <c r="J457">
        <f>'[1]Processed Data'!J737</f>
        <v>2</v>
      </c>
      <c r="K457">
        <f>'[1]Processed Data'!K737</f>
        <v>4</v>
      </c>
      <c r="L457">
        <f>'[1]Processed Data'!L737</f>
        <v>6</v>
      </c>
      <c r="M457">
        <f>'[1]Processed Data'!M737</f>
        <v>-4</v>
      </c>
      <c r="N457">
        <f>'[1]Processed Data'!N737</f>
        <v>0</v>
      </c>
      <c r="O457">
        <f>'[1]Processed Data'!O737</f>
        <v>0</v>
      </c>
      <c r="P457">
        <f>'[1]Processed Data'!P737</f>
        <v>33.9</v>
      </c>
      <c r="Q457">
        <f>'[1]Processed Data'!Q737</f>
        <v>8</v>
      </c>
    </row>
    <row r="458" spans="2:17">
      <c r="B458">
        <f>'[1]Processed Data'!B738</f>
        <v>2016</v>
      </c>
      <c r="C458">
        <f>'[1]Processed Data'!C738</f>
        <v>42</v>
      </c>
      <c r="D458" t="str">
        <f>'[1]Processed Data'!D738</f>
        <v>Bryce Petty</v>
      </c>
      <c r="E458">
        <f>Table1[[#This Row],[Year]]</f>
        <v>2016</v>
      </c>
      <c r="F458">
        <f>'[1]Processed Data'!F738</f>
        <v>75</v>
      </c>
      <c r="G458">
        <f>'[1]Processed Data'!G738</f>
        <v>133</v>
      </c>
      <c r="H458">
        <f>'[1]Processed Data'!H738</f>
        <v>56.4</v>
      </c>
      <c r="I458">
        <f>'[1]Processed Data'!I738</f>
        <v>3</v>
      </c>
      <c r="J458">
        <f>'[1]Processed Data'!J738</f>
        <v>7</v>
      </c>
      <c r="K458">
        <f>'[1]Processed Data'!K738</f>
        <v>13</v>
      </c>
      <c r="L458">
        <f>'[1]Processed Data'!L738</f>
        <v>5</v>
      </c>
      <c r="M458">
        <f>'[1]Processed Data'!M738</f>
        <v>19</v>
      </c>
      <c r="N458">
        <f>'[1]Processed Data'!N738</f>
        <v>0</v>
      </c>
      <c r="O458">
        <f>'[1]Processed Data'!O738</f>
        <v>1</v>
      </c>
      <c r="P458">
        <f>'[1]Processed Data'!P738</f>
        <v>32.299999999999997</v>
      </c>
      <c r="Q458">
        <f>'[1]Processed Data'!Q738</f>
        <v>6</v>
      </c>
    </row>
    <row r="459" spans="2:17">
      <c r="B459">
        <f>'[1]Processed Data'!B739</f>
        <v>2016</v>
      </c>
      <c r="C459">
        <f>'[1]Processed Data'!C739</f>
        <v>43</v>
      </c>
      <c r="D459" t="str">
        <f>'[1]Processed Data'!D739</f>
        <v>Paxton Lynch</v>
      </c>
      <c r="E459">
        <f>Table1[[#This Row],[Year]]</f>
        <v>2016</v>
      </c>
      <c r="F459">
        <f>'[1]Processed Data'!F739</f>
        <v>49</v>
      </c>
      <c r="G459">
        <f>'[1]Processed Data'!G739</f>
        <v>83</v>
      </c>
      <c r="H459">
        <f>'[1]Processed Data'!H739</f>
        <v>59</v>
      </c>
      <c r="I459">
        <f>'[1]Processed Data'!I739</f>
        <v>2</v>
      </c>
      <c r="J459">
        <f>'[1]Processed Data'!J739</f>
        <v>1</v>
      </c>
      <c r="K459">
        <f>'[1]Processed Data'!K739</f>
        <v>9</v>
      </c>
      <c r="L459">
        <f>'[1]Processed Data'!L739</f>
        <v>11</v>
      </c>
      <c r="M459">
        <f>'[1]Processed Data'!M739</f>
        <v>25</v>
      </c>
      <c r="N459">
        <f>'[1]Processed Data'!N739</f>
        <v>0</v>
      </c>
      <c r="O459">
        <f>'[1]Processed Data'!O739</f>
        <v>0</v>
      </c>
      <c r="P459">
        <f>'[1]Processed Data'!P739</f>
        <v>28.4</v>
      </c>
      <c r="Q459">
        <f>'[1]Processed Data'!Q739</f>
        <v>3</v>
      </c>
    </row>
    <row r="460" spans="2:17">
      <c r="B460">
        <f>'[1]Processed Data'!B740</f>
        <v>2016</v>
      </c>
      <c r="C460">
        <f>'[1]Processed Data'!C740</f>
        <v>44</v>
      </c>
      <c r="D460" t="str">
        <f>'[1]Processed Data'!D740</f>
        <v>Jacoby Brissett</v>
      </c>
      <c r="E460">
        <f>Table1[[#This Row],[Year]]</f>
        <v>2016</v>
      </c>
      <c r="F460">
        <f>'[1]Processed Data'!F740</f>
        <v>34</v>
      </c>
      <c r="G460">
        <f>'[1]Processed Data'!G740</f>
        <v>55</v>
      </c>
      <c r="H460">
        <f>'[1]Processed Data'!H740</f>
        <v>61.8</v>
      </c>
      <c r="I460">
        <f>'[1]Processed Data'!I740</f>
        <v>0</v>
      </c>
      <c r="J460">
        <f>'[1]Processed Data'!J740</f>
        <v>0</v>
      </c>
      <c r="K460">
        <f>'[1]Processed Data'!K740</f>
        <v>6</v>
      </c>
      <c r="L460">
        <f>'[1]Processed Data'!L740</f>
        <v>16</v>
      </c>
      <c r="M460">
        <f>'[1]Processed Data'!M740</f>
        <v>83</v>
      </c>
      <c r="N460">
        <f>'[1]Processed Data'!N740</f>
        <v>1</v>
      </c>
      <c r="O460">
        <f>'[1]Processed Data'!O740</f>
        <v>1</v>
      </c>
      <c r="P460">
        <f>'[1]Processed Data'!P740</f>
        <v>28.3</v>
      </c>
      <c r="Q460">
        <f>'[1]Processed Data'!Q740</f>
        <v>3</v>
      </c>
    </row>
    <row r="461" spans="2:17">
      <c r="B461">
        <f>'[1]Processed Data'!B741</f>
        <v>2016</v>
      </c>
      <c r="C461">
        <f>'[1]Processed Data'!C741</f>
        <v>45</v>
      </c>
      <c r="D461" t="str">
        <f>'[1]Processed Data'!D741</f>
        <v>Nick Foles</v>
      </c>
      <c r="E461">
        <f>Table1[[#This Row],[Year]]</f>
        <v>2016</v>
      </c>
      <c r="F461">
        <f>'[1]Processed Data'!F741</f>
        <v>36</v>
      </c>
      <c r="G461">
        <f>'[1]Processed Data'!G741</f>
        <v>55</v>
      </c>
      <c r="H461">
        <f>'[1]Processed Data'!H741</f>
        <v>65.5</v>
      </c>
      <c r="I461">
        <f>'[1]Processed Data'!I741</f>
        <v>3</v>
      </c>
      <c r="J461">
        <f>'[1]Processed Data'!J741</f>
        <v>0</v>
      </c>
      <c r="K461">
        <f>'[1]Processed Data'!K741</f>
        <v>4</v>
      </c>
      <c r="L461">
        <f>'[1]Processed Data'!L741</f>
        <v>4</v>
      </c>
      <c r="M461">
        <f>'[1]Processed Data'!M741</f>
        <v>-4</v>
      </c>
      <c r="N461">
        <f>'[1]Processed Data'!N741</f>
        <v>0</v>
      </c>
      <c r="O461">
        <f>'[1]Processed Data'!O741</f>
        <v>0</v>
      </c>
      <c r="P461">
        <f>'[1]Processed Data'!P741</f>
        <v>28</v>
      </c>
      <c r="Q461">
        <f>'[1]Processed Data'!Q741</f>
        <v>3</v>
      </c>
    </row>
    <row r="462" spans="2:17">
      <c r="B462">
        <f>'[1]Processed Data'!B742</f>
        <v>2016</v>
      </c>
      <c r="C462">
        <f>'[1]Processed Data'!C742</f>
        <v>46</v>
      </c>
      <c r="D462" t="str">
        <f>'[1]Processed Data'!D742</f>
        <v>Tom Savage</v>
      </c>
      <c r="E462">
        <f>Table1[[#This Row],[Year]]</f>
        <v>2016</v>
      </c>
      <c r="F462">
        <f>'[1]Processed Data'!F742</f>
        <v>46</v>
      </c>
      <c r="G462">
        <f>'[1]Processed Data'!G742</f>
        <v>73</v>
      </c>
      <c r="H462">
        <f>'[1]Processed Data'!H742</f>
        <v>63</v>
      </c>
      <c r="I462">
        <f>'[1]Processed Data'!I742</f>
        <v>0</v>
      </c>
      <c r="J462">
        <f>'[1]Processed Data'!J742</f>
        <v>0</v>
      </c>
      <c r="K462">
        <f>'[1]Processed Data'!K742</f>
        <v>5</v>
      </c>
      <c r="L462">
        <f>'[1]Processed Data'!L742</f>
        <v>6</v>
      </c>
      <c r="M462">
        <f>'[1]Processed Data'!M742</f>
        <v>12</v>
      </c>
      <c r="N462">
        <f>'[1]Processed Data'!N742</f>
        <v>0</v>
      </c>
      <c r="O462">
        <f>'[1]Processed Data'!O742</f>
        <v>1</v>
      </c>
      <c r="P462">
        <f>'[1]Processed Data'!P742</f>
        <v>17.600000000000001</v>
      </c>
      <c r="Q462">
        <f>'[1]Processed Data'!Q742</f>
        <v>3</v>
      </c>
    </row>
    <row r="463" spans="2:17">
      <c r="B463">
        <f>'[1]Processed Data'!B743</f>
        <v>2016</v>
      </c>
      <c r="C463">
        <f>'[1]Processed Data'!C743</f>
        <v>47</v>
      </c>
      <c r="D463" t="str">
        <f>'[1]Processed Data'!D743</f>
        <v>Kevin Hogan</v>
      </c>
      <c r="E463">
        <f>Table1[[#This Row],[Year]]</f>
        <v>2016</v>
      </c>
      <c r="F463">
        <f>'[1]Processed Data'!F743</f>
        <v>14</v>
      </c>
      <c r="G463">
        <f>'[1]Processed Data'!G743</f>
        <v>26</v>
      </c>
      <c r="H463">
        <f>'[1]Processed Data'!H743</f>
        <v>53.8</v>
      </c>
      <c r="I463">
        <f>'[1]Processed Data'!I743</f>
        <v>0</v>
      </c>
      <c r="J463">
        <f>'[1]Processed Data'!J743</f>
        <v>2</v>
      </c>
      <c r="K463">
        <f>'[1]Processed Data'!K743</f>
        <v>2</v>
      </c>
      <c r="L463">
        <f>'[1]Processed Data'!L743</f>
        <v>8</v>
      </c>
      <c r="M463">
        <f>'[1]Processed Data'!M743</f>
        <v>105</v>
      </c>
      <c r="N463">
        <f>'[1]Processed Data'!N743</f>
        <v>1</v>
      </c>
      <c r="O463">
        <f>'[1]Processed Data'!O743</f>
        <v>0</v>
      </c>
      <c r="P463">
        <f>'[1]Processed Data'!P743</f>
        <v>16.7</v>
      </c>
      <c r="Q463">
        <f>'[1]Processed Data'!Q743</f>
        <v>4</v>
      </c>
    </row>
    <row r="464" spans="2:17">
      <c r="B464">
        <f>'[1]Processed Data'!B744</f>
        <v>2016</v>
      </c>
      <c r="C464">
        <f>'[1]Processed Data'!C744</f>
        <v>48</v>
      </c>
      <c r="D464" t="str">
        <f>'[1]Processed Data'!D744</f>
        <v>Derek Anderson</v>
      </c>
      <c r="E464">
        <f>Table1[[#This Row],[Year]]</f>
        <v>2016</v>
      </c>
      <c r="F464">
        <f>'[1]Processed Data'!F744</f>
        <v>36</v>
      </c>
      <c r="G464">
        <f>'[1]Processed Data'!G744</f>
        <v>53</v>
      </c>
      <c r="H464">
        <f>'[1]Processed Data'!H744</f>
        <v>67.900000000000006</v>
      </c>
      <c r="I464">
        <f>'[1]Processed Data'!I744</f>
        <v>2</v>
      </c>
      <c r="J464">
        <f>'[1]Processed Data'!J744</f>
        <v>5</v>
      </c>
      <c r="K464">
        <f>'[1]Processed Data'!K744</f>
        <v>0</v>
      </c>
      <c r="L464">
        <f>'[1]Processed Data'!L744</f>
        <v>1</v>
      </c>
      <c r="M464">
        <f>'[1]Processed Data'!M744</f>
        <v>4</v>
      </c>
      <c r="N464">
        <f>'[1]Processed Data'!N744</f>
        <v>0</v>
      </c>
      <c r="O464">
        <f>'[1]Processed Data'!O744</f>
        <v>1</v>
      </c>
      <c r="P464">
        <f>'[1]Processed Data'!P744</f>
        <v>16.5</v>
      </c>
      <c r="Q464">
        <f>'[1]Processed Data'!Q744</f>
        <v>6</v>
      </c>
    </row>
    <row r="465" spans="2:17">
      <c r="B465">
        <f>'[1]Processed Data'!B745</f>
        <v>2016</v>
      </c>
      <c r="C465">
        <f>'[1]Processed Data'!C745</f>
        <v>49</v>
      </c>
      <c r="D465" t="str">
        <f>'[1]Processed Data'!D745</f>
        <v>Matt Cassel</v>
      </c>
      <c r="E465">
        <f>Table1[[#This Row],[Year]]</f>
        <v>2016</v>
      </c>
      <c r="F465">
        <f>'[1]Processed Data'!F745</f>
        <v>30</v>
      </c>
      <c r="G465">
        <f>'[1]Processed Data'!G745</f>
        <v>51</v>
      </c>
      <c r="H465">
        <f>'[1]Processed Data'!H745</f>
        <v>58.8</v>
      </c>
      <c r="I465">
        <f>'[1]Processed Data'!I745</f>
        <v>2</v>
      </c>
      <c r="J465">
        <f>'[1]Processed Data'!J745</f>
        <v>2</v>
      </c>
      <c r="K465">
        <f>'[1]Processed Data'!K745</f>
        <v>5</v>
      </c>
      <c r="L465">
        <f>'[1]Processed Data'!L745</f>
        <v>4</v>
      </c>
      <c r="M465">
        <f>'[1]Processed Data'!M745</f>
        <v>3</v>
      </c>
      <c r="N465">
        <f>'[1]Processed Data'!N745</f>
        <v>0</v>
      </c>
      <c r="O465">
        <f>'[1]Processed Data'!O745</f>
        <v>0</v>
      </c>
      <c r="P465">
        <f>'[1]Processed Data'!P745</f>
        <v>15.7</v>
      </c>
      <c r="Q465">
        <f>'[1]Processed Data'!Q745</f>
        <v>4</v>
      </c>
    </row>
    <row r="466" spans="2:17">
      <c r="B466">
        <f>'[1]Processed Data'!B746</f>
        <v>2016</v>
      </c>
      <c r="C466">
        <f>'[1]Processed Data'!C746</f>
        <v>50</v>
      </c>
      <c r="D466" t="str">
        <f>'[1]Processed Data'!D746</f>
        <v>Shaun Hill</v>
      </c>
      <c r="E466">
        <f>Table1[[#This Row],[Year]]</f>
        <v>2016</v>
      </c>
      <c r="F466">
        <f>'[1]Processed Data'!F746</f>
        <v>19</v>
      </c>
      <c r="G466">
        <f>'[1]Processed Data'!G746</f>
        <v>35</v>
      </c>
      <c r="H466">
        <f>'[1]Processed Data'!H746</f>
        <v>54.3</v>
      </c>
      <c r="I466">
        <f>'[1]Processed Data'!I746</f>
        <v>0</v>
      </c>
      <c r="J466">
        <f>'[1]Processed Data'!J746</f>
        <v>0</v>
      </c>
      <c r="K466">
        <f>'[1]Processed Data'!K746</f>
        <v>1</v>
      </c>
      <c r="L466">
        <f>'[1]Processed Data'!L746</f>
        <v>5</v>
      </c>
      <c r="M466">
        <f>'[1]Processed Data'!M746</f>
        <v>5</v>
      </c>
      <c r="N466">
        <f>'[1]Processed Data'!N746</f>
        <v>0</v>
      </c>
      <c r="O466">
        <f>'[1]Processed Data'!O746</f>
        <v>0</v>
      </c>
      <c r="P466">
        <f>'[1]Processed Data'!P746</f>
        <v>10.1</v>
      </c>
      <c r="Q466">
        <f>'[1]Processed Data'!Q746</f>
        <v>3</v>
      </c>
    </row>
    <row r="467" spans="2:17">
      <c r="B467">
        <f>'[1]Processed Data'!B747</f>
        <v>2016</v>
      </c>
      <c r="C467">
        <f>'[1]Processed Data'!C747</f>
        <v>51</v>
      </c>
      <c r="D467" t="str">
        <f>'[1]Processed Data'!D747</f>
        <v>Drew Stanton</v>
      </c>
      <c r="E467">
        <f>Table1[[#This Row],[Year]]</f>
        <v>2016</v>
      </c>
      <c r="F467">
        <f>'[1]Processed Data'!F747</f>
        <v>19</v>
      </c>
      <c r="G467">
        <f>'[1]Processed Data'!G747</f>
        <v>48</v>
      </c>
      <c r="H467">
        <f>'[1]Processed Data'!H747</f>
        <v>39.6</v>
      </c>
      <c r="I467">
        <f>'[1]Processed Data'!I747</f>
        <v>2</v>
      </c>
      <c r="J467">
        <f>'[1]Processed Data'!J747</f>
        <v>3</v>
      </c>
      <c r="K467">
        <f>'[1]Processed Data'!K747</f>
        <v>1</v>
      </c>
      <c r="L467">
        <f>'[1]Processed Data'!L747</f>
        <v>3</v>
      </c>
      <c r="M467">
        <f>'[1]Processed Data'!M747</f>
        <v>-3</v>
      </c>
      <c r="N467">
        <f>'[1]Processed Data'!N747</f>
        <v>0</v>
      </c>
      <c r="O467">
        <f>'[1]Processed Data'!O747</f>
        <v>0</v>
      </c>
      <c r="P467">
        <f>'[1]Processed Data'!P747</f>
        <v>9.4</v>
      </c>
      <c r="Q467">
        <f>'[1]Processed Data'!Q747</f>
        <v>5</v>
      </c>
    </row>
    <row r="468" spans="2:17">
      <c r="B468">
        <f>'[1]Processed Data'!B748</f>
        <v>2016</v>
      </c>
      <c r="C468">
        <f>'[1]Processed Data'!C748</f>
        <v>52</v>
      </c>
      <c r="D468" t="str">
        <f>'[1]Processed Data'!D748</f>
        <v>Charlie Whitehurst</v>
      </c>
      <c r="E468">
        <f>Table1[[#This Row],[Year]]</f>
        <v>2016</v>
      </c>
      <c r="F468">
        <f>'[1]Processed Data'!F748</f>
        <v>14</v>
      </c>
      <c r="G468">
        <f>'[1]Processed Data'!G748</f>
        <v>24</v>
      </c>
      <c r="H468">
        <f>'[1]Processed Data'!H748</f>
        <v>58.3</v>
      </c>
      <c r="I468">
        <f>'[1]Processed Data'!I748</f>
        <v>1</v>
      </c>
      <c r="J468">
        <f>'[1]Processed Data'!J748</f>
        <v>1</v>
      </c>
      <c r="K468">
        <f>'[1]Processed Data'!K748</f>
        <v>2</v>
      </c>
      <c r="L468">
        <f>'[1]Processed Data'!L748</f>
        <v>2</v>
      </c>
      <c r="M468">
        <f>'[1]Processed Data'!M748</f>
        <v>1</v>
      </c>
      <c r="N468">
        <f>'[1]Processed Data'!N748</f>
        <v>0</v>
      </c>
      <c r="O468">
        <f>'[1]Processed Data'!O748</f>
        <v>0</v>
      </c>
      <c r="P468">
        <f>'[1]Processed Data'!P748</f>
        <v>9.4</v>
      </c>
      <c r="Q468">
        <f>'[1]Processed Data'!Q748</f>
        <v>1</v>
      </c>
    </row>
    <row r="469" spans="2:17">
      <c r="B469">
        <f>'[1]Processed Data'!B749</f>
        <v>2016</v>
      </c>
      <c r="C469">
        <f>'[1]Processed Data'!C749</f>
        <v>53</v>
      </c>
      <c r="D469" t="str">
        <f>'[1]Processed Data'!D749</f>
        <v>Mike Glennon</v>
      </c>
      <c r="E469">
        <f>Table1[[#This Row],[Year]]</f>
        <v>2016</v>
      </c>
      <c r="F469">
        <f>'[1]Processed Data'!F749</f>
        <v>10</v>
      </c>
      <c r="G469">
        <f>'[1]Processed Data'!G749</f>
        <v>11</v>
      </c>
      <c r="H469">
        <f>'[1]Processed Data'!H749</f>
        <v>90.9</v>
      </c>
      <c r="I469">
        <f>'[1]Processed Data'!I749</f>
        <v>1</v>
      </c>
      <c r="J469">
        <f>'[1]Processed Data'!J749</f>
        <v>0</v>
      </c>
      <c r="K469">
        <f>'[1]Processed Data'!K749</f>
        <v>0</v>
      </c>
      <c r="L469">
        <f>'[1]Processed Data'!L749</f>
        <v>0</v>
      </c>
      <c r="M469">
        <f>'[1]Processed Data'!M749</f>
        <v>0</v>
      </c>
      <c r="N469">
        <f>'[1]Processed Data'!N749</f>
        <v>0</v>
      </c>
      <c r="O469">
        <f>'[1]Processed Data'!O749</f>
        <v>0</v>
      </c>
      <c r="P469">
        <f>'[1]Processed Data'!P749</f>
        <v>9</v>
      </c>
      <c r="Q469">
        <f>'[1]Processed Data'!Q749</f>
        <v>2</v>
      </c>
    </row>
    <row r="470" spans="2:17">
      <c r="B470">
        <f>'[1]Processed Data'!B750</f>
        <v>2016</v>
      </c>
      <c r="C470">
        <f>'[1]Processed Data'!C750</f>
        <v>54</v>
      </c>
      <c r="D470" t="str">
        <f>'[1]Processed Data'!D750</f>
        <v>Scott Tolzien</v>
      </c>
      <c r="E470">
        <f>Table1[[#This Row],[Year]]</f>
        <v>2016</v>
      </c>
      <c r="F470">
        <f>'[1]Processed Data'!F750</f>
        <v>23</v>
      </c>
      <c r="G470">
        <f>'[1]Processed Data'!G750</f>
        <v>37</v>
      </c>
      <c r="H470">
        <f>'[1]Processed Data'!H750</f>
        <v>62.2</v>
      </c>
      <c r="I470">
        <f>'[1]Processed Data'!I750</f>
        <v>1</v>
      </c>
      <c r="J470">
        <f>'[1]Processed Data'!J750</f>
        <v>2</v>
      </c>
      <c r="K470">
        <f>'[1]Processed Data'!K750</f>
        <v>3</v>
      </c>
      <c r="L470">
        <f>'[1]Processed Data'!L750</f>
        <v>6</v>
      </c>
      <c r="M470">
        <f>'[1]Processed Data'!M750</f>
        <v>3</v>
      </c>
      <c r="N470">
        <f>'[1]Processed Data'!N750</f>
        <v>0</v>
      </c>
      <c r="O470">
        <f>'[1]Processed Data'!O750</f>
        <v>0</v>
      </c>
      <c r="P470">
        <f>'[1]Processed Data'!P750</f>
        <v>8.9</v>
      </c>
      <c r="Q470">
        <f>'[1]Processed Data'!Q750</f>
        <v>3</v>
      </c>
    </row>
    <row r="471" spans="2:17">
      <c r="B471">
        <f>'[1]Processed Data'!B751</f>
        <v>2016</v>
      </c>
      <c r="C471">
        <f>'[1]Processed Data'!C751</f>
        <v>55</v>
      </c>
      <c r="D471" t="str">
        <f>'[1]Processed Data'!D751</f>
        <v>Geno Smith</v>
      </c>
      <c r="E471">
        <f>Table1[[#This Row],[Year]]</f>
        <v>2016</v>
      </c>
      <c r="F471">
        <f>'[1]Processed Data'!F751</f>
        <v>8</v>
      </c>
      <c r="G471">
        <f>'[1]Processed Data'!G751</f>
        <v>14</v>
      </c>
      <c r="H471">
        <f>'[1]Processed Data'!H751</f>
        <v>57.1</v>
      </c>
      <c r="I471">
        <f>'[1]Processed Data'!I751</f>
        <v>1</v>
      </c>
      <c r="J471">
        <f>'[1]Processed Data'!J751</f>
        <v>1</v>
      </c>
      <c r="K471">
        <f>'[1]Processed Data'!K751</f>
        <v>3</v>
      </c>
      <c r="L471">
        <f>'[1]Processed Data'!L751</f>
        <v>2</v>
      </c>
      <c r="M471">
        <f>'[1]Processed Data'!M751</f>
        <v>9</v>
      </c>
      <c r="N471">
        <f>'[1]Processed Data'!N751</f>
        <v>0</v>
      </c>
      <c r="O471">
        <f>'[1]Processed Data'!O751</f>
        <v>0</v>
      </c>
      <c r="P471">
        <f>'[1]Processed Data'!P751</f>
        <v>7.9</v>
      </c>
      <c r="Q471">
        <f>'[1]Processed Data'!Q751</f>
        <v>2</v>
      </c>
    </row>
    <row r="472" spans="2:17">
      <c r="B472">
        <f>'[1]Processed Data'!B752</f>
        <v>2016</v>
      </c>
      <c r="C472">
        <f>'[1]Processed Data'!C752</f>
        <v>56</v>
      </c>
      <c r="D472" t="str">
        <f>'[1]Processed Data'!D752</f>
        <v>Trevone Boykin</v>
      </c>
      <c r="E472">
        <f>Table1[[#This Row],[Year]]</f>
        <v>2016</v>
      </c>
      <c r="F472">
        <f>'[1]Processed Data'!F752</f>
        <v>13</v>
      </c>
      <c r="G472">
        <f>'[1]Processed Data'!G752</f>
        <v>18</v>
      </c>
      <c r="H472">
        <f>'[1]Processed Data'!H752</f>
        <v>72.2</v>
      </c>
      <c r="I472">
        <f>'[1]Processed Data'!I752</f>
        <v>1</v>
      </c>
      <c r="J472">
        <f>'[1]Processed Data'!J752</f>
        <v>1</v>
      </c>
      <c r="K472">
        <f>'[1]Processed Data'!K752</f>
        <v>1</v>
      </c>
      <c r="L472">
        <f>'[1]Processed Data'!L752</f>
        <v>8</v>
      </c>
      <c r="M472">
        <f>'[1]Processed Data'!M752</f>
        <v>1</v>
      </c>
      <c r="N472">
        <f>'[1]Processed Data'!N752</f>
        <v>0</v>
      </c>
      <c r="O472">
        <f>'[1]Processed Data'!O752</f>
        <v>0</v>
      </c>
      <c r="P472">
        <f>'[1]Processed Data'!P752</f>
        <v>7.9</v>
      </c>
      <c r="Q472">
        <f>'[1]Processed Data'!Q752</f>
        <v>5</v>
      </c>
    </row>
    <row r="473" spans="2:17">
      <c r="B473">
        <f>'[1]Processed Data'!B753</f>
        <v>2016</v>
      </c>
      <c r="C473">
        <f>'[1]Processed Data'!C753</f>
        <v>57</v>
      </c>
      <c r="D473" t="str">
        <f>'[1]Processed Data'!D753</f>
        <v>E.J. Manuel</v>
      </c>
      <c r="E473">
        <f>Table1[[#This Row],[Year]]</f>
        <v>2016</v>
      </c>
      <c r="F473">
        <f>'[1]Processed Data'!F753</f>
        <v>11</v>
      </c>
      <c r="G473">
        <f>'[1]Processed Data'!G753</f>
        <v>26</v>
      </c>
      <c r="H473">
        <f>'[1]Processed Data'!H753</f>
        <v>42.3</v>
      </c>
      <c r="I473">
        <f>'[1]Processed Data'!I753</f>
        <v>0</v>
      </c>
      <c r="J473">
        <f>'[1]Processed Data'!J753</f>
        <v>0</v>
      </c>
      <c r="K473">
        <f>'[1]Processed Data'!K753</f>
        <v>3</v>
      </c>
      <c r="L473">
        <f>'[1]Processed Data'!L753</f>
        <v>8</v>
      </c>
      <c r="M473">
        <f>'[1]Processed Data'!M753</f>
        <v>22</v>
      </c>
      <c r="N473">
        <f>'[1]Processed Data'!N753</f>
        <v>0</v>
      </c>
      <c r="O473">
        <f>'[1]Processed Data'!O753</f>
        <v>1</v>
      </c>
      <c r="P473">
        <f>'[1]Processed Data'!P753</f>
        <v>7.4</v>
      </c>
      <c r="Q473">
        <f>'[1]Processed Data'!Q753</f>
        <v>6</v>
      </c>
    </row>
    <row r="474" spans="2:17">
      <c r="B474">
        <f>'[1]Processed Data'!B754</f>
        <v>2016</v>
      </c>
      <c r="C474">
        <f>'[1]Processed Data'!C754</f>
        <v>58</v>
      </c>
      <c r="D474" t="str">
        <f>'[1]Processed Data'!D754</f>
        <v>Connor Cook</v>
      </c>
      <c r="E474">
        <f>Table1[[#This Row],[Year]]</f>
        <v>2016</v>
      </c>
      <c r="F474">
        <f>'[1]Processed Data'!F754</f>
        <v>14</v>
      </c>
      <c r="G474">
        <f>'[1]Processed Data'!G754</f>
        <v>21</v>
      </c>
      <c r="H474">
        <f>'[1]Processed Data'!H754</f>
        <v>66.7</v>
      </c>
      <c r="I474">
        <f>'[1]Processed Data'!I754</f>
        <v>1</v>
      </c>
      <c r="J474">
        <f>'[1]Processed Data'!J754</f>
        <v>1</v>
      </c>
      <c r="K474">
        <f>'[1]Processed Data'!K754</f>
        <v>2</v>
      </c>
      <c r="L474">
        <f>'[1]Processed Data'!L754</f>
        <v>0</v>
      </c>
      <c r="M474">
        <f>'[1]Processed Data'!M754</f>
        <v>0</v>
      </c>
      <c r="N474">
        <f>'[1]Processed Data'!N754</f>
        <v>0</v>
      </c>
      <c r="O474">
        <f>'[1]Processed Data'!O754</f>
        <v>1</v>
      </c>
      <c r="P474">
        <f>'[1]Processed Data'!P754</f>
        <v>6</v>
      </c>
      <c r="Q474">
        <f>'[1]Processed Data'!Q754</f>
        <v>1</v>
      </c>
    </row>
    <row r="475" spans="2:17">
      <c r="B475">
        <f>'[1]Processed Data'!B755</f>
        <v>2016</v>
      </c>
      <c r="C475">
        <f>'[1]Processed Data'!C755</f>
        <v>59</v>
      </c>
      <c r="D475" t="str">
        <f>'[1]Processed Data'!D755</f>
        <v>Tony Romo</v>
      </c>
      <c r="E475">
        <f>Table1[[#This Row],[Year]]</f>
        <v>2016</v>
      </c>
      <c r="F475">
        <f>'[1]Processed Data'!F755</f>
        <v>3</v>
      </c>
      <c r="G475">
        <f>'[1]Processed Data'!G755</f>
        <v>4</v>
      </c>
      <c r="H475">
        <f>'[1]Processed Data'!H755</f>
        <v>75</v>
      </c>
      <c r="I475">
        <f>'[1]Processed Data'!I755</f>
        <v>1</v>
      </c>
      <c r="J475">
        <f>'[1]Processed Data'!J755</f>
        <v>0</v>
      </c>
      <c r="K475">
        <f>'[1]Processed Data'!K755</f>
        <v>0</v>
      </c>
      <c r="L475">
        <f>'[1]Processed Data'!L755</f>
        <v>0</v>
      </c>
      <c r="M475">
        <f>'[1]Processed Data'!M755</f>
        <v>0</v>
      </c>
      <c r="N475">
        <f>'[1]Processed Data'!N755</f>
        <v>0</v>
      </c>
      <c r="O475">
        <f>'[1]Processed Data'!O755</f>
        <v>0</v>
      </c>
      <c r="P475">
        <f>'[1]Processed Data'!P755</f>
        <v>5.2</v>
      </c>
      <c r="Q475">
        <f>'[1]Processed Data'!Q755</f>
        <v>1</v>
      </c>
    </row>
    <row r="476" spans="2:17">
      <c r="B476">
        <f>'[1]Processed Data'!B756</f>
        <v>2016</v>
      </c>
      <c r="C476">
        <f>'[1]Processed Data'!C756</f>
        <v>60</v>
      </c>
      <c r="D476" t="str">
        <f>'[1]Processed Data'!D756</f>
        <v>Cardale Jones</v>
      </c>
      <c r="E476">
        <f>Table1[[#This Row],[Year]]</f>
        <v>2016</v>
      </c>
      <c r="F476">
        <f>'[1]Processed Data'!F756</f>
        <v>6</v>
      </c>
      <c r="G476">
        <f>'[1]Processed Data'!G756</f>
        <v>11</v>
      </c>
      <c r="H476">
        <f>'[1]Processed Data'!H756</f>
        <v>54.5</v>
      </c>
      <c r="I476">
        <f>'[1]Processed Data'!I756</f>
        <v>0</v>
      </c>
      <c r="J476">
        <f>'[1]Processed Data'!J756</f>
        <v>1</v>
      </c>
      <c r="K476">
        <f>'[1]Processed Data'!K756</f>
        <v>1</v>
      </c>
      <c r="L476">
        <f>'[1]Processed Data'!L756</f>
        <v>1</v>
      </c>
      <c r="M476">
        <f>'[1]Processed Data'!M756</f>
        <v>-1</v>
      </c>
      <c r="N476">
        <f>'[1]Processed Data'!N756</f>
        <v>0</v>
      </c>
      <c r="O476">
        <f>'[1]Processed Data'!O756</f>
        <v>0</v>
      </c>
      <c r="P476">
        <f>'[1]Processed Data'!P756</f>
        <v>1.7</v>
      </c>
      <c r="Q476">
        <f>'[1]Processed Data'!Q756</f>
        <v>1</v>
      </c>
    </row>
    <row r="477" spans="2:17">
      <c r="B477">
        <f>'[1]Processed Data'!B757</f>
        <v>2016</v>
      </c>
      <c r="C477">
        <f>'[1]Processed Data'!C757</f>
        <v>61</v>
      </c>
      <c r="D477" t="str">
        <f>'[1]Processed Data'!D757</f>
        <v>Matt McGloin</v>
      </c>
      <c r="E477">
        <f>Table1[[#This Row],[Year]]</f>
        <v>2016</v>
      </c>
      <c r="F477">
        <f>'[1]Processed Data'!F757</f>
        <v>8</v>
      </c>
      <c r="G477">
        <f>'[1]Processed Data'!G757</f>
        <v>15</v>
      </c>
      <c r="H477">
        <f>'[1]Processed Data'!H757</f>
        <v>53.3</v>
      </c>
      <c r="I477">
        <f>'[1]Processed Data'!I757</f>
        <v>0</v>
      </c>
      <c r="J477">
        <f>'[1]Processed Data'!J757</f>
        <v>0</v>
      </c>
      <c r="K477">
        <f>'[1]Processed Data'!K757</f>
        <v>0</v>
      </c>
      <c r="L477">
        <f>'[1]Processed Data'!L757</f>
        <v>3</v>
      </c>
      <c r="M477">
        <f>'[1]Processed Data'!M757</f>
        <v>-3</v>
      </c>
      <c r="N477">
        <f>'[1]Processed Data'!N757</f>
        <v>0</v>
      </c>
      <c r="O477">
        <f>'[1]Processed Data'!O757</f>
        <v>0</v>
      </c>
      <c r="P477">
        <f>'[1]Processed Data'!P757</f>
        <v>1.7</v>
      </c>
      <c r="Q477">
        <f>'[1]Processed Data'!Q757</f>
        <v>3</v>
      </c>
    </row>
    <row r="478" spans="2:17">
      <c r="B478">
        <f>'[1]Processed Data'!B758</f>
        <v>2016</v>
      </c>
      <c r="C478">
        <f>'[1]Processed Data'!C758</f>
        <v>62</v>
      </c>
      <c r="D478" t="str">
        <f>'[1]Processed Data'!D758</f>
        <v>David Fales</v>
      </c>
      <c r="E478">
        <f>Table1[[#This Row],[Year]]</f>
        <v>2016</v>
      </c>
      <c r="F478">
        <f>'[1]Processed Data'!F758</f>
        <v>2</v>
      </c>
      <c r="G478">
        <f>'[1]Processed Data'!G758</f>
        <v>5</v>
      </c>
      <c r="H478">
        <f>'[1]Processed Data'!H758</f>
        <v>40</v>
      </c>
      <c r="I478">
        <f>'[1]Processed Data'!I758</f>
        <v>0</v>
      </c>
      <c r="J478">
        <f>'[1]Processed Data'!J758</f>
        <v>0</v>
      </c>
      <c r="K478">
        <f>'[1]Processed Data'!K758</f>
        <v>1</v>
      </c>
      <c r="L478">
        <f>'[1]Processed Data'!L758</f>
        <v>1</v>
      </c>
      <c r="M478">
        <f>'[1]Processed Data'!M758</f>
        <v>0</v>
      </c>
      <c r="N478">
        <f>'[1]Processed Data'!N758</f>
        <v>0</v>
      </c>
      <c r="O478">
        <f>'[1]Processed Data'!O758</f>
        <v>0</v>
      </c>
      <c r="P478">
        <f>'[1]Processed Data'!P758</f>
        <v>0.9</v>
      </c>
      <c r="Q478">
        <f>'[1]Processed Data'!Q758</f>
        <v>1</v>
      </c>
    </row>
    <row r="479" spans="2:17">
      <c r="B479">
        <f>'[1]Processed Data'!B759</f>
        <v>2016</v>
      </c>
      <c r="C479">
        <f>'[1]Processed Data'!C759</f>
        <v>63</v>
      </c>
      <c r="D479" t="str">
        <f>'[1]Processed Data'!D759</f>
        <v>Joe Webb III</v>
      </c>
      <c r="E479">
        <f>Table1[[#This Row],[Year]]</f>
        <v>2016</v>
      </c>
      <c r="F479">
        <f>'[1]Processed Data'!F759</f>
        <v>0</v>
      </c>
      <c r="G479">
        <f>'[1]Processed Data'!G759</f>
        <v>0</v>
      </c>
      <c r="H479">
        <f>'[1]Processed Data'!H759</f>
        <v>0</v>
      </c>
      <c r="I479">
        <f>'[1]Processed Data'!I759</f>
        <v>0</v>
      </c>
      <c r="J479">
        <f>'[1]Processed Data'!J759</f>
        <v>0</v>
      </c>
      <c r="K479">
        <f>'[1]Processed Data'!K759</f>
        <v>0</v>
      </c>
      <c r="L479">
        <f>'[1]Processed Data'!L759</f>
        <v>0</v>
      </c>
      <c r="M479">
        <f>'[1]Processed Data'!M759</f>
        <v>0</v>
      </c>
      <c r="N479">
        <f>'[1]Processed Data'!N759</f>
        <v>0</v>
      </c>
      <c r="O479">
        <f>'[1]Processed Data'!O759</f>
        <v>0</v>
      </c>
      <c r="P479">
        <f>'[1]Processed Data'!P759</f>
        <v>0.8</v>
      </c>
      <c r="Q479">
        <f>'[1]Processed Data'!Q759</f>
        <v>14</v>
      </c>
    </row>
    <row r="480" spans="2:17">
      <c r="B480">
        <f>'[1]Processed Data'!B760</f>
        <v>2016</v>
      </c>
      <c r="C480">
        <f>'[1]Processed Data'!C760</f>
        <v>64</v>
      </c>
      <c r="D480" t="str">
        <f>'[1]Processed Data'!D760</f>
        <v>Chase Daniel</v>
      </c>
      <c r="E480">
        <f>Table1[[#This Row],[Year]]</f>
        <v>2016</v>
      </c>
      <c r="F480">
        <f>'[1]Processed Data'!F760</f>
        <v>1</v>
      </c>
      <c r="G480">
        <f>'[1]Processed Data'!G760</f>
        <v>1</v>
      </c>
      <c r="H480">
        <f>'[1]Processed Data'!H760</f>
        <v>100</v>
      </c>
      <c r="I480">
        <f>'[1]Processed Data'!I760</f>
        <v>0</v>
      </c>
      <c r="J480">
        <f>'[1]Processed Data'!J760</f>
        <v>0</v>
      </c>
      <c r="K480">
        <f>'[1]Processed Data'!K760</f>
        <v>0</v>
      </c>
      <c r="L480">
        <f>'[1]Processed Data'!L760</f>
        <v>0</v>
      </c>
      <c r="M480">
        <f>'[1]Processed Data'!M760</f>
        <v>0</v>
      </c>
      <c r="N480">
        <f>'[1]Processed Data'!N760</f>
        <v>0</v>
      </c>
      <c r="O480">
        <f>'[1]Processed Data'!O760</f>
        <v>0</v>
      </c>
      <c r="P480">
        <f>'[1]Processed Data'!P760</f>
        <v>0.6</v>
      </c>
      <c r="Q480">
        <f>'[1]Processed Data'!Q760</f>
        <v>1</v>
      </c>
    </row>
    <row r="481" spans="2:17">
      <c r="B481">
        <f>'[1]Processed Data'!B761</f>
        <v>2016</v>
      </c>
      <c r="C481">
        <f>'[1]Processed Data'!C761</f>
        <v>65</v>
      </c>
      <c r="D481" t="str">
        <f>'[1]Processed Data'!D761</f>
        <v>Matt Schaub</v>
      </c>
      <c r="E481">
        <f>Table1[[#This Row],[Year]]</f>
        <v>2016</v>
      </c>
      <c r="F481">
        <f>'[1]Processed Data'!F761</f>
        <v>1</v>
      </c>
      <c r="G481">
        <f>'[1]Processed Data'!G761</f>
        <v>3</v>
      </c>
      <c r="H481">
        <f>'[1]Processed Data'!H761</f>
        <v>33.299999999999997</v>
      </c>
      <c r="I481">
        <f>'[1]Processed Data'!I761</f>
        <v>0</v>
      </c>
      <c r="J481">
        <f>'[1]Processed Data'!J761</f>
        <v>0</v>
      </c>
      <c r="K481">
        <f>'[1]Processed Data'!K761</f>
        <v>0</v>
      </c>
      <c r="L481">
        <f>'[1]Processed Data'!L761</f>
        <v>2</v>
      </c>
      <c r="M481">
        <f>'[1]Processed Data'!M761</f>
        <v>-2</v>
      </c>
      <c r="N481">
        <f>'[1]Processed Data'!N761</f>
        <v>0</v>
      </c>
      <c r="O481">
        <f>'[1]Processed Data'!O761</f>
        <v>0</v>
      </c>
      <c r="P481">
        <f>'[1]Processed Data'!P761</f>
        <v>0.4</v>
      </c>
      <c r="Q481">
        <f>'[1]Processed Data'!Q761</f>
        <v>4</v>
      </c>
    </row>
    <row r="482" spans="2:17">
      <c r="B482">
        <f>'[1]Processed Data'!B819</f>
        <v>2016</v>
      </c>
      <c r="C482">
        <f>'[1]Processed Data'!C819</f>
        <v>123</v>
      </c>
      <c r="D482" t="str">
        <f>'[1]Processed Data'!D819</f>
        <v>AJ McCarron</v>
      </c>
      <c r="E482">
        <f>Table1[[#This Row],[Year]]</f>
        <v>2016</v>
      </c>
      <c r="F482">
        <f>'[1]Processed Data'!F819</f>
        <v>0</v>
      </c>
      <c r="G482">
        <f>'[1]Processed Data'!G819</f>
        <v>0</v>
      </c>
      <c r="H482">
        <f>'[1]Processed Data'!H819</f>
        <v>0</v>
      </c>
      <c r="I482">
        <f>'[1]Processed Data'!I819</f>
        <v>0</v>
      </c>
      <c r="J482">
        <f>'[1]Processed Data'!J819</f>
        <v>0</v>
      </c>
      <c r="K482">
        <f>'[1]Processed Data'!K819</f>
        <v>0</v>
      </c>
      <c r="L482">
        <f>'[1]Processed Data'!L819</f>
        <v>0</v>
      </c>
      <c r="M482">
        <f>'[1]Processed Data'!M819</f>
        <v>0</v>
      </c>
      <c r="N482">
        <f>'[1]Processed Data'!N819</f>
        <v>0</v>
      </c>
      <c r="O482">
        <f>'[1]Processed Data'!O819</f>
        <v>0</v>
      </c>
      <c r="P482">
        <f>'[1]Processed Data'!P819</f>
        <v>0</v>
      </c>
      <c r="Q482">
        <f>'[1]Processed Data'!Q819</f>
        <v>1</v>
      </c>
    </row>
    <row r="483" spans="2:17">
      <c r="B483">
        <f>'[1]Processed Data'!B844</f>
        <v>2016</v>
      </c>
      <c r="C483">
        <f>'[1]Processed Data'!C844</f>
        <v>148</v>
      </c>
      <c r="D483" t="str">
        <f>'[1]Processed Data'!D844</f>
        <v>Josh Johnson</v>
      </c>
      <c r="E483">
        <f>Table1[[#This Row],[Year]]</f>
        <v>2016</v>
      </c>
      <c r="F483">
        <f>'[1]Processed Data'!F844</f>
        <v>0</v>
      </c>
      <c r="G483">
        <f>'[1]Processed Data'!G844</f>
        <v>0</v>
      </c>
      <c r="H483">
        <f>'[1]Processed Data'!H844</f>
        <v>0</v>
      </c>
      <c r="I483">
        <f>'[1]Processed Data'!I844</f>
        <v>0</v>
      </c>
      <c r="J483">
        <f>'[1]Processed Data'!J844</f>
        <v>0</v>
      </c>
      <c r="K483">
        <f>'[1]Processed Data'!K844</f>
        <v>0</v>
      </c>
      <c r="L483">
        <f>'[1]Processed Data'!L844</f>
        <v>0</v>
      </c>
      <c r="M483">
        <f>'[1]Processed Data'!M844</f>
        <v>0</v>
      </c>
      <c r="N483">
        <f>'[1]Processed Data'!N844</f>
        <v>0</v>
      </c>
      <c r="O483">
        <f>'[1]Processed Data'!O844</f>
        <v>0</v>
      </c>
      <c r="P483">
        <f>'[1]Processed Data'!P844</f>
        <v>0</v>
      </c>
      <c r="Q483">
        <f>'[1]Processed Data'!Q844</f>
        <v>8</v>
      </c>
    </row>
    <row r="484" spans="2:17">
      <c r="B484">
        <f>'[1]Processed Data'!B849</f>
        <v>2016</v>
      </c>
      <c r="C484">
        <f>'[1]Processed Data'!C849</f>
        <v>153</v>
      </c>
      <c r="D484" t="str">
        <f>'[1]Processed Data'!D849</f>
        <v>Kellen Clemens</v>
      </c>
      <c r="E484">
        <f>Table1[[#This Row],[Year]]</f>
        <v>2016</v>
      </c>
      <c r="F484">
        <f>'[1]Processed Data'!F849</f>
        <v>0</v>
      </c>
      <c r="G484">
        <f>'[1]Processed Data'!G849</f>
        <v>1</v>
      </c>
      <c r="H484">
        <f>'[1]Processed Data'!H849</f>
        <v>0</v>
      </c>
      <c r="I484">
        <f>'[1]Processed Data'!I849</f>
        <v>0</v>
      </c>
      <c r="J484">
        <f>'[1]Processed Data'!J849</f>
        <v>0</v>
      </c>
      <c r="K484">
        <f>'[1]Processed Data'!K849</f>
        <v>0</v>
      </c>
      <c r="L484">
        <f>'[1]Processed Data'!L849</f>
        <v>2</v>
      </c>
      <c r="M484">
        <f>'[1]Processed Data'!M849</f>
        <v>-1</v>
      </c>
      <c r="N484">
        <f>'[1]Processed Data'!N849</f>
        <v>0</v>
      </c>
      <c r="O484">
        <f>'[1]Processed Data'!O849</f>
        <v>0</v>
      </c>
      <c r="P484">
        <f>'[1]Processed Data'!P849</f>
        <v>-0.1</v>
      </c>
      <c r="Q484">
        <f>'[1]Processed Data'!Q849</f>
        <v>12</v>
      </c>
    </row>
    <row r="485" spans="2:17">
      <c r="B485">
        <f>'[1]Processed Data'!B850</f>
        <v>2016</v>
      </c>
      <c r="C485">
        <f>'[1]Processed Data'!C850</f>
        <v>154</v>
      </c>
      <c r="D485" t="str">
        <f>'[1]Processed Data'!D850</f>
        <v>Chad Henne</v>
      </c>
      <c r="E485">
        <f>Table1[[#This Row],[Year]]</f>
        <v>2016</v>
      </c>
      <c r="F485">
        <f>'[1]Processed Data'!F850</f>
        <v>0</v>
      </c>
      <c r="G485">
        <f>'[1]Processed Data'!G850</f>
        <v>0</v>
      </c>
      <c r="H485">
        <f>'[1]Processed Data'!H850</f>
        <v>0</v>
      </c>
      <c r="I485">
        <f>'[1]Processed Data'!I850</f>
        <v>0</v>
      </c>
      <c r="J485">
        <f>'[1]Processed Data'!J850</f>
        <v>0</v>
      </c>
      <c r="K485">
        <f>'[1]Processed Data'!K850</f>
        <v>0</v>
      </c>
      <c r="L485">
        <f>'[1]Processed Data'!L850</f>
        <v>1</v>
      </c>
      <c r="M485">
        <f>'[1]Processed Data'!M850</f>
        <v>-2</v>
      </c>
      <c r="N485">
        <f>'[1]Processed Data'!N850</f>
        <v>0</v>
      </c>
      <c r="O485">
        <f>'[1]Processed Data'!O850</f>
        <v>0</v>
      </c>
      <c r="P485">
        <f>'[1]Processed Data'!P850</f>
        <v>-0.2</v>
      </c>
      <c r="Q485">
        <f>'[1]Processed Data'!Q850</f>
        <v>1</v>
      </c>
    </row>
    <row r="486" spans="2:17">
      <c r="B486">
        <f>'[1]Processed Data'!B851</f>
        <v>2016</v>
      </c>
      <c r="C486">
        <f>'[1]Processed Data'!C851</f>
        <v>155</v>
      </c>
      <c r="D486" t="str">
        <f>'[1]Processed Data'!D851</f>
        <v>Mark Sanchez</v>
      </c>
      <c r="E486">
        <f>Table1[[#This Row],[Year]]</f>
        <v>2016</v>
      </c>
      <c r="F486">
        <f>'[1]Processed Data'!F851</f>
        <v>10</v>
      </c>
      <c r="G486">
        <f>'[1]Processed Data'!G851</f>
        <v>18</v>
      </c>
      <c r="H486">
        <f>'[1]Processed Data'!H851</f>
        <v>55.6</v>
      </c>
      <c r="I486">
        <f>'[1]Processed Data'!I851</f>
        <v>0</v>
      </c>
      <c r="J486">
        <f>'[1]Processed Data'!J851</f>
        <v>2</v>
      </c>
      <c r="K486">
        <f>'[1]Processed Data'!K851</f>
        <v>3</v>
      </c>
      <c r="L486">
        <f>'[1]Processed Data'!L851</f>
        <v>4</v>
      </c>
      <c r="M486">
        <f>'[1]Processed Data'!M851</f>
        <v>-2</v>
      </c>
      <c r="N486">
        <f>'[1]Processed Data'!N851</f>
        <v>0</v>
      </c>
      <c r="O486">
        <f>'[1]Processed Data'!O851</f>
        <v>0</v>
      </c>
      <c r="P486">
        <f>'[1]Processed Data'!P851</f>
        <v>-0.5</v>
      </c>
      <c r="Q486">
        <f>'[1]Processed Data'!Q851</f>
        <v>2</v>
      </c>
    </row>
    <row r="487" spans="2:17">
      <c r="B487">
        <f>'[1]Processed Data'!B852</f>
        <v>2016</v>
      </c>
      <c r="C487">
        <f>'[1]Processed Data'!C852</f>
        <v>156</v>
      </c>
      <c r="D487" t="str">
        <f>'[1]Processed Data'!D852</f>
        <v>Sean Mannion</v>
      </c>
      <c r="E487">
        <f>Table1[[#This Row],[Year]]</f>
        <v>2016</v>
      </c>
      <c r="F487">
        <f>'[1]Processed Data'!F852</f>
        <v>3</v>
      </c>
      <c r="G487">
        <f>'[1]Processed Data'!G852</f>
        <v>6</v>
      </c>
      <c r="H487">
        <f>'[1]Processed Data'!H852</f>
        <v>50</v>
      </c>
      <c r="I487">
        <f>'[1]Processed Data'!I852</f>
        <v>0</v>
      </c>
      <c r="J487">
        <f>'[1]Processed Data'!J852</f>
        <v>1</v>
      </c>
      <c r="K487">
        <f>'[1]Processed Data'!K852</f>
        <v>0</v>
      </c>
      <c r="L487">
        <f>'[1]Processed Data'!L852</f>
        <v>1</v>
      </c>
      <c r="M487">
        <f>'[1]Processed Data'!M852</f>
        <v>-1</v>
      </c>
      <c r="N487">
        <f>'[1]Processed Data'!N852</f>
        <v>0</v>
      </c>
      <c r="O487">
        <f>'[1]Processed Data'!O852</f>
        <v>0</v>
      </c>
      <c r="P487">
        <f>'[1]Processed Data'!P852</f>
        <v>-1.3</v>
      </c>
      <c r="Q487">
        <f>'[1]Processed Data'!Q852</f>
        <v>1</v>
      </c>
    </row>
    <row r="488" spans="2:17">
      <c r="B488">
        <f>'[1]Processed Data'!B853</f>
        <v>2016</v>
      </c>
      <c r="C488">
        <f>'[1]Processed Data'!C853</f>
        <v>157</v>
      </c>
      <c r="D488" t="str">
        <f>'[1]Processed Data'!D853</f>
        <v>Ryan Mallett</v>
      </c>
      <c r="E488">
        <f>Table1[[#This Row],[Year]]</f>
        <v>2016</v>
      </c>
      <c r="F488">
        <f>'[1]Processed Data'!F853</f>
        <v>3</v>
      </c>
      <c r="G488">
        <f>'[1]Processed Data'!G853</f>
        <v>6</v>
      </c>
      <c r="H488">
        <f>'[1]Processed Data'!H853</f>
        <v>50</v>
      </c>
      <c r="I488">
        <f>'[1]Processed Data'!I853</f>
        <v>0</v>
      </c>
      <c r="J488">
        <f>'[1]Processed Data'!J853</f>
        <v>1</v>
      </c>
      <c r="K488">
        <f>'[1]Processed Data'!K853</f>
        <v>0</v>
      </c>
      <c r="L488">
        <f>'[1]Processed Data'!L853</f>
        <v>5</v>
      </c>
      <c r="M488">
        <f>'[1]Processed Data'!M853</f>
        <v>-6</v>
      </c>
      <c r="N488">
        <f>'[1]Processed Data'!N853</f>
        <v>0</v>
      </c>
      <c r="O488">
        <f>'[1]Processed Data'!O853</f>
        <v>0</v>
      </c>
      <c r="P488">
        <f>'[1]Processed Data'!P853</f>
        <v>-1.5</v>
      </c>
      <c r="Q488">
        <f>'[1]Processed Data'!Q853</f>
        <v>4</v>
      </c>
    </row>
    <row r="489" spans="2:17">
      <c r="B489">
        <f>'[1]Processed Data'!B854</f>
        <v>2016</v>
      </c>
      <c r="C489">
        <f>'[1]Processed Data'!C854</f>
        <v>158</v>
      </c>
      <c r="D489" t="str">
        <f>'[1]Processed Data'!D854</f>
        <v>Brett Hundley</v>
      </c>
      <c r="E489">
        <f>Table1[[#This Row],[Year]]</f>
        <v>2016</v>
      </c>
      <c r="F489">
        <f>'[1]Processed Data'!F854</f>
        <v>2</v>
      </c>
      <c r="G489">
        <f>'[1]Processed Data'!G854</f>
        <v>10</v>
      </c>
      <c r="H489">
        <f>'[1]Processed Data'!H854</f>
        <v>20</v>
      </c>
      <c r="I489">
        <f>'[1]Processed Data'!I854</f>
        <v>0</v>
      </c>
      <c r="J489">
        <f>'[1]Processed Data'!J854</f>
        <v>1</v>
      </c>
      <c r="K489">
        <f>'[1]Processed Data'!K854</f>
        <v>0</v>
      </c>
      <c r="L489">
        <f>'[1]Processed Data'!L854</f>
        <v>3</v>
      </c>
      <c r="M489">
        <f>'[1]Processed Data'!M854</f>
        <v>-2</v>
      </c>
      <c r="N489">
        <f>'[1]Processed Data'!N854</f>
        <v>0</v>
      </c>
      <c r="O489">
        <f>'[1]Processed Data'!O854</f>
        <v>0</v>
      </c>
      <c r="P489">
        <f>'[1]Processed Data'!P854</f>
        <v>-1.5</v>
      </c>
      <c r="Q489">
        <f>'[1]Processed Data'!Q854</f>
        <v>4</v>
      </c>
    </row>
    <row r="490" spans="2:17">
      <c r="B490">
        <f>'[1]Processed Data'!B855</f>
        <v>2015</v>
      </c>
      <c r="C490">
        <f>'[1]Processed Data'!C855</f>
        <v>1</v>
      </c>
      <c r="D490" t="str">
        <f>'[1]Processed Data'!D855</f>
        <v>Cam Newton</v>
      </c>
      <c r="E490">
        <f>Table1[[#This Row],[Year]]</f>
        <v>2015</v>
      </c>
      <c r="F490">
        <f>'[1]Processed Data'!F855</f>
        <v>296</v>
      </c>
      <c r="G490">
        <f>'[1]Processed Data'!G855</f>
        <v>495</v>
      </c>
      <c r="H490">
        <f>'[1]Processed Data'!H855</f>
        <v>59.8</v>
      </c>
      <c r="I490">
        <f>'[1]Processed Data'!I855</f>
        <v>35</v>
      </c>
      <c r="J490">
        <f>'[1]Processed Data'!J855</f>
        <v>10</v>
      </c>
      <c r="K490">
        <f>'[1]Processed Data'!K855</f>
        <v>33</v>
      </c>
      <c r="L490">
        <f>'[1]Processed Data'!L855</f>
        <v>132</v>
      </c>
      <c r="M490">
        <f>'[1]Processed Data'!M855</f>
        <v>636</v>
      </c>
      <c r="N490">
        <f>'[1]Processed Data'!N855</f>
        <v>10</v>
      </c>
      <c r="O490">
        <f>'[1]Processed Data'!O855</f>
        <v>4</v>
      </c>
      <c r="P490">
        <f>'[1]Processed Data'!P855</f>
        <v>389.1</v>
      </c>
      <c r="Q490">
        <f>'[1]Processed Data'!Q855</f>
        <v>16</v>
      </c>
    </row>
    <row r="491" spans="2:17">
      <c r="B491">
        <f>'[1]Processed Data'!B856</f>
        <v>2015</v>
      </c>
      <c r="C491">
        <f>'[1]Processed Data'!C856</f>
        <v>2</v>
      </c>
      <c r="D491" t="str">
        <f>'[1]Processed Data'!D856</f>
        <v>Tom Brady</v>
      </c>
      <c r="E491">
        <f>Table1[[#This Row],[Year]]</f>
        <v>2015</v>
      </c>
      <c r="F491">
        <f>'[1]Processed Data'!F856</f>
        <v>402</v>
      </c>
      <c r="G491">
        <f>'[1]Processed Data'!G856</f>
        <v>624</v>
      </c>
      <c r="H491">
        <f>'[1]Processed Data'!H856</f>
        <v>64.400000000000006</v>
      </c>
      <c r="I491">
        <f>'[1]Processed Data'!I856</f>
        <v>36</v>
      </c>
      <c r="J491">
        <f>'[1]Processed Data'!J856</f>
        <v>7</v>
      </c>
      <c r="K491">
        <f>'[1]Processed Data'!K856</f>
        <v>38</v>
      </c>
      <c r="L491">
        <f>'[1]Processed Data'!L856</f>
        <v>34</v>
      </c>
      <c r="M491">
        <f>'[1]Processed Data'!M856</f>
        <v>53</v>
      </c>
      <c r="N491">
        <f>'[1]Processed Data'!N856</f>
        <v>3</v>
      </c>
      <c r="O491">
        <f>'[1]Processed Data'!O856</f>
        <v>2</v>
      </c>
      <c r="P491">
        <f>'[1]Processed Data'!P856</f>
        <v>344.2</v>
      </c>
      <c r="Q491">
        <f>'[1]Processed Data'!Q856</f>
        <v>16</v>
      </c>
    </row>
    <row r="492" spans="2:17">
      <c r="B492">
        <f>'[1]Processed Data'!B857</f>
        <v>2015</v>
      </c>
      <c r="C492">
        <f>'[1]Processed Data'!C857</f>
        <v>3</v>
      </c>
      <c r="D492" t="str">
        <f>'[1]Processed Data'!D857</f>
        <v>Russell Wilson</v>
      </c>
      <c r="E492">
        <f>Table1[[#This Row],[Year]]</f>
        <v>2015</v>
      </c>
      <c r="F492">
        <f>'[1]Processed Data'!F857</f>
        <v>329</v>
      </c>
      <c r="G492">
        <f>'[1]Processed Data'!G857</f>
        <v>483</v>
      </c>
      <c r="H492">
        <f>'[1]Processed Data'!H857</f>
        <v>68.099999999999994</v>
      </c>
      <c r="I492">
        <f>'[1]Processed Data'!I857</f>
        <v>34</v>
      </c>
      <c r="J492">
        <f>'[1]Processed Data'!J857</f>
        <v>8</v>
      </c>
      <c r="K492">
        <f>'[1]Processed Data'!K857</f>
        <v>45</v>
      </c>
      <c r="L492">
        <f>'[1]Processed Data'!L857</f>
        <v>103</v>
      </c>
      <c r="M492">
        <f>'[1]Processed Data'!M857</f>
        <v>553</v>
      </c>
      <c r="N492">
        <f>'[1]Processed Data'!N857</f>
        <v>1</v>
      </c>
      <c r="O492">
        <f>'[1]Processed Data'!O857</f>
        <v>3</v>
      </c>
      <c r="P492">
        <f>'[1]Processed Data'!P857</f>
        <v>336.4</v>
      </c>
      <c r="Q492">
        <f>'[1]Processed Data'!Q857</f>
        <v>16</v>
      </c>
    </row>
    <row r="493" spans="2:17">
      <c r="B493">
        <f>'[1]Processed Data'!B858</f>
        <v>2015</v>
      </c>
      <c r="C493">
        <f>'[1]Processed Data'!C858</f>
        <v>4</v>
      </c>
      <c r="D493" t="str">
        <f>'[1]Processed Data'!D858</f>
        <v>Blake Bortles</v>
      </c>
      <c r="E493">
        <f>Table1[[#This Row],[Year]]</f>
        <v>2015</v>
      </c>
      <c r="F493">
        <f>'[1]Processed Data'!F858</f>
        <v>355</v>
      </c>
      <c r="G493">
        <f>'[1]Processed Data'!G858</f>
        <v>606</v>
      </c>
      <c r="H493">
        <f>'[1]Processed Data'!H858</f>
        <v>58.6</v>
      </c>
      <c r="I493">
        <f>'[1]Processed Data'!I858</f>
        <v>35</v>
      </c>
      <c r="J493">
        <f>'[1]Processed Data'!J858</f>
        <v>18</v>
      </c>
      <c r="K493">
        <f>'[1]Processed Data'!K858</f>
        <v>51</v>
      </c>
      <c r="L493">
        <f>'[1]Processed Data'!L858</f>
        <v>52</v>
      </c>
      <c r="M493">
        <f>'[1]Processed Data'!M858</f>
        <v>310</v>
      </c>
      <c r="N493">
        <f>'[1]Processed Data'!N858</f>
        <v>2</v>
      </c>
      <c r="O493">
        <f>'[1]Processed Data'!O858</f>
        <v>5</v>
      </c>
      <c r="P493">
        <f>'[1]Processed Data'!P858</f>
        <v>316.10000000000002</v>
      </c>
      <c r="Q493">
        <f>'[1]Processed Data'!Q858</f>
        <v>16</v>
      </c>
    </row>
    <row r="494" spans="2:17">
      <c r="B494">
        <f>'[1]Processed Data'!B859</f>
        <v>2015</v>
      </c>
      <c r="C494">
        <f>'[1]Processed Data'!C859</f>
        <v>5</v>
      </c>
      <c r="D494" t="str">
        <f>'[1]Processed Data'!D859</f>
        <v>Carson Palmer</v>
      </c>
      <c r="E494">
        <f>Table1[[#This Row],[Year]]</f>
        <v>2015</v>
      </c>
      <c r="F494">
        <f>'[1]Processed Data'!F859</f>
        <v>342</v>
      </c>
      <c r="G494">
        <f>'[1]Processed Data'!G859</f>
        <v>537</v>
      </c>
      <c r="H494">
        <f>'[1]Processed Data'!H859</f>
        <v>63.7</v>
      </c>
      <c r="I494">
        <f>'[1]Processed Data'!I859</f>
        <v>35</v>
      </c>
      <c r="J494">
        <f>'[1]Processed Data'!J859</f>
        <v>11</v>
      </c>
      <c r="K494">
        <f>'[1]Processed Data'!K859</f>
        <v>25</v>
      </c>
      <c r="L494">
        <f>'[1]Processed Data'!L859</f>
        <v>25</v>
      </c>
      <c r="M494">
        <f>'[1]Processed Data'!M859</f>
        <v>24</v>
      </c>
      <c r="N494">
        <f>'[1]Processed Data'!N859</f>
        <v>1</v>
      </c>
      <c r="O494">
        <f>'[1]Processed Data'!O859</f>
        <v>2</v>
      </c>
      <c r="P494">
        <f>'[1]Processed Data'!P859</f>
        <v>309.2</v>
      </c>
      <c r="Q494">
        <f>'[1]Processed Data'!Q859</f>
        <v>16</v>
      </c>
    </row>
    <row r="495" spans="2:17">
      <c r="B495">
        <f>'[1]Processed Data'!B860</f>
        <v>2015</v>
      </c>
      <c r="C495">
        <f>'[1]Processed Data'!C860</f>
        <v>6</v>
      </c>
      <c r="D495" t="str">
        <f>'[1]Processed Data'!D860</f>
        <v>Drew Brees</v>
      </c>
      <c r="E495">
        <f>Table1[[#This Row],[Year]]</f>
        <v>2015</v>
      </c>
      <c r="F495">
        <f>'[1]Processed Data'!F860</f>
        <v>428</v>
      </c>
      <c r="G495">
        <f>'[1]Processed Data'!G860</f>
        <v>627</v>
      </c>
      <c r="H495">
        <f>'[1]Processed Data'!H860</f>
        <v>68.3</v>
      </c>
      <c r="I495">
        <f>'[1]Processed Data'!I860</f>
        <v>32</v>
      </c>
      <c r="J495">
        <f>'[1]Processed Data'!J860</f>
        <v>11</v>
      </c>
      <c r="K495">
        <f>'[1]Processed Data'!K860</f>
        <v>31</v>
      </c>
      <c r="L495">
        <f>'[1]Processed Data'!L860</f>
        <v>24</v>
      </c>
      <c r="M495">
        <f>'[1]Processed Data'!M860</f>
        <v>14</v>
      </c>
      <c r="N495">
        <f>'[1]Processed Data'!N860</f>
        <v>1</v>
      </c>
      <c r="O495">
        <f>'[1]Processed Data'!O860</f>
        <v>2</v>
      </c>
      <c r="P495">
        <f>'[1]Processed Data'!P860</f>
        <v>306.5</v>
      </c>
      <c r="Q495">
        <f>'[1]Processed Data'!Q860</f>
        <v>15</v>
      </c>
    </row>
    <row r="496" spans="2:17">
      <c r="B496">
        <f>'[1]Processed Data'!B861</f>
        <v>2015</v>
      </c>
      <c r="C496">
        <f>'[1]Processed Data'!C861</f>
        <v>7</v>
      </c>
      <c r="D496" t="str">
        <f>'[1]Processed Data'!D861</f>
        <v>Aaron Rodgers</v>
      </c>
      <c r="E496">
        <f>Table1[[#This Row],[Year]]</f>
        <v>2015</v>
      </c>
      <c r="F496">
        <f>'[1]Processed Data'!F861</f>
        <v>347</v>
      </c>
      <c r="G496">
        <f>'[1]Processed Data'!G861</f>
        <v>572</v>
      </c>
      <c r="H496">
        <f>'[1]Processed Data'!H861</f>
        <v>60.7</v>
      </c>
      <c r="I496">
        <f>'[1]Processed Data'!I861</f>
        <v>31</v>
      </c>
      <c r="J496">
        <f>'[1]Processed Data'!J861</f>
        <v>8</v>
      </c>
      <c r="K496">
        <f>'[1]Processed Data'!K861</f>
        <v>46</v>
      </c>
      <c r="L496">
        <f>'[1]Processed Data'!L861</f>
        <v>58</v>
      </c>
      <c r="M496">
        <f>'[1]Processed Data'!M861</f>
        <v>344</v>
      </c>
      <c r="N496">
        <f>'[1]Processed Data'!N861</f>
        <v>1</v>
      </c>
      <c r="O496">
        <f>'[1]Processed Data'!O861</f>
        <v>4</v>
      </c>
      <c r="P496">
        <f>'[1]Processed Data'!P861</f>
        <v>301.3</v>
      </c>
      <c r="Q496">
        <f>'[1]Processed Data'!Q861</f>
        <v>16</v>
      </c>
    </row>
    <row r="497" spans="2:17">
      <c r="B497">
        <f>'[1]Processed Data'!B862</f>
        <v>2015</v>
      </c>
      <c r="C497">
        <f>'[1]Processed Data'!C862</f>
        <v>8</v>
      </c>
      <c r="D497" t="str">
        <f>'[1]Processed Data'!D862</f>
        <v>Kirk Cousins</v>
      </c>
      <c r="E497">
        <f>Table1[[#This Row],[Year]]</f>
        <v>2015</v>
      </c>
      <c r="F497">
        <f>'[1]Processed Data'!F862</f>
        <v>379</v>
      </c>
      <c r="G497">
        <f>'[1]Processed Data'!G862</f>
        <v>543</v>
      </c>
      <c r="H497">
        <f>'[1]Processed Data'!H862</f>
        <v>69.8</v>
      </c>
      <c r="I497">
        <f>'[1]Processed Data'!I862</f>
        <v>29</v>
      </c>
      <c r="J497">
        <f>'[1]Processed Data'!J862</f>
        <v>11</v>
      </c>
      <c r="K497">
        <f>'[1]Processed Data'!K862</f>
        <v>26</v>
      </c>
      <c r="L497">
        <f>'[1]Processed Data'!L862</f>
        <v>26</v>
      </c>
      <c r="M497">
        <f>'[1]Processed Data'!M862</f>
        <v>48</v>
      </c>
      <c r="N497">
        <f>'[1]Processed Data'!N862</f>
        <v>5</v>
      </c>
      <c r="O497">
        <f>'[1]Processed Data'!O862</f>
        <v>3</v>
      </c>
      <c r="P497">
        <f>'[1]Processed Data'!P862</f>
        <v>293.5</v>
      </c>
      <c r="Q497">
        <f>'[1]Processed Data'!Q862</f>
        <v>16</v>
      </c>
    </row>
    <row r="498" spans="2:17">
      <c r="B498">
        <f>'[1]Processed Data'!B863</f>
        <v>2015</v>
      </c>
      <c r="C498">
        <f>'[1]Processed Data'!C863</f>
        <v>9</v>
      </c>
      <c r="D498" t="str">
        <f>'[1]Processed Data'!D863</f>
        <v>Matthew Stafford</v>
      </c>
      <c r="E498">
        <f>Table1[[#This Row],[Year]]</f>
        <v>2015</v>
      </c>
      <c r="F498">
        <f>'[1]Processed Data'!F863</f>
        <v>398</v>
      </c>
      <c r="G498">
        <f>'[1]Processed Data'!G863</f>
        <v>592</v>
      </c>
      <c r="H498">
        <f>'[1]Processed Data'!H863</f>
        <v>67.2</v>
      </c>
      <c r="I498">
        <f>'[1]Processed Data'!I863</f>
        <v>32</v>
      </c>
      <c r="J498">
        <f>'[1]Processed Data'!J863</f>
        <v>13</v>
      </c>
      <c r="K498">
        <f>'[1]Processed Data'!K863</f>
        <v>44</v>
      </c>
      <c r="L498">
        <f>'[1]Processed Data'!L863</f>
        <v>44</v>
      </c>
      <c r="M498">
        <f>'[1]Processed Data'!M863</f>
        <v>159</v>
      </c>
      <c r="N498">
        <f>'[1]Processed Data'!N863</f>
        <v>1</v>
      </c>
      <c r="O498">
        <f>'[1]Processed Data'!O863</f>
        <v>2</v>
      </c>
      <c r="P498">
        <f>'[1]Processed Data'!P863</f>
        <v>290.2</v>
      </c>
      <c r="Q498">
        <f>'[1]Processed Data'!Q863</f>
        <v>16</v>
      </c>
    </row>
    <row r="499" spans="2:17">
      <c r="B499">
        <f>'[1]Processed Data'!B864</f>
        <v>2015</v>
      </c>
      <c r="C499">
        <f>'[1]Processed Data'!C864</f>
        <v>10</v>
      </c>
      <c r="D499" t="str">
        <f>'[1]Processed Data'!D864</f>
        <v>Eli Manning</v>
      </c>
      <c r="E499">
        <f>Table1[[#This Row],[Year]]</f>
        <v>2015</v>
      </c>
      <c r="F499">
        <f>'[1]Processed Data'!F864</f>
        <v>387</v>
      </c>
      <c r="G499">
        <f>'[1]Processed Data'!G864</f>
        <v>618</v>
      </c>
      <c r="H499">
        <f>'[1]Processed Data'!H864</f>
        <v>62.6</v>
      </c>
      <c r="I499">
        <f>'[1]Processed Data'!I864</f>
        <v>35</v>
      </c>
      <c r="J499">
        <f>'[1]Processed Data'!J864</f>
        <v>14</v>
      </c>
      <c r="K499">
        <f>'[1]Processed Data'!K864</f>
        <v>27</v>
      </c>
      <c r="L499">
        <f>'[1]Processed Data'!L864</f>
        <v>20</v>
      </c>
      <c r="M499">
        <f>'[1]Processed Data'!M864</f>
        <v>61</v>
      </c>
      <c r="N499">
        <f>'[1]Processed Data'!N864</f>
        <v>0</v>
      </c>
      <c r="O499">
        <f>'[1]Processed Data'!O864</f>
        <v>4</v>
      </c>
      <c r="P499">
        <f>'[1]Processed Data'!P864</f>
        <v>287.60000000000002</v>
      </c>
      <c r="Q499">
        <f>'[1]Processed Data'!Q864</f>
        <v>16</v>
      </c>
    </row>
    <row r="500" spans="2:17">
      <c r="B500">
        <f>'[1]Processed Data'!B865</f>
        <v>2015</v>
      </c>
      <c r="C500">
        <f>'[1]Processed Data'!C865</f>
        <v>11</v>
      </c>
      <c r="D500" t="str">
        <f>'[1]Processed Data'!D865</f>
        <v>Ryan Fitzpatrick</v>
      </c>
      <c r="E500">
        <f>Table1[[#This Row],[Year]]</f>
        <v>2015</v>
      </c>
      <c r="F500">
        <f>'[1]Processed Data'!F865</f>
        <v>335</v>
      </c>
      <c r="G500">
        <f>'[1]Processed Data'!G865</f>
        <v>562</v>
      </c>
      <c r="H500">
        <f>'[1]Processed Data'!H865</f>
        <v>59.6</v>
      </c>
      <c r="I500">
        <f>'[1]Processed Data'!I865</f>
        <v>31</v>
      </c>
      <c r="J500">
        <f>'[1]Processed Data'!J865</f>
        <v>15</v>
      </c>
      <c r="K500">
        <f>'[1]Processed Data'!K865</f>
        <v>19</v>
      </c>
      <c r="L500">
        <f>'[1]Processed Data'!L865</f>
        <v>60</v>
      </c>
      <c r="M500">
        <f>'[1]Processed Data'!M865</f>
        <v>270</v>
      </c>
      <c r="N500">
        <f>'[1]Processed Data'!N865</f>
        <v>2</v>
      </c>
      <c r="O500">
        <f>'[1]Processed Data'!O865</f>
        <v>2</v>
      </c>
      <c r="P500">
        <f>'[1]Processed Data'!P865</f>
        <v>285.10000000000002</v>
      </c>
      <c r="Q500">
        <f>'[1]Processed Data'!Q865</f>
        <v>16</v>
      </c>
    </row>
    <row r="501" spans="2:17">
      <c r="B501">
        <f>'[1]Processed Data'!B866</f>
        <v>2015</v>
      </c>
      <c r="C501">
        <f>'[1]Processed Data'!C866</f>
        <v>12</v>
      </c>
      <c r="D501" t="str">
        <f>'[1]Processed Data'!D866</f>
        <v>Philip Rivers</v>
      </c>
      <c r="E501">
        <f>Table1[[#This Row],[Year]]</f>
        <v>2015</v>
      </c>
      <c r="F501">
        <f>'[1]Processed Data'!F866</f>
        <v>437</v>
      </c>
      <c r="G501">
        <f>'[1]Processed Data'!G866</f>
        <v>661</v>
      </c>
      <c r="H501">
        <f>'[1]Processed Data'!H866</f>
        <v>66.099999999999994</v>
      </c>
      <c r="I501">
        <f>'[1]Processed Data'!I866</f>
        <v>29</v>
      </c>
      <c r="J501">
        <f>'[1]Processed Data'!J866</f>
        <v>13</v>
      </c>
      <c r="K501">
        <f>'[1]Processed Data'!K866</f>
        <v>40</v>
      </c>
      <c r="L501">
        <f>'[1]Processed Data'!L866</f>
        <v>17</v>
      </c>
      <c r="M501">
        <f>'[1]Processed Data'!M866</f>
        <v>28</v>
      </c>
      <c r="N501">
        <f>'[1]Processed Data'!N866</f>
        <v>0</v>
      </c>
      <c r="O501">
        <f>'[1]Processed Data'!O866</f>
        <v>2</v>
      </c>
      <c r="P501">
        <f>'[1]Processed Data'!P866</f>
        <v>284.3</v>
      </c>
      <c r="Q501">
        <f>'[1]Processed Data'!Q866</f>
        <v>16</v>
      </c>
    </row>
    <row r="502" spans="2:17">
      <c r="B502">
        <f>'[1]Processed Data'!B867</f>
        <v>2015</v>
      </c>
      <c r="C502">
        <f>'[1]Processed Data'!C867</f>
        <v>13</v>
      </c>
      <c r="D502" t="str">
        <f>'[1]Processed Data'!D867</f>
        <v>Jameis Winston</v>
      </c>
      <c r="E502">
        <f>Table1[[#This Row],[Year]]</f>
        <v>2015</v>
      </c>
      <c r="F502">
        <f>'[1]Processed Data'!F867</f>
        <v>312</v>
      </c>
      <c r="G502">
        <f>'[1]Processed Data'!G867</f>
        <v>535</v>
      </c>
      <c r="H502">
        <f>'[1]Processed Data'!H867</f>
        <v>58.3</v>
      </c>
      <c r="I502">
        <f>'[1]Processed Data'!I867</f>
        <v>22</v>
      </c>
      <c r="J502">
        <f>'[1]Processed Data'!J867</f>
        <v>15</v>
      </c>
      <c r="K502">
        <f>'[1]Processed Data'!K867</f>
        <v>27</v>
      </c>
      <c r="L502">
        <f>'[1]Processed Data'!L867</f>
        <v>54</v>
      </c>
      <c r="M502">
        <f>'[1]Processed Data'!M867</f>
        <v>213</v>
      </c>
      <c r="N502">
        <f>'[1]Processed Data'!N867</f>
        <v>6</v>
      </c>
      <c r="O502">
        <f>'[1]Processed Data'!O867</f>
        <v>2</v>
      </c>
      <c r="P502">
        <f>'[1]Processed Data'!P867</f>
        <v>275.2</v>
      </c>
      <c r="Q502">
        <f>'[1]Processed Data'!Q867</f>
        <v>16</v>
      </c>
    </row>
    <row r="503" spans="2:17">
      <c r="B503">
        <f>'[1]Processed Data'!B868</f>
        <v>2015</v>
      </c>
      <c r="C503">
        <f>'[1]Processed Data'!C868</f>
        <v>14</v>
      </c>
      <c r="D503" t="str">
        <f>'[1]Processed Data'!D868</f>
        <v>Derek Carr</v>
      </c>
      <c r="E503">
        <f>Table1[[#This Row],[Year]]</f>
        <v>2015</v>
      </c>
      <c r="F503">
        <f>'[1]Processed Data'!F868</f>
        <v>350</v>
      </c>
      <c r="G503">
        <f>'[1]Processed Data'!G868</f>
        <v>573</v>
      </c>
      <c r="H503">
        <f>'[1]Processed Data'!H868</f>
        <v>61.1</v>
      </c>
      <c r="I503">
        <f>'[1]Processed Data'!I868</f>
        <v>32</v>
      </c>
      <c r="J503">
        <f>'[1]Processed Data'!J868</f>
        <v>13</v>
      </c>
      <c r="K503">
        <f>'[1]Processed Data'!K868</f>
        <v>31</v>
      </c>
      <c r="L503">
        <f>'[1]Processed Data'!L868</f>
        <v>33</v>
      </c>
      <c r="M503">
        <f>'[1]Processed Data'!M868</f>
        <v>138</v>
      </c>
      <c r="N503">
        <f>'[1]Processed Data'!N868</f>
        <v>0</v>
      </c>
      <c r="O503">
        <f>'[1]Processed Data'!O868</f>
        <v>3</v>
      </c>
      <c r="P503">
        <f>'[1]Processed Data'!P868</f>
        <v>273.3</v>
      </c>
      <c r="Q503">
        <f>'[1]Processed Data'!Q868</f>
        <v>16</v>
      </c>
    </row>
    <row r="504" spans="2:17">
      <c r="B504">
        <f>'[1]Processed Data'!B869</f>
        <v>2015</v>
      </c>
      <c r="C504">
        <f>'[1]Processed Data'!C869</f>
        <v>15</v>
      </c>
      <c r="D504" t="str">
        <f>'[1]Processed Data'!D869</f>
        <v>Tyrod Taylor</v>
      </c>
      <c r="E504">
        <f>Table1[[#This Row],[Year]]</f>
        <v>2015</v>
      </c>
      <c r="F504">
        <f>'[1]Processed Data'!F869</f>
        <v>242</v>
      </c>
      <c r="G504">
        <f>'[1]Processed Data'!G869</f>
        <v>380</v>
      </c>
      <c r="H504">
        <f>'[1]Processed Data'!H869</f>
        <v>63.7</v>
      </c>
      <c r="I504">
        <f>'[1]Processed Data'!I869</f>
        <v>20</v>
      </c>
      <c r="J504">
        <f>'[1]Processed Data'!J869</f>
        <v>6</v>
      </c>
      <c r="K504">
        <f>'[1]Processed Data'!K869</f>
        <v>36</v>
      </c>
      <c r="L504">
        <f>'[1]Processed Data'!L869</f>
        <v>104</v>
      </c>
      <c r="M504">
        <f>'[1]Processed Data'!M869</f>
        <v>568</v>
      </c>
      <c r="N504">
        <f>'[1]Processed Data'!N869</f>
        <v>4</v>
      </c>
      <c r="O504">
        <f>'[1]Processed Data'!O869</f>
        <v>1</v>
      </c>
      <c r="P504">
        <f>'[1]Processed Data'!P869</f>
        <v>271.10000000000002</v>
      </c>
      <c r="Q504">
        <f>'[1]Processed Data'!Q869</f>
        <v>14</v>
      </c>
    </row>
    <row r="505" spans="2:17">
      <c r="B505">
        <f>'[1]Processed Data'!B870</f>
        <v>2015</v>
      </c>
      <c r="C505">
        <f>'[1]Processed Data'!C870</f>
        <v>16</v>
      </c>
      <c r="D505" t="str">
        <f>'[1]Processed Data'!D870</f>
        <v>Alex Smith</v>
      </c>
      <c r="E505">
        <f>Table1[[#This Row],[Year]]</f>
        <v>2015</v>
      </c>
      <c r="F505">
        <f>'[1]Processed Data'!F870</f>
        <v>307</v>
      </c>
      <c r="G505">
        <f>'[1]Processed Data'!G870</f>
        <v>470</v>
      </c>
      <c r="H505">
        <f>'[1]Processed Data'!H870</f>
        <v>65.3</v>
      </c>
      <c r="I505">
        <f>'[1]Processed Data'!I870</f>
        <v>20</v>
      </c>
      <c r="J505">
        <f>'[1]Processed Data'!J870</f>
        <v>7</v>
      </c>
      <c r="K505">
        <f>'[1]Processed Data'!K870</f>
        <v>45</v>
      </c>
      <c r="L505">
        <f>'[1]Processed Data'!L870</f>
        <v>84</v>
      </c>
      <c r="M505">
        <f>'[1]Processed Data'!M870</f>
        <v>498</v>
      </c>
      <c r="N505">
        <f>'[1]Processed Data'!N870</f>
        <v>2</v>
      </c>
      <c r="O505">
        <f>'[1]Processed Data'!O870</f>
        <v>0</v>
      </c>
      <c r="P505">
        <f>'[1]Processed Data'!P870</f>
        <v>271</v>
      </c>
      <c r="Q505">
        <f>'[1]Processed Data'!Q870</f>
        <v>16</v>
      </c>
    </row>
    <row r="506" spans="2:17">
      <c r="B506">
        <f>'[1]Processed Data'!B871</f>
        <v>2015</v>
      </c>
      <c r="C506">
        <f>'[1]Processed Data'!C871</f>
        <v>17</v>
      </c>
      <c r="D506" t="str">
        <f>'[1]Processed Data'!D871</f>
        <v>Ryan Tannehill</v>
      </c>
      <c r="E506">
        <f>Table1[[#This Row],[Year]]</f>
        <v>2015</v>
      </c>
      <c r="F506">
        <f>'[1]Processed Data'!F871</f>
        <v>363</v>
      </c>
      <c r="G506">
        <f>'[1]Processed Data'!G871</f>
        <v>586</v>
      </c>
      <c r="H506">
        <f>'[1]Processed Data'!H871</f>
        <v>61.9</v>
      </c>
      <c r="I506">
        <f>'[1]Processed Data'!I871</f>
        <v>24</v>
      </c>
      <c r="J506">
        <f>'[1]Processed Data'!J871</f>
        <v>12</v>
      </c>
      <c r="K506">
        <f>'[1]Processed Data'!K871</f>
        <v>45</v>
      </c>
      <c r="L506">
        <f>'[1]Processed Data'!L871</f>
        <v>32</v>
      </c>
      <c r="M506">
        <f>'[1]Processed Data'!M871</f>
        <v>141</v>
      </c>
      <c r="N506">
        <f>'[1]Processed Data'!N871</f>
        <v>1</v>
      </c>
      <c r="O506">
        <f>'[1]Processed Data'!O871</f>
        <v>3</v>
      </c>
      <c r="P506">
        <f>'[1]Processed Data'!P871</f>
        <v>257.8</v>
      </c>
      <c r="Q506">
        <f>'[1]Processed Data'!Q871</f>
        <v>16</v>
      </c>
    </row>
    <row r="507" spans="2:17">
      <c r="B507">
        <f>'[1]Processed Data'!B872</f>
        <v>2015</v>
      </c>
      <c r="C507">
        <f>'[1]Processed Data'!C872</f>
        <v>18</v>
      </c>
      <c r="D507" t="str">
        <f>'[1]Processed Data'!D872</f>
        <v>Andy Dalton</v>
      </c>
      <c r="E507">
        <f>Table1[[#This Row],[Year]]</f>
        <v>2015</v>
      </c>
      <c r="F507">
        <f>'[1]Processed Data'!F872</f>
        <v>255</v>
      </c>
      <c r="G507">
        <f>'[1]Processed Data'!G872</f>
        <v>386</v>
      </c>
      <c r="H507">
        <f>'[1]Processed Data'!H872</f>
        <v>66.099999999999994</v>
      </c>
      <c r="I507">
        <f>'[1]Processed Data'!I872</f>
        <v>25</v>
      </c>
      <c r="J507">
        <f>'[1]Processed Data'!J872</f>
        <v>7</v>
      </c>
      <c r="K507">
        <f>'[1]Processed Data'!K872</f>
        <v>20</v>
      </c>
      <c r="L507">
        <f>'[1]Processed Data'!L872</f>
        <v>57</v>
      </c>
      <c r="M507">
        <f>'[1]Processed Data'!M872</f>
        <v>142</v>
      </c>
      <c r="N507">
        <f>'[1]Processed Data'!N872</f>
        <v>3</v>
      </c>
      <c r="O507">
        <f>'[1]Processed Data'!O872</f>
        <v>2</v>
      </c>
      <c r="P507">
        <f>'[1]Processed Data'!P872</f>
        <v>244.1</v>
      </c>
      <c r="Q507">
        <f>'[1]Processed Data'!Q872</f>
        <v>13</v>
      </c>
    </row>
    <row r="508" spans="2:17">
      <c r="B508">
        <f>'[1]Processed Data'!B873</f>
        <v>2015</v>
      </c>
      <c r="C508">
        <f>'[1]Processed Data'!C873</f>
        <v>19</v>
      </c>
      <c r="D508" t="str">
        <f>'[1]Processed Data'!D873</f>
        <v>Matt Ryan</v>
      </c>
      <c r="E508">
        <f>Table1[[#This Row],[Year]]</f>
        <v>2015</v>
      </c>
      <c r="F508">
        <f>'[1]Processed Data'!F873</f>
        <v>407</v>
      </c>
      <c r="G508">
        <f>'[1]Processed Data'!G873</f>
        <v>614</v>
      </c>
      <c r="H508">
        <f>'[1]Processed Data'!H873</f>
        <v>66.3</v>
      </c>
      <c r="I508">
        <f>'[1]Processed Data'!I873</f>
        <v>21</v>
      </c>
      <c r="J508">
        <f>'[1]Processed Data'!J873</f>
        <v>16</v>
      </c>
      <c r="K508">
        <f>'[1]Processed Data'!K873</f>
        <v>30</v>
      </c>
      <c r="L508">
        <f>'[1]Processed Data'!L873</f>
        <v>36</v>
      </c>
      <c r="M508">
        <f>'[1]Processed Data'!M873</f>
        <v>63</v>
      </c>
      <c r="N508">
        <f>'[1]Processed Data'!N873</f>
        <v>0</v>
      </c>
      <c r="O508">
        <f>'[1]Processed Data'!O873</f>
        <v>5</v>
      </c>
      <c r="P508">
        <f>'[1]Processed Data'!P873</f>
        <v>233.9</v>
      </c>
      <c r="Q508">
        <f>'[1]Processed Data'!Q873</f>
        <v>16</v>
      </c>
    </row>
    <row r="509" spans="2:17">
      <c r="B509">
        <f>'[1]Processed Data'!B874</f>
        <v>2015</v>
      </c>
      <c r="C509">
        <f>'[1]Processed Data'!C874</f>
        <v>20</v>
      </c>
      <c r="D509" t="str">
        <f>'[1]Processed Data'!D874</f>
        <v>Ben Roethlisberger</v>
      </c>
      <c r="E509">
        <f>Table1[[#This Row],[Year]]</f>
        <v>2015</v>
      </c>
      <c r="F509">
        <f>'[1]Processed Data'!F874</f>
        <v>319</v>
      </c>
      <c r="G509">
        <f>'[1]Processed Data'!G874</f>
        <v>469</v>
      </c>
      <c r="H509">
        <f>'[1]Processed Data'!H874</f>
        <v>68</v>
      </c>
      <c r="I509">
        <f>'[1]Processed Data'!I874</f>
        <v>21</v>
      </c>
      <c r="J509">
        <f>'[1]Processed Data'!J874</f>
        <v>16</v>
      </c>
      <c r="K509">
        <f>'[1]Processed Data'!K874</f>
        <v>20</v>
      </c>
      <c r="L509">
        <f>'[1]Processed Data'!L874</f>
        <v>15</v>
      </c>
      <c r="M509">
        <f>'[1]Processed Data'!M874</f>
        <v>29</v>
      </c>
      <c r="N509">
        <f>'[1]Processed Data'!N874</f>
        <v>0</v>
      </c>
      <c r="O509">
        <f>'[1]Processed Data'!O874</f>
        <v>0</v>
      </c>
      <c r="P509">
        <f>'[1]Processed Data'!P874</f>
        <v>227.6</v>
      </c>
      <c r="Q509">
        <f>'[1]Processed Data'!Q874</f>
        <v>12</v>
      </c>
    </row>
    <row r="510" spans="2:17">
      <c r="B510">
        <f>'[1]Processed Data'!B875</f>
        <v>2015</v>
      </c>
      <c r="C510">
        <f>'[1]Processed Data'!C875</f>
        <v>21</v>
      </c>
      <c r="D510" t="str">
        <f>'[1]Processed Data'!D875</f>
        <v>Jay Cutler</v>
      </c>
      <c r="E510">
        <f>Table1[[#This Row],[Year]]</f>
        <v>2015</v>
      </c>
      <c r="F510">
        <f>'[1]Processed Data'!F875</f>
        <v>311</v>
      </c>
      <c r="G510">
        <f>'[1]Processed Data'!G875</f>
        <v>483</v>
      </c>
      <c r="H510">
        <f>'[1]Processed Data'!H875</f>
        <v>64.400000000000006</v>
      </c>
      <c r="I510">
        <f>'[1]Processed Data'!I875</f>
        <v>21</v>
      </c>
      <c r="J510">
        <f>'[1]Processed Data'!J875</f>
        <v>11</v>
      </c>
      <c r="K510">
        <f>'[1]Processed Data'!K875</f>
        <v>29</v>
      </c>
      <c r="L510">
        <f>'[1]Processed Data'!L875</f>
        <v>38</v>
      </c>
      <c r="M510">
        <f>'[1]Processed Data'!M875</f>
        <v>201</v>
      </c>
      <c r="N510">
        <f>'[1]Processed Data'!N875</f>
        <v>1</v>
      </c>
      <c r="O510">
        <f>'[1]Processed Data'!O875</f>
        <v>5</v>
      </c>
      <c r="P510">
        <f>'[1]Processed Data'!P875</f>
        <v>226.3</v>
      </c>
      <c r="Q510">
        <f>'[1]Processed Data'!Q875</f>
        <v>15</v>
      </c>
    </row>
    <row r="511" spans="2:17">
      <c r="B511">
        <f>'[1]Processed Data'!B876</f>
        <v>2015</v>
      </c>
      <c r="C511">
        <f>'[1]Processed Data'!C876</f>
        <v>22</v>
      </c>
      <c r="D511" t="str">
        <f>'[1]Processed Data'!D876</f>
        <v>Marcus Mariota</v>
      </c>
      <c r="E511">
        <f>Table1[[#This Row],[Year]]</f>
        <v>2015</v>
      </c>
      <c r="F511">
        <f>'[1]Processed Data'!F876</f>
        <v>230</v>
      </c>
      <c r="G511">
        <f>'[1]Processed Data'!G876</f>
        <v>370</v>
      </c>
      <c r="H511">
        <f>'[1]Processed Data'!H876</f>
        <v>62.2</v>
      </c>
      <c r="I511">
        <f>'[1]Processed Data'!I876</f>
        <v>19</v>
      </c>
      <c r="J511">
        <f>'[1]Processed Data'!J876</f>
        <v>10</v>
      </c>
      <c r="K511">
        <f>'[1]Processed Data'!K876</f>
        <v>38</v>
      </c>
      <c r="L511">
        <f>'[1]Processed Data'!L876</f>
        <v>34</v>
      </c>
      <c r="M511">
        <f>'[1]Processed Data'!M876</f>
        <v>252</v>
      </c>
      <c r="N511">
        <f>'[1]Processed Data'!N876</f>
        <v>2</v>
      </c>
      <c r="O511">
        <f>'[1]Processed Data'!O876</f>
        <v>6</v>
      </c>
      <c r="P511">
        <f>'[1]Processed Data'!P876</f>
        <v>210.6</v>
      </c>
      <c r="Q511">
        <f>'[1]Processed Data'!Q876</f>
        <v>12</v>
      </c>
    </row>
    <row r="512" spans="2:17">
      <c r="B512">
        <f>'[1]Processed Data'!B877</f>
        <v>2015</v>
      </c>
      <c r="C512">
        <f>'[1]Processed Data'!C877</f>
        <v>23</v>
      </c>
      <c r="D512" t="str">
        <f>'[1]Processed Data'!D877</f>
        <v>Teddy Bridgewater</v>
      </c>
      <c r="E512">
        <f>Table1[[#This Row],[Year]]</f>
        <v>2015</v>
      </c>
      <c r="F512">
        <f>'[1]Processed Data'!F877</f>
        <v>292</v>
      </c>
      <c r="G512">
        <f>'[1]Processed Data'!G877</f>
        <v>447</v>
      </c>
      <c r="H512">
        <f>'[1]Processed Data'!H877</f>
        <v>65.3</v>
      </c>
      <c r="I512">
        <f>'[1]Processed Data'!I877</f>
        <v>14</v>
      </c>
      <c r="J512">
        <f>'[1]Processed Data'!J877</f>
        <v>9</v>
      </c>
      <c r="K512">
        <f>'[1]Processed Data'!K877</f>
        <v>44</v>
      </c>
      <c r="L512">
        <f>'[1]Processed Data'!L877</f>
        <v>44</v>
      </c>
      <c r="M512">
        <f>'[1]Processed Data'!M877</f>
        <v>192</v>
      </c>
      <c r="N512">
        <f>'[1]Processed Data'!N877</f>
        <v>3</v>
      </c>
      <c r="O512">
        <f>'[1]Processed Data'!O877</f>
        <v>3</v>
      </c>
      <c r="P512">
        <f>'[1]Processed Data'!P877</f>
        <v>200.4</v>
      </c>
      <c r="Q512">
        <f>'[1]Processed Data'!Q877</f>
        <v>16</v>
      </c>
    </row>
    <row r="513" spans="2:17">
      <c r="B513">
        <f>'[1]Processed Data'!B878</f>
        <v>2015</v>
      </c>
      <c r="C513">
        <f>'[1]Processed Data'!C878</f>
        <v>24</v>
      </c>
      <c r="D513" t="str">
        <f>'[1]Processed Data'!D878</f>
        <v>Sam Bradford</v>
      </c>
      <c r="E513">
        <f>Table1[[#This Row],[Year]]</f>
        <v>2015</v>
      </c>
      <c r="F513">
        <f>'[1]Processed Data'!F878</f>
        <v>346</v>
      </c>
      <c r="G513">
        <f>'[1]Processed Data'!G878</f>
        <v>532</v>
      </c>
      <c r="H513">
        <f>'[1]Processed Data'!H878</f>
        <v>65</v>
      </c>
      <c r="I513">
        <f>'[1]Processed Data'!I878</f>
        <v>19</v>
      </c>
      <c r="J513">
        <f>'[1]Processed Data'!J878</f>
        <v>14</v>
      </c>
      <c r="K513">
        <f>'[1]Processed Data'!K878</f>
        <v>28</v>
      </c>
      <c r="L513">
        <f>'[1]Processed Data'!L878</f>
        <v>26</v>
      </c>
      <c r="M513">
        <f>'[1]Processed Data'!M878</f>
        <v>39</v>
      </c>
      <c r="N513">
        <f>'[1]Processed Data'!N878</f>
        <v>0</v>
      </c>
      <c r="O513">
        <f>'[1]Processed Data'!O878</f>
        <v>3</v>
      </c>
      <c r="P513">
        <f>'[1]Processed Data'!P878</f>
        <v>194.8</v>
      </c>
      <c r="Q513">
        <f>'[1]Processed Data'!Q878</f>
        <v>14</v>
      </c>
    </row>
    <row r="514" spans="2:17">
      <c r="B514">
        <f>'[1]Processed Data'!B879</f>
        <v>2015</v>
      </c>
      <c r="C514">
        <f>'[1]Processed Data'!C879</f>
        <v>25</v>
      </c>
      <c r="D514" t="str">
        <f>'[1]Processed Data'!D879</f>
        <v>Brian Hoyer</v>
      </c>
      <c r="E514">
        <f>Table1[[#This Row],[Year]]</f>
        <v>2015</v>
      </c>
      <c r="F514">
        <f>'[1]Processed Data'!F879</f>
        <v>224</v>
      </c>
      <c r="G514">
        <f>'[1]Processed Data'!G879</f>
        <v>369</v>
      </c>
      <c r="H514">
        <f>'[1]Processed Data'!H879</f>
        <v>60.7</v>
      </c>
      <c r="I514">
        <f>'[1]Processed Data'!I879</f>
        <v>19</v>
      </c>
      <c r="J514">
        <f>'[1]Processed Data'!J879</f>
        <v>7</v>
      </c>
      <c r="K514">
        <f>'[1]Processed Data'!K879</f>
        <v>25</v>
      </c>
      <c r="L514">
        <f>'[1]Processed Data'!L879</f>
        <v>15</v>
      </c>
      <c r="M514">
        <f>'[1]Processed Data'!M879</f>
        <v>44</v>
      </c>
      <c r="N514">
        <f>'[1]Processed Data'!N879</f>
        <v>0</v>
      </c>
      <c r="O514">
        <f>'[1]Processed Data'!O879</f>
        <v>2</v>
      </c>
      <c r="P514">
        <f>'[1]Processed Data'!P879</f>
        <v>166.6</v>
      </c>
      <c r="Q514">
        <f>'[1]Processed Data'!Q879</f>
        <v>11</v>
      </c>
    </row>
    <row r="515" spans="2:17">
      <c r="B515">
        <f>'[1]Processed Data'!B880</f>
        <v>2015</v>
      </c>
      <c r="C515">
        <f>'[1]Processed Data'!C880</f>
        <v>26</v>
      </c>
      <c r="D515" t="str">
        <f>'[1]Processed Data'!D880</f>
        <v>Joe Flacco</v>
      </c>
      <c r="E515">
        <f>Table1[[#This Row],[Year]]</f>
        <v>2015</v>
      </c>
      <c r="F515">
        <f>'[1]Processed Data'!F880</f>
        <v>266</v>
      </c>
      <c r="G515">
        <f>'[1]Processed Data'!G880</f>
        <v>413</v>
      </c>
      <c r="H515">
        <f>'[1]Processed Data'!H880</f>
        <v>64.400000000000006</v>
      </c>
      <c r="I515">
        <f>'[1]Processed Data'!I880</f>
        <v>14</v>
      </c>
      <c r="J515">
        <f>'[1]Processed Data'!J880</f>
        <v>12</v>
      </c>
      <c r="K515">
        <f>'[1]Processed Data'!K880</f>
        <v>16</v>
      </c>
      <c r="L515">
        <f>'[1]Processed Data'!L880</f>
        <v>13</v>
      </c>
      <c r="M515">
        <f>'[1]Processed Data'!M880</f>
        <v>23</v>
      </c>
      <c r="N515">
        <f>'[1]Processed Data'!N880</f>
        <v>3</v>
      </c>
      <c r="O515">
        <f>'[1]Processed Data'!O880</f>
        <v>2</v>
      </c>
      <c r="P515">
        <f>'[1]Processed Data'!P880</f>
        <v>162.1</v>
      </c>
      <c r="Q515">
        <f>'[1]Processed Data'!Q880</f>
        <v>10</v>
      </c>
    </row>
    <row r="516" spans="2:17">
      <c r="B516">
        <f>'[1]Processed Data'!B881</f>
        <v>2015</v>
      </c>
      <c r="C516">
        <f>'[1]Processed Data'!C881</f>
        <v>27</v>
      </c>
      <c r="D516" t="str">
        <f>'[1]Processed Data'!D881</f>
        <v>Josh McCown</v>
      </c>
      <c r="E516">
        <f>Table1[[#This Row],[Year]]</f>
        <v>2015</v>
      </c>
      <c r="F516">
        <f>'[1]Processed Data'!F881</f>
        <v>186</v>
      </c>
      <c r="G516">
        <f>'[1]Processed Data'!G881</f>
        <v>292</v>
      </c>
      <c r="H516">
        <f>'[1]Processed Data'!H881</f>
        <v>63.7</v>
      </c>
      <c r="I516">
        <f>'[1]Processed Data'!I881</f>
        <v>12</v>
      </c>
      <c r="J516">
        <f>'[1]Processed Data'!J881</f>
        <v>4</v>
      </c>
      <c r="K516">
        <f>'[1]Processed Data'!K881</f>
        <v>23</v>
      </c>
      <c r="L516">
        <f>'[1]Processed Data'!L881</f>
        <v>20</v>
      </c>
      <c r="M516">
        <f>'[1]Processed Data'!M881</f>
        <v>98</v>
      </c>
      <c r="N516">
        <f>'[1]Processed Data'!N881</f>
        <v>1</v>
      </c>
      <c r="O516">
        <f>'[1]Processed Data'!O881</f>
        <v>6</v>
      </c>
      <c r="P516">
        <f>'[1]Processed Data'!P881</f>
        <v>132.1</v>
      </c>
      <c r="Q516">
        <f>'[1]Processed Data'!Q881</f>
        <v>8</v>
      </c>
    </row>
    <row r="517" spans="2:17">
      <c r="B517">
        <f>'[1]Processed Data'!B882</f>
        <v>2015</v>
      </c>
      <c r="C517">
        <f>'[1]Processed Data'!C882</f>
        <v>28</v>
      </c>
      <c r="D517" t="str">
        <f>'[1]Processed Data'!D882</f>
        <v>Andrew Luck</v>
      </c>
      <c r="E517">
        <f>Table1[[#This Row],[Year]]</f>
        <v>2015</v>
      </c>
      <c r="F517">
        <f>'[1]Processed Data'!F882</f>
        <v>162</v>
      </c>
      <c r="G517">
        <f>'[1]Processed Data'!G882</f>
        <v>293</v>
      </c>
      <c r="H517">
        <f>'[1]Processed Data'!H882</f>
        <v>55.3</v>
      </c>
      <c r="I517">
        <f>'[1]Processed Data'!I882</f>
        <v>15</v>
      </c>
      <c r="J517">
        <f>'[1]Processed Data'!J882</f>
        <v>12</v>
      </c>
      <c r="K517">
        <f>'[1]Processed Data'!K882</f>
        <v>15</v>
      </c>
      <c r="L517">
        <f>'[1]Processed Data'!L882</f>
        <v>33</v>
      </c>
      <c r="M517">
        <f>'[1]Processed Data'!M882</f>
        <v>196</v>
      </c>
      <c r="N517">
        <f>'[1]Processed Data'!N882</f>
        <v>0</v>
      </c>
      <c r="O517">
        <f>'[1]Processed Data'!O882</f>
        <v>1</v>
      </c>
      <c r="P517">
        <f>'[1]Processed Data'!P882</f>
        <v>130.80000000000001</v>
      </c>
      <c r="Q517">
        <f>'[1]Processed Data'!Q882</f>
        <v>7</v>
      </c>
    </row>
    <row r="518" spans="2:17">
      <c r="B518">
        <f>'[1]Processed Data'!B883</f>
        <v>2015</v>
      </c>
      <c r="C518">
        <f>'[1]Processed Data'!C883</f>
        <v>29</v>
      </c>
      <c r="D518" t="str">
        <f>'[1]Processed Data'!D883</f>
        <v>Blaine Gabbert</v>
      </c>
      <c r="E518">
        <f>Table1[[#This Row],[Year]]</f>
        <v>2015</v>
      </c>
      <c r="F518">
        <f>'[1]Processed Data'!F883</f>
        <v>178</v>
      </c>
      <c r="G518">
        <f>'[1]Processed Data'!G883</f>
        <v>282</v>
      </c>
      <c r="H518">
        <f>'[1]Processed Data'!H883</f>
        <v>63.1</v>
      </c>
      <c r="I518">
        <f>'[1]Processed Data'!I883</f>
        <v>10</v>
      </c>
      <c r="J518">
        <f>'[1]Processed Data'!J883</f>
        <v>7</v>
      </c>
      <c r="K518">
        <f>'[1]Processed Data'!K883</f>
        <v>25</v>
      </c>
      <c r="L518">
        <f>'[1]Processed Data'!L883</f>
        <v>32</v>
      </c>
      <c r="M518">
        <f>'[1]Processed Data'!M883</f>
        <v>185</v>
      </c>
      <c r="N518">
        <f>'[1]Processed Data'!N883</f>
        <v>1</v>
      </c>
      <c r="O518">
        <f>'[1]Processed Data'!O883</f>
        <v>1</v>
      </c>
      <c r="P518">
        <f>'[1]Processed Data'!P883</f>
        <v>129.80000000000001</v>
      </c>
      <c r="Q518">
        <f>'[1]Processed Data'!Q883</f>
        <v>8</v>
      </c>
    </row>
    <row r="519" spans="2:17">
      <c r="B519">
        <f>'[1]Processed Data'!B884</f>
        <v>2015</v>
      </c>
      <c r="C519">
        <f>'[1]Processed Data'!C884</f>
        <v>30</v>
      </c>
      <c r="D519" t="str">
        <f>'[1]Processed Data'!D884</f>
        <v>Brock Osweiler</v>
      </c>
      <c r="E519">
        <f>Table1[[#This Row],[Year]]</f>
        <v>2015</v>
      </c>
      <c r="F519">
        <f>'[1]Processed Data'!F884</f>
        <v>170</v>
      </c>
      <c r="G519">
        <f>'[1]Processed Data'!G884</f>
        <v>275</v>
      </c>
      <c r="H519">
        <f>'[1]Processed Data'!H884</f>
        <v>61.8</v>
      </c>
      <c r="I519">
        <f>'[1]Processed Data'!I884</f>
        <v>10</v>
      </c>
      <c r="J519">
        <f>'[1]Processed Data'!J884</f>
        <v>6</v>
      </c>
      <c r="K519">
        <f>'[1]Processed Data'!K884</f>
        <v>23</v>
      </c>
      <c r="L519">
        <f>'[1]Processed Data'!L884</f>
        <v>21</v>
      </c>
      <c r="M519">
        <f>'[1]Processed Data'!M884</f>
        <v>61</v>
      </c>
      <c r="N519">
        <f>'[1]Processed Data'!N884</f>
        <v>1</v>
      </c>
      <c r="O519">
        <f>'[1]Processed Data'!O884</f>
        <v>1</v>
      </c>
      <c r="P519">
        <f>'[1]Processed Data'!P884</f>
        <v>116.7</v>
      </c>
      <c r="Q519">
        <f>'[1]Processed Data'!Q884</f>
        <v>8</v>
      </c>
    </row>
    <row r="520" spans="2:17">
      <c r="B520">
        <f>'[1]Processed Data'!B885</f>
        <v>2015</v>
      </c>
      <c r="C520">
        <f>'[1]Processed Data'!C885</f>
        <v>31</v>
      </c>
      <c r="D520" t="str">
        <f>'[1]Processed Data'!D885</f>
        <v>Colin Kaepernick</v>
      </c>
      <c r="E520">
        <f>Table1[[#This Row],[Year]]</f>
        <v>2015</v>
      </c>
      <c r="F520">
        <f>'[1]Processed Data'!F885</f>
        <v>144</v>
      </c>
      <c r="G520">
        <f>'[1]Processed Data'!G885</f>
        <v>244</v>
      </c>
      <c r="H520">
        <f>'[1]Processed Data'!H885</f>
        <v>59</v>
      </c>
      <c r="I520">
        <f>'[1]Processed Data'!I885</f>
        <v>6</v>
      </c>
      <c r="J520">
        <f>'[1]Processed Data'!J885</f>
        <v>5</v>
      </c>
      <c r="K520">
        <f>'[1]Processed Data'!K885</f>
        <v>28</v>
      </c>
      <c r="L520">
        <f>'[1]Processed Data'!L885</f>
        <v>45</v>
      </c>
      <c r="M520">
        <f>'[1]Processed Data'!M885</f>
        <v>256</v>
      </c>
      <c r="N520">
        <f>'[1]Processed Data'!N885</f>
        <v>1</v>
      </c>
      <c r="O520">
        <f>'[1]Processed Data'!O885</f>
        <v>1</v>
      </c>
      <c r="P520">
        <f>'[1]Processed Data'!P885</f>
        <v>110.3</v>
      </c>
      <c r="Q520">
        <f>'[1]Processed Data'!Q885</f>
        <v>9</v>
      </c>
    </row>
    <row r="521" spans="2:17">
      <c r="B521">
        <f>'[1]Processed Data'!B886</f>
        <v>2015</v>
      </c>
      <c r="C521">
        <f>'[1]Processed Data'!C886</f>
        <v>32</v>
      </c>
      <c r="D521" t="str">
        <f>'[1]Processed Data'!D886</f>
        <v>Nick Foles</v>
      </c>
      <c r="E521">
        <f>Table1[[#This Row],[Year]]</f>
        <v>2015</v>
      </c>
      <c r="F521">
        <f>'[1]Processed Data'!F886</f>
        <v>190</v>
      </c>
      <c r="G521">
        <f>'[1]Processed Data'!G886</f>
        <v>337</v>
      </c>
      <c r="H521">
        <f>'[1]Processed Data'!H886</f>
        <v>56.4</v>
      </c>
      <c r="I521">
        <f>'[1]Processed Data'!I886</f>
        <v>7</v>
      </c>
      <c r="J521">
        <f>'[1]Processed Data'!J886</f>
        <v>10</v>
      </c>
      <c r="K521">
        <f>'[1]Processed Data'!K886</f>
        <v>14</v>
      </c>
      <c r="L521">
        <f>'[1]Processed Data'!L886</f>
        <v>17</v>
      </c>
      <c r="M521">
        <f>'[1]Processed Data'!M886</f>
        <v>20</v>
      </c>
      <c r="N521">
        <f>'[1]Processed Data'!N886</f>
        <v>1</v>
      </c>
      <c r="O521">
        <f>'[1]Processed Data'!O886</f>
        <v>2</v>
      </c>
      <c r="P521">
        <f>'[1]Processed Data'!P886</f>
        <v>95.9</v>
      </c>
      <c r="Q521">
        <f>'[1]Processed Data'!Q886</f>
        <v>11</v>
      </c>
    </row>
    <row r="522" spans="2:17">
      <c r="B522">
        <f>'[1]Processed Data'!B887</f>
        <v>2015</v>
      </c>
      <c r="C522">
        <f>'[1]Processed Data'!C887</f>
        <v>33</v>
      </c>
      <c r="D522" t="str">
        <f>'[1]Processed Data'!D887</f>
        <v>Johnny Manziel</v>
      </c>
      <c r="E522">
        <f>Table1[[#This Row],[Year]]</f>
        <v>2015</v>
      </c>
      <c r="F522">
        <f>'[1]Processed Data'!F887</f>
        <v>129</v>
      </c>
      <c r="G522">
        <f>'[1]Processed Data'!G887</f>
        <v>223</v>
      </c>
      <c r="H522">
        <f>'[1]Processed Data'!H887</f>
        <v>57.8</v>
      </c>
      <c r="I522">
        <f>'[1]Processed Data'!I887</f>
        <v>7</v>
      </c>
      <c r="J522">
        <f>'[1]Processed Data'!J887</f>
        <v>5</v>
      </c>
      <c r="K522">
        <f>'[1]Processed Data'!K887</f>
        <v>19</v>
      </c>
      <c r="L522">
        <f>'[1]Processed Data'!L887</f>
        <v>37</v>
      </c>
      <c r="M522">
        <f>'[1]Processed Data'!M887</f>
        <v>230</v>
      </c>
      <c r="N522">
        <f>'[1]Processed Data'!N887</f>
        <v>0</v>
      </c>
      <c r="O522">
        <f>'[1]Processed Data'!O887</f>
        <v>3</v>
      </c>
      <c r="P522">
        <f>'[1]Processed Data'!P887</f>
        <v>95</v>
      </c>
      <c r="Q522">
        <f>'[1]Processed Data'!Q887</f>
        <v>9</v>
      </c>
    </row>
    <row r="523" spans="2:17">
      <c r="B523">
        <f>'[1]Processed Data'!B888</f>
        <v>2015</v>
      </c>
      <c r="C523">
        <f>'[1]Processed Data'!C888</f>
        <v>34</v>
      </c>
      <c r="D523" t="str">
        <f>'[1]Processed Data'!D888</f>
        <v>Peyton Manning</v>
      </c>
      <c r="E523">
        <f>Table1[[#This Row],[Year]]</f>
        <v>2015</v>
      </c>
      <c r="F523">
        <f>'[1]Processed Data'!F888</f>
        <v>198</v>
      </c>
      <c r="G523">
        <f>'[1]Processed Data'!G888</f>
        <v>331</v>
      </c>
      <c r="H523">
        <f>'[1]Processed Data'!H888</f>
        <v>59.8</v>
      </c>
      <c r="I523">
        <f>'[1]Processed Data'!I888</f>
        <v>9</v>
      </c>
      <c r="J523">
        <f>'[1]Processed Data'!J888</f>
        <v>17</v>
      </c>
      <c r="K523">
        <f>'[1]Processed Data'!K888</f>
        <v>16</v>
      </c>
      <c r="L523">
        <f>'[1]Processed Data'!L888</f>
        <v>6</v>
      </c>
      <c r="M523">
        <f>'[1]Processed Data'!M888</f>
        <v>-6</v>
      </c>
      <c r="N523">
        <f>'[1]Processed Data'!N888</f>
        <v>0</v>
      </c>
      <c r="O523">
        <f>'[1]Processed Data'!O888</f>
        <v>0</v>
      </c>
      <c r="P523">
        <f>'[1]Processed Data'!P888</f>
        <v>91.3</v>
      </c>
      <c r="Q523">
        <f>'[1]Processed Data'!Q888</f>
        <v>10</v>
      </c>
    </row>
    <row r="524" spans="2:17">
      <c r="B524">
        <f>'[1]Processed Data'!B889</f>
        <v>2015</v>
      </c>
      <c r="C524">
        <f>'[1]Processed Data'!C889</f>
        <v>35</v>
      </c>
      <c r="D524" t="str">
        <f>'[1]Processed Data'!D889</f>
        <v>Matt Hasselbeck</v>
      </c>
      <c r="E524">
        <f>Table1[[#This Row],[Year]]</f>
        <v>2015</v>
      </c>
      <c r="F524">
        <f>'[1]Processed Data'!F889</f>
        <v>156</v>
      </c>
      <c r="G524">
        <f>'[1]Processed Data'!G889</f>
        <v>256</v>
      </c>
      <c r="H524">
        <f>'[1]Processed Data'!H889</f>
        <v>60.9</v>
      </c>
      <c r="I524">
        <f>'[1]Processed Data'!I889</f>
        <v>9</v>
      </c>
      <c r="J524">
        <f>'[1]Processed Data'!J889</f>
        <v>5</v>
      </c>
      <c r="K524">
        <f>'[1]Processed Data'!K889</f>
        <v>16</v>
      </c>
      <c r="L524">
        <f>'[1]Processed Data'!L889</f>
        <v>16</v>
      </c>
      <c r="M524">
        <f>'[1]Processed Data'!M889</f>
        <v>15</v>
      </c>
      <c r="N524">
        <f>'[1]Processed Data'!N889</f>
        <v>0</v>
      </c>
      <c r="O524">
        <f>'[1]Processed Data'!O889</f>
        <v>2</v>
      </c>
      <c r="P524">
        <f>'[1]Processed Data'!P889</f>
        <v>91.2</v>
      </c>
      <c r="Q524">
        <f>'[1]Processed Data'!Q889</f>
        <v>8</v>
      </c>
    </row>
    <row r="525" spans="2:17">
      <c r="B525">
        <f>'[1]Processed Data'!B890</f>
        <v>2015</v>
      </c>
      <c r="C525">
        <f>'[1]Processed Data'!C890</f>
        <v>36</v>
      </c>
      <c r="D525" t="str">
        <f>'[1]Processed Data'!D890</f>
        <v>Ryan Mallett</v>
      </c>
      <c r="E525">
        <f>Table1[[#This Row],[Year]]</f>
        <v>2015</v>
      </c>
      <c r="F525">
        <f>'[1]Processed Data'!F890</f>
        <v>136</v>
      </c>
      <c r="G525">
        <f>'[1]Processed Data'!G890</f>
        <v>244</v>
      </c>
      <c r="H525">
        <f>'[1]Processed Data'!H890</f>
        <v>55.7</v>
      </c>
      <c r="I525">
        <f>'[1]Processed Data'!I890</f>
        <v>5</v>
      </c>
      <c r="J525">
        <f>'[1]Processed Data'!J890</f>
        <v>6</v>
      </c>
      <c r="K525">
        <f>'[1]Processed Data'!K890</f>
        <v>6</v>
      </c>
      <c r="L525">
        <f>'[1]Processed Data'!L890</f>
        <v>5</v>
      </c>
      <c r="M525">
        <f>'[1]Processed Data'!M890</f>
        <v>15</v>
      </c>
      <c r="N525">
        <f>'[1]Processed Data'!N890</f>
        <v>1</v>
      </c>
      <c r="O525">
        <f>'[1]Processed Data'!O890</f>
        <v>0</v>
      </c>
      <c r="P525">
        <f>'[1]Processed Data'!P890</f>
        <v>71</v>
      </c>
      <c r="Q525">
        <f>'[1]Processed Data'!Q890</f>
        <v>8</v>
      </c>
    </row>
    <row r="526" spans="2:17">
      <c r="B526">
        <f>'[1]Processed Data'!B891</f>
        <v>2015</v>
      </c>
      <c r="C526">
        <f>'[1]Processed Data'!C891</f>
        <v>37</v>
      </c>
      <c r="D526" t="str">
        <f>'[1]Processed Data'!D891</f>
        <v>Matt Cassel</v>
      </c>
      <c r="E526">
        <f>Table1[[#This Row],[Year]]</f>
        <v>2015</v>
      </c>
      <c r="F526">
        <f>'[1]Processed Data'!F891</f>
        <v>119</v>
      </c>
      <c r="G526">
        <f>'[1]Processed Data'!G891</f>
        <v>204</v>
      </c>
      <c r="H526">
        <f>'[1]Processed Data'!H891</f>
        <v>58.3</v>
      </c>
      <c r="I526">
        <f>'[1]Processed Data'!I891</f>
        <v>5</v>
      </c>
      <c r="J526">
        <f>'[1]Processed Data'!J891</f>
        <v>7</v>
      </c>
      <c r="K526">
        <f>'[1]Processed Data'!K891</f>
        <v>14</v>
      </c>
      <c r="L526">
        <f>'[1]Processed Data'!L891</f>
        <v>15</v>
      </c>
      <c r="M526">
        <f>'[1]Processed Data'!M891</f>
        <v>78</v>
      </c>
      <c r="N526">
        <f>'[1]Processed Data'!N891</f>
        <v>0</v>
      </c>
      <c r="O526">
        <f>'[1]Processed Data'!O891</f>
        <v>0</v>
      </c>
      <c r="P526">
        <f>'[1]Processed Data'!P891</f>
        <v>66.900000000000006</v>
      </c>
      <c r="Q526">
        <f>'[1]Processed Data'!Q891</f>
        <v>9</v>
      </c>
    </row>
    <row r="527" spans="2:17">
      <c r="B527">
        <f>'[1]Processed Data'!B892</f>
        <v>2015</v>
      </c>
      <c r="C527">
        <f>'[1]Processed Data'!C892</f>
        <v>38</v>
      </c>
      <c r="D527" t="str">
        <f>'[1]Processed Data'!D892</f>
        <v>Brandon Weeden</v>
      </c>
      <c r="E527">
        <f>Table1[[#This Row],[Year]]</f>
        <v>2015</v>
      </c>
      <c r="F527">
        <f>'[1]Processed Data'!F892</f>
        <v>97</v>
      </c>
      <c r="G527">
        <f>'[1]Processed Data'!G892</f>
        <v>140</v>
      </c>
      <c r="H527">
        <f>'[1]Processed Data'!H892</f>
        <v>69.3</v>
      </c>
      <c r="I527">
        <f>'[1]Processed Data'!I892</f>
        <v>5</v>
      </c>
      <c r="J527">
        <f>'[1]Processed Data'!J892</f>
        <v>2</v>
      </c>
      <c r="K527">
        <f>'[1]Processed Data'!K892</f>
        <v>10</v>
      </c>
      <c r="L527">
        <f>'[1]Processed Data'!L892</f>
        <v>16</v>
      </c>
      <c r="M527">
        <f>'[1]Processed Data'!M892</f>
        <v>47</v>
      </c>
      <c r="N527">
        <f>'[1]Processed Data'!N892</f>
        <v>1</v>
      </c>
      <c r="O527">
        <f>'[1]Processed Data'!O892</f>
        <v>1</v>
      </c>
      <c r="P527">
        <f>'[1]Processed Data'!P892</f>
        <v>66.400000000000006</v>
      </c>
      <c r="Q527">
        <f>'[1]Processed Data'!Q892</f>
        <v>6</v>
      </c>
    </row>
    <row r="528" spans="2:17">
      <c r="B528">
        <f>'[1]Processed Data'!B893</f>
        <v>2015</v>
      </c>
      <c r="C528">
        <f>'[1]Processed Data'!C893</f>
        <v>39</v>
      </c>
      <c r="D528" t="str">
        <f>'[1]Processed Data'!D893</f>
        <v>AJ McCarron</v>
      </c>
      <c r="E528">
        <f>Table1[[#This Row],[Year]]</f>
        <v>2015</v>
      </c>
      <c r="F528">
        <f>'[1]Processed Data'!F893</f>
        <v>79</v>
      </c>
      <c r="G528">
        <f>'[1]Processed Data'!G893</f>
        <v>119</v>
      </c>
      <c r="H528">
        <f>'[1]Processed Data'!H893</f>
        <v>66.400000000000006</v>
      </c>
      <c r="I528">
        <f>'[1]Processed Data'!I893</f>
        <v>6</v>
      </c>
      <c r="J528">
        <f>'[1]Processed Data'!J893</f>
        <v>2</v>
      </c>
      <c r="K528">
        <f>'[1]Processed Data'!K893</f>
        <v>12</v>
      </c>
      <c r="L528">
        <f>'[1]Processed Data'!L893</f>
        <v>14</v>
      </c>
      <c r="M528">
        <f>'[1]Processed Data'!M893</f>
        <v>31</v>
      </c>
      <c r="N528">
        <f>'[1]Processed Data'!N893</f>
        <v>0</v>
      </c>
      <c r="O528">
        <f>'[1]Processed Data'!O893</f>
        <v>1</v>
      </c>
      <c r="P528">
        <f>'[1]Processed Data'!P893</f>
        <v>55.3</v>
      </c>
      <c r="Q528">
        <f>'[1]Processed Data'!Q893</f>
        <v>7</v>
      </c>
    </row>
    <row r="529" spans="2:17">
      <c r="B529">
        <f>'[1]Processed Data'!B894</f>
        <v>2015</v>
      </c>
      <c r="C529">
        <f>'[1]Processed Data'!C894</f>
        <v>40</v>
      </c>
      <c r="D529" t="str">
        <f>'[1]Processed Data'!D894</f>
        <v>Case Keenum</v>
      </c>
      <c r="E529">
        <f>Table1[[#This Row],[Year]]</f>
        <v>2015</v>
      </c>
      <c r="F529">
        <f>'[1]Processed Data'!F894</f>
        <v>76</v>
      </c>
      <c r="G529">
        <f>'[1]Processed Data'!G894</f>
        <v>125</v>
      </c>
      <c r="H529">
        <f>'[1]Processed Data'!H894</f>
        <v>60.8</v>
      </c>
      <c r="I529">
        <f>'[1]Processed Data'!I894</f>
        <v>4</v>
      </c>
      <c r="J529">
        <f>'[1]Processed Data'!J894</f>
        <v>1</v>
      </c>
      <c r="K529">
        <f>'[1]Processed Data'!K894</f>
        <v>4</v>
      </c>
      <c r="L529">
        <f>'[1]Processed Data'!L894</f>
        <v>12</v>
      </c>
      <c r="M529">
        <f>'[1]Processed Data'!M894</f>
        <v>5</v>
      </c>
      <c r="N529">
        <f>'[1]Processed Data'!N894</f>
        <v>0</v>
      </c>
      <c r="O529">
        <f>'[1]Processed Data'!O894</f>
        <v>2</v>
      </c>
      <c r="P529">
        <f>'[1]Processed Data'!P894</f>
        <v>43.6</v>
      </c>
      <c r="Q529">
        <f>'[1]Processed Data'!Q894</f>
        <v>6</v>
      </c>
    </row>
    <row r="530" spans="2:17">
      <c r="B530">
        <f>'[1]Processed Data'!B895</f>
        <v>2015</v>
      </c>
      <c r="C530">
        <f>'[1]Processed Data'!C895</f>
        <v>41</v>
      </c>
      <c r="D530" t="str">
        <f>'[1]Processed Data'!D895</f>
        <v>Zach Mettenberger</v>
      </c>
      <c r="E530">
        <f>Table1[[#This Row],[Year]]</f>
        <v>2015</v>
      </c>
      <c r="F530">
        <f>'[1]Processed Data'!F895</f>
        <v>101</v>
      </c>
      <c r="G530">
        <f>'[1]Processed Data'!G895</f>
        <v>166</v>
      </c>
      <c r="H530">
        <f>'[1]Processed Data'!H895</f>
        <v>60.8</v>
      </c>
      <c r="I530">
        <f>'[1]Processed Data'!I895</f>
        <v>4</v>
      </c>
      <c r="J530">
        <f>'[1]Processed Data'!J895</f>
        <v>7</v>
      </c>
      <c r="K530">
        <f>'[1]Processed Data'!K895</f>
        <v>13</v>
      </c>
      <c r="L530">
        <f>'[1]Processed Data'!L895</f>
        <v>9</v>
      </c>
      <c r="M530">
        <f>'[1]Processed Data'!M895</f>
        <v>8</v>
      </c>
      <c r="N530">
        <f>'[1]Processed Data'!N895</f>
        <v>1</v>
      </c>
      <c r="O530">
        <f>'[1]Processed Data'!O895</f>
        <v>2</v>
      </c>
      <c r="P530">
        <f>'[1]Processed Data'!P895</f>
        <v>42.2</v>
      </c>
      <c r="Q530">
        <f>'[1]Processed Data'!Q895</f>
        <v>7</v>
      </c>
    </row>
    <row r="531" spans="2:17">
      <c r="B531">
        <f>'[1]Processed Data'!B896</f>
        <v>2015</v>
      </c>
      <c r="C531">
        <f>'[1]Processed Data'!C896</f>
        <v>42</v>
      </c>
      <c r="D531" t="str">
        <f>'[1]Processed Data'!D896</f>
        <v>Tony Romo</v>
      </c>
      <c r="E531">
        <f>Table1[[#This Row],[Year]]</f>
        <v>2015</v>
      </c>
      <c r="F531">
        <f>'[1]Processed Data'!F896</f>
        <v>83</v>
      </c>
      <c r="G531">
        <f>'[1]Processed Data'!G896</f>
        <v>121</v>
      </c>
      <c r="H531">
        <f>'[1]Processed Data'!H896</f>
        <v>68.599999999999994</v>
      </c>
      <c r="I531">
        <f>'[1]Processed Data'!I896</f>
        <v>5</v>
      </c>
      <c r="J531">
        <f>'[1]Processed Data'!J896</f>
        <v>7</v>
      </c>
      <c r="K531">
        <f>'[1]Processed Data'!K896</f>
        <v>6</v>
      </c>
      <c r="L531">
        <f>'[1]Processed Data'!L896</f>
        <v>4</v>
      </c>
      <c r="M531">
        <f>'[1]Processed Data'!M896</f>
        <v>13</v>
      </c>
      <c r="N531">
        <f>'[1]Processed Data'!N896</f>
        <v>0</v>
      </c>
      <c r="O531">
        <f>'[1]Processed Data'!O896</f>
        <v>1</v>
      </c>
      <c r="P531">
        <f>'[1]Processed Data'!P896</f>
        <v>40.6</v>
      </c>
      <c r="Q531">
        <f>'[1]Processed Data'!Q896</f>
        <v>4</v>
      </c>
    </row>
    <row r="532" spans="2:17">
      <c r="B532">
        <f>'[1]Processed Data'!B897</f>
        <v>2015</v>
      </c>
      <c r="C532">
        <f>'[1]Processed Data'!C897</f>
        <v>43</v>
      </c>
      <c r="D532" t="str">
        <f>'[1]Processed Data'!D897</f>
        <v>E.J. Manuel</v>
      </c>
      <c r="E532">
        <f>Table1[[#This Row],[Year]]</f>
        <v>2015</v>
      </c>
      <c r="F532">
        <f>'[1]Processed Data'!F897</f>
        <v>52</v>
      </c>
      <c r="G532">
        <f>'[1]Processed Data'!G897</f>
        <v>84</v>
      </c>
      <c r="H532">
        <f>'[1]Processed Data'!H897</f>
        <v>61.9</v>
      </c>
      <c r="I532">
        <f>'[1]Processed Data'!I897</f>
        <v>3</v>
      </c>
      <c r="J532">
        <f>'[1]Processed Data'!J897</f>
        <v>3</v>
      </c>
      <c r="K532">
        <f>'[1]Processed Data'!K897</f>
        <v>6</v>
      </c>
      <c r="L532">
        <f>'[1]Processed Data'!L897</f>
        <v>17</v>
      </c>
      <c r="M532">
        <f>'[1]Processed Data'!M897</f>
        <v>64</v>
      </c>
      <c r="N532">
        <f>'[1]Processed Data'!N897</f>
        <v>1</v>
      </c>
      <c r="O532">
        <f>'[1]Processed Data'!O897</f>
        <v>1</v>
      </c>
      <c r="P532">
        <f>'[1]Processed Data'!P897</f>
        <v>38.799999999999997</v>
      </c>
      <c r="Q532">
        <f>'[1]Processed Data'!Q897</f>
        <v>7</v>
      </c>
    </row>
    <row r="533" spans="2:17">
      <c r="B533">
        <f>'[1]Processed Data'!B898</f>
        <v>2015</v>
      </c>
      <c r="C533">
        <f>'[1]Processed Data'!C898</f>
        <v>44</v>
      </c>
      <c r="D533" t="str">
        <f>'[1]Processed Data'!D898</f>
        <v>Jimmy Clausen</v>
      </c>
      <c r="E533">
        <f>Table1[[#This Row],[Year]]</f>
        <v>2015</v>
      </c>
      <c r="F533">
        <f>'[1]Processed Data'!F898</f>
        <v>72</v>
      </c>
      <c r="G533">
        <f>'[1]Processed Data'!G898</f>
        <v>125</v>
      </c>
      <c r="H533">
        <f>'[1]Processed Data'!H898</f>
        <v>57.6</v>
      </c>
      <c r="I533">
        <f>'[1]Processed Data'!I898</f>
        <v>2</v>
      </c>
      <c r="J533">
        <f>'[1]Processed Data'!J898</f>
        <v>4</v>
      </c>
      <c r="K533">
        <f>'[1]Processed Data'!K898</f>
        <v>7</v>
      </c>
      <c r="L533">
        <f>'[1]Processed Data'!L898</f>
        <v>11</v>
      </c>
      <c r="M533">
        <f>'[1]Processed Data'!M898</f>
        <v>36</v>
      </c>
      <c r="N533">
        <f>'[1]Processed Data'!N898</f>
        <v>0</v>
      </c>
      <c r="O533">
        <f>'[1]Processed Data'!O898</f>
        <v>0</v>
      </c>
      <c r="P533">
        <f>'[1]Processed Data'!P898</f>
        <v>33.1</v>
      </c>
      <c r="Q533">
        <f>'[1]Processed Data'!Q898</f>
        <v>4</v>
      </c>
    </row>
    <row r="534" spans="2:17">
      <c r="B534">
        <f>'[1]Processed Data'!B899</f>
        <v>2015</v>
      </c>
      <c r="C534">
        <f>'[1]Processed Data'!C899</f>
        <v>45</v>
      </c>
      <c r="D534" t="str">
        <f>'[1]Processed Data'!D899</f>
        <v>Kellen Moore</v>
      </c>
      <c r="E534">
        <f>Table1[[#This Row],[Year]]</f>
        <v>2015</v>
      </c>
      <c r="F534">
        <f>'[1]Processed Data'!F899</f>
        <v>61</v>
      </c>
      <c r="G534">
        <f>'[1]Processed Data'!G899</f>
        <v>104</v>
      </c>
      <c r="H534">
        <f>'[1]Processed Data'!H899</f>
        <v>58.7</v>
      </c>
      <c r="I534">
        <f>'[1]Processed Data'!I899</f>
        <v>4</v>
      </c>
      <c r="J534">
        <f>'[1]Processed Data'!J899</f>
        <v>6</v>
      </c>
      <c r="K534">
        <f>'[1]Processed Data'!K899</f>
        <v>5</v>
      </c>
      <c r="L534">
        <f>'[1]Processed Data'!L899</f>
        <v>2</v>
      </c>
      <c r="M534">
        <f>'[1]Processed Data'!M899</f>
        <v>-1</v>
      </c>
      <c r="N534">
        <f>'[1]Processed Data'!N899</f>
        <v>0</v>
      </c>
      <c r="O534">
        <f>'[1]Processed Data'!O899</f>
        <v>1</v>
      </c>
      <c r="P534">
        <f>'[1]Processed Data'!P899</f>
        <v>33</v>
      </c>
      <c r="Q534">
        <f>'[1]Processed Data'!Q899</f>
        <v>3</v>
      </c>
    </row>
    <row r="535" spans="2:17">
      <c r="B535">
        <f>'[1]Processed Data'!B900</f>
        <v>2015</v>
      </c>
      <c r="C535">
        <f>'[1]Processed Data'!C900</f>
        <v>46</v>
      </c>
      <c r="D535" t="str">
        <f>'[1]Processed Data'!D900</f>
        <v>Mark Sanchez</v>
      </c>
      <c r="E535">
        <f>Table1[[#This Row],[Year]]</f>
        <v>2015</v>
      </c>
      <c r="F535">
        <f>'[1]Processed Data'!F900</f>
        <v>59</v>
      </c>
      <c r="G535">
        <f>'[1]Processed Data'!G900</f>
        <v>91</v>
      </c>
      <c r="H535">
        <f>'[1]Processed Data'!H900</f>
        <v>64.8</v>
      </c>
      <c r="I535">
        <f>'[1]Processed Data'!I900</f>
        <v>4</v>
      </c>
      <c r="J535">
        <f>'[1]Processed Data'!J900</f>
        <v>4</v>
      </c>
      <c r="K535">
        <f>'[1]Processed Data'!K900</f>
        <v>9</v>
      </c>
      <c r="L535">
        <f>'[1]Processed Data'!L900</f>
        <v>6</v>
      </c>
      <c r="M535">
        <f>'[1]Processed Data'!M900</f>
        <v>22</v>
      </c>
      <c r="N535">
        <f>'[1]Processed Data'!N900</f>
        <v>0</v>
      </c>
      <c r="O535">
        <f>'[1]Processed Data'!O900</f>
        <v>1</v>
      </c>
      <c r="P535">
        <f>'[1]Processed Data'!P900</f>
        <v>32.799999999999997</v>
      </c>
      <c r="Q535">
        <f>'[1]Processed Data'!Q900</f>
        <v>4</v>
      </c>
    </row>
    <row r="536" spans="2:17">
      <c r="B536">
        <f>'[1]Processed Data'!B901</f>
        <v>2015</v>
      </c>
      <c r="C536">
        <f>'[1]Processed Data'!C901</f>
        <v>47</v>
      </c>
      <c r="D536" t="str">
        <f>'[1]Processed Data'!D901</f>
        <v>Michael Vick</v>
      </c>
      <c r="E536">
        <f>Table1[[#This Row],[Year]]</f>
        <v>2015</v>
      </c>
      <c r="F536">
        <f>'[1]Processed Data'!F901</f>
        <v>40</v>
      </c>
      <c r="G536">
        <f>'[1]Processed Data'!G901</f>
        <v>66</v>
      </c>
      <c r="H536">
        <f>'[1]Processed Data'!H901</f>
        <v>60.6</v>
      </c>
      <c r="I536">
        <f>'[1]Processed Data'!I901</f>
        <v>2</v>
      </c>
      <c r="J536">
        <f>'[1]Processed Data'!J901</f>
        <v>1</v>
      </c>
      <c r="K536">
        <f>'[1]Processed Data'!K901</f>
        <v>10</v>
      </c>
      <c r="L536">
        <f>'[1]Processed Data'!L901</f>
        <v>20</v>
      </c>
      <c r="M536">
        <f>'[1]Processed Data'!M901</f>
        <v>99</v>
      </c>
      <c r="N536">
        <f>'[1]Processed Data'!N901</f>
        <v>0</v>
      </c>
      <c r="O536">
        <f>'[1]Processed Data'!O901</f>
        <v>0</v>
      </c>
      <c r="P536">
        <f>'[1]Processed Data'!P901</f>
        <v>30.7</v>
      </c>
      <c r="Q536">
        <f>'[1]Processed Data'!Q901</f>
        <v>5</v>
      </c>
    </row>
    <row r="537" spans="2:17">
      <c r="B537">
        <f>'[1]Processed Data'!B902</f>
        <v>2015</v>
      </c>
      <c r="C537">
        <f>'[1]Processed Data'!C902</f>
        <v>48</v>
      </c>
      <c r="D537" t="str">
        <f>'[1]Processed Data'!D902</f>
        <v>Matt Schaub</v>
      </c>
      <c r="E537">
        <f>Table1[[#This Row],[Year]]</f>
        <v>2015</v>
      </c>
      <c r="F537">
        <f>'[1]Processed Data'!F902</f>
        <v>52</v>
      </c>
      <c r="G537">
        <f>'[1]Processed Data'!G902</f>
        <v>80</v>
      </c>
      <c r="H537">
        <f>'[1]Processed Data'!H902</f>
        <v>65</v>
      </c>
      <c r="I537">
        <f>'[1]Processed Data'!I902</f>
        <v>3</v>
      </c>
      <c r="J537">
        <f>'[1]Processed Data'!J902</f>
        <v>4</v>
      </c>
      <c r="K537">
        <f>'[1]Processed Data'!K902</f>
        <v>3</v>
      </c>
      <c r="L537">
        <f>'[1]Processed Data'!L902</f>
        <v>4</v>
      </c>
      <c r="M537">
        <f>'[1]Processed Data'!M902</f>
        <v>10</v>
      </c>
      <c r="N537">
        <f>'[1]Processed Data'!N902</f>
        <v>0</v>
      </c>
      <c r="O537">
        <f>'[1]Processed Data'!O902</f>
        <v>0</v>
      </c>
      <c r="P537">
        <f>'[1]Processed Data'!P902</f>
        <v>26.6</v>
      </c>
      <c r="Q537">
        <f>'[1]Processed Data'!Q902</f>
        <v>2</v>
      </c>
    </row>
    <row r="538" spans="2:17">
      <c r="B538">
        <f>'[1]Processed Data'!B903</f>
        <v>2015</v>
      </c>
      <c r="C538">
        <f>'[1]Processed Data'!C903</f>
        <v>49</v>
      </c>
      <c r="D538" t="str">
        <f>'[1]Processed Data'!D903</f>
        <v>T.J. Yates</v>
      </c>
      <c r="E538">
        <f>Table1[[#This Row],[Year]]</f>
        <v>2015</v>
      </c>
      <c r="F538">
        <f>'[1]Processed Data'!F903</f>
        <v>28</v>
      </c>
      <c r="G538">
        <f>'[1]Processed Data'!G903</f>
        <v>57</v>
      </c>
      <c r="H538">
        <f>'[1]Processed Data'!H903</f>
        <v>49.1</v>
      </c>
      <c r="I538">
        <f>'[1]Processed Data'!I903</f>
        <v>3</v>
      </c>
      <c r="J538">
        <f>'[1]Processed Data'!J903</f>
        <v>1</v>
      </c>
      <c r="K538">
        <f>'[1]Processed Data'!K903</f>
        <v>5</v>
      </c>
      <c r="L538">
        <f>'[1]Processed Data'!L903</f>
        <v>6</v>
      </c>
      <c r="M538">
        <f>'[1]Processed Data'!M903</f>
        <v>0</v>
      </c>
      <c r="N538">
        <f>'[1]Processed Data'!N903</f>
        <v>0</v>
      </c>
      <c r="O538">
        <f>'[1]Processed Data'!O903</f>
        <v>1</v>
      </c>
      <c r="P538">
        <f>'[1]Processed Data'!P903</f>
        <v>22.9</v>
      </c>
      <c r="Q538">
        <f>'[1]Processed Data'!Q903</f>
        <v>4</v>
      </c>
    </row>
    <row r="539" spans="2:17">
      <c r="B539">
        <f>'[1]Processed Data'!B904</f>
        <v>2015</v>
      </c>
      <c r="C539">
        <f>'[1]Processed Data'!C904</f>
        <v>50</v>
      </c>
      <c r="D539" t="str">
        <f>'[1]Processed Data'!D904</f>
        <v>Landry Jones</v>
      </c>
      <c r="E539">
        <f>Table1[[#This Row],[Year]]</f>
        <v>2015</v>
      </c>
      <c r="F539">
        <f>'[1]Processed Data'!F904</f>
        <v>32</v>
      </c>
      <c r="G539">
        <f>'[1]Processed Data'!G904</f>
        <v>55</v>
      </c>
      <c r="H539">
        <f>'[1]Processed Data'!H904</f>
        <v>58.2</v>
      </c>
      <c r="I539">
        <f>'[1]Processed Data'!I904</f>
        <v>3</v>
      </c>
      <c r="J539">
        <f>'[1]Processed Data'!J904</f>
        <v>4</v>
      </c>
      <c r="K539">
        <f>'[1]Processed Data'!K904</f>
        <v>2</v>
      </c>
      <c r="L539">
        <f>'[1]Processed Data'!L904</f>
        <v>5</v>
      </c>
      <c r="M539">
        <f>'[1]Processed Data'!M904</f>
        <v>-5</v>
      </c>
      <c r="N539">
        <f>'[1]Processed Data'!N904</f>
        <v>0</v>
      </c>
      <c r="O539">
        <f>'[1]Processed Data'!O904</f>
        <v>1</v>
      </c>
      <c r="P539">
        <f>'[1]Processed Data'!P904</f>
        <v>22.1</v>
      </c>
      <c r="Q539">
        <f>'[1]Processed Data'!Q904</f>
        <v>7</v>
      </c>
    </row>
    <row r="540" spans="2:17">
      <c r="B540">
        <f>'[1]Processed Data'!B905</f>
        <v>2015</v>
      </c>
      <c r="C540">
        <f>'[1]Processed Data'!C905</f>
        <v>51</v>
      </c>
      <c r="D540" t="str">
        <f>'[1]Processed Data'!D905</f>
        <v>Geno Smith</v>
      </c>
      <c r="E540">
        <f>Table1[[#This Row],[Year]]</f>
        <v>2015</v>
      </c>
      <c r="F540">
        <f>'[1]Processed Data'!F905</f>
        <v>27</v>
      </c>
      <c r="G540">
        <f>'[1]Processed Data'!G905</f>
        <v>42</v>
      </c>
      <c r="H540">
        <f>'[1]Processed Data'!H905</f>
        <v>64.3</v>
      </c>
      <c r="I540">
        <f>'[1]Processed Data'!I905</f>
        <v>2</v>
      </c>
      <c r="J540">
        <f>'[1]Processed Data'!J905</f>
        <v>1</v>
      </c>
      <c r="K540">
        <f>'[1]Processed Data'!K905</f>
        <v>3</v>
      </c>
      <c r="L540">
        <f>'[1]Processed Data'!L905</f>
        <v>2</v>
      </c>
      <c r="M540">
        <f>'[1]Processed Data'!M905</f>
        <v>34</v>
      </c>
      <c r="N540">
        <f>'[1]Processed Data'!N905</f>
        <v>0</v>
      </c>
      <c r="O540">
        <f>'[1]Processed Data'!O905</f>
        <v>0</v>
      </c>
      <c r="P540">
        <f>'[1]Processed Data'!P905</f>
        <v>20</v>
      </c>
      <c r="Q540">
        <f>'[1]Processed Data'!Q905</f>
        <v>1</v>
      </c>
    </row>
    <row r="541" spans="2:17">
      <c r="B541">
        <f>'[1]Processed Data'!B906</f>
        <v>2015</v>
      </c>
      <c r="C541">
        <f>'[1]Processed Data'!C906</f>
        <v>52</v>
      </c>
      <c r="D541" t="str">
        <f>'[1]Processed Data'!D906</f>
        <v>Austin Davis</v>
      </c>
      <c r="E541">
        <f>Table1[[#This Row],[Year]]</f>
        <v>2015</v>
      </c>
      <c r="F541">
        <f>'[1]Processed Data'!F906</f>
        <v>56</v>
      </c>
      <c r="G541">
        <f>'[1]Processed Data'!G906</f>
        <v>94</v>
      </c>
      <c r="H541">
        <f>'[1]Processed Data'!H906</f>
        <v>59.6</v>
      </c>
      <c r="I541">
        <f>'[1]Processed Data'!I906</f>
        <v>1</v>
      </c>
      <c r="J541">
        <f>'[1]Processed Data'!J906</f>
        <v>3</v>
      </c>
      <c r="K541">
        <f>'[1]Processed Data'!K906</f>
        <v>11</v>
      </c>
      <c r="L541">
        <f>'[1]Processed Data'!L906</f>
        <v>7</v>
      </c>
      <c r="M541">
        <f>'[1]Processed Data'!M906</f>
        <v>33</v>
      </c>
      <c r="N541">
        <f>'[1]Processed Data'!N906</f>
        <v>0</v>
      </c>
      <c r="O541">
        <f>'[1]Processed Data'!O906</f>
        <v>2</v>
      </c>
      <c r="P541">
        <f>'[1]Processed Data'!P906</f>
        <v>19.2</v>
      </c>
      <c r="Q541">
        <f>'[1]Processed Data'!Q906</f>
        <v>3</v>
      </c>
    </row>
    <row r="542" spans="2:17">
      <c r="B542">
        <f>'[1]Processed Data'!B907</f>
        <v>2015</v>
      </c>
      <c r="C542">
        <f>'[1]Processed Data'!C907</f>
        <v>53</v>
      </c>
      <c r="D542" t="str">
        <f>'[1]Processed Data'!D907</f>
        <v>Luke McCown</v>
      </c>
      <c r="E542">
        <f>Table1[[#This Row],[Year]]</f>
        <v>2015</v>
      </c>
      <c r="F542">
        <f>'[1]Processed Data'!F907</f>
        <v>32</v>
      </c>
      <c r="G542">
        <f>'[1]Processed Data'!G907</f>
        <v>39</v>
      </c>
      <c r="H542">
        <f>'[1]Processed Data'!H907</f>
        <v>82.1</v>
      </c>
      <c r="I542">
        <f>'[1]Processed Data'!I907</f>
        <v>0</v>
      </c>
      <c r="J542">
        <f>'[1]Processed Data'!J907</f>
        <v>1</v>
      </c>
      <c r="K542">
        <f>'[1]Processed Data'!K907</f>
        <v>1</v>
      </c>
      <c r="L542">
        <f>'[1]Processed Data'!L907</f>
        <v>0</v>
      </c>
      <c r="M542">
        <f>'[1]Processed Data'!M907</f>
        <v>0</v>
      </c>
      <c r="N542">
        <f>'[1]Processed Data'!N907</f>
        <v>0</v>
      </c>
      <c r="O542">
        <f>'[1]Processed Data'!O907</f>
        <v>0</v>
      </c>
      <c r="P542">
        <f>'[1]Processed Data'!P907</f>
        <v>11.4</v>
      </c>
      <c r="Q542">
        <f>'[1]Processed Data'!Q907</f>
        <v>8</v>
      </c>
    </row>
    <row r="543" spans="2:17">
      <c r="B543">
        <f>'[1]Processed Data'!B908</f>
        <v>2015</v>
      </c>
      <c r="C543">
        <f>'[1]Processed Data'!C908</f>
        <v>54</v>
      </c>
      <c r="D543" t="str">
        <f>'[1]Processed Data'!D908</f>
        <v>Josh Freeman</v>
      </c>
      <c r="E543">
        <f>Table1[[#This Row],[Year]]</f>
        <v>2015</v>
      </c>
      <c r="F543">
        <f>'[1]Processed Data'!F908</f>
        <v>15</v>
      </c>
      <c r="G543">
        <f>'[1]Processed Data'!G908</f>
        <v>28</v>
      </c>
      <c r="H543">
        <f>'[1]Processed Data'!H908</f>
        <v>53.6</v>
      </c>
      <c r="I543">
        <f>'[1]Processed Data'!I908</f>
        <v>1</v>
      </c>
      <c r="J543">
        <f>'[1]Processed Data'!J908</f>
        <v>1</v>
      </c>
      <c r="K543">
        <f>'[1]Processed Data'!K908</f>
        <v>1</v>
      </c>
      <c r="L543">
        <f>'[1]Processed Data'!L908</f>
        <v>8</v>
      </c>
      <c r="M543">
        <f>'[1]Processed Data'!M908</f>
        <v>24</v>
      </c>
      <c r="N543">
        <f>'[1]Processed Data'!N908</f>
        <v>0</v>
      </c>
      <c r="O543">
        <f>'[1]Processed Data'!O908</f>
        <v>0</v>
      </c>
      <c r="P543">
        <f>'[1]Processed Data'!P908</f>
        <v>10.4</v>
      </c>
      <c r="Q543">
        <f>'[1]Processed Data'!Q908</f>
        <v>1</v>
      </c>
    </row>
    <row r="544" spans="2:17">
      <c r="B544">
        <f>'[1]Processed Data'!B909</f>
        <v>2015</v>
      </c>
      <c r="C544">
        <f>'[1]Processed Data'!C909</f>
        <v>55</v>
      </c>
      <c r="D544" t="str">
        <f>'[1]Processed Data'!D909</f>
        <v>Dan Orlovsky</v>
      </c>
      <c r="E544">
        <f>Table1[[#This Row],[Year]]</f>
        <v>2015</v>
      </c>
      <c r="F544">
        <f>'[1]Processed Data'!F909</f>
        <v>22</v>
      </c>
      <c r="G544">
        <f>'[1]Processed Data'!G909</f>
        <v>40</v>
      </c>
      <c r="H544">
        <f>'[1]Processed Data'!H909</f>
        <v>55</v>
      </c>
      <c r="I544">
        <f>'[1]Processed Data'!I909</f>
        <v>1</v>
      </c>
      <c r="J544">
        <f>'[1]Processed Data'!J909</f>
        <v>1</v>
      </c>
      <c r="K544">
        <f>'[1]Processed Data'!K909</f>
        <v>0</v>
      </c>
      <c r="L544">
        <f>'[1]Processed Data'!L909</f>
        <v>0</v>
      </c>
      <c r="M544">
        <f>'[1]Processed Data'!M909</f>
        <v>0</v>
      </c>
      <c r="N544">
        <f>'[1]Processed Data'!N909</f>
        <v>0</v>
      </c>
      <c r="O544">
        <f>'[1]Processed Data'!O909</f>
        <v>0</v>
      </c>
      <c r="P544">
        <f>'[1]Processed Data'!P909</f>
        <v>10</v>
      </c>
      <c r="Q544">
        <f>'[1]Processed Data'!Q909</f>
        <v>3</v>
      </c>
    </row>
    <row r="545" spans="2:17">
      <c r="B545">
        <f>'[1]Processed Data'!B910</f>
        <v>2015</v>
      </c>
      <c r="C545">
        <f>'[1]Processed Data'!C910</f>
        <v>56</v>
      </c>
      <c r="D545" t="str">
        <f>'[1]Processed Data'!D910</f>
        <v>Matt McGloin</v>
      </c>
      <c r="E545">
        <f>Table1[[#This Row],[Year]]</f>
        <v>2015</v>
      </c>
      <c r="F545">
        <f>'[1]Processed Data'!F910</f>
        <v>23</v>
      </c>
      <c r="G545">
        <f>'[1]Processed Data'!G910</f>
        <v>32</v>
      </c>
      <c r="H545">
        <f>'[1]Processed Data'!H910</f>
        <v>71.900000000000006</v>
      </c>
      <c r="I545">
        <f>'[1]Processed Data'!I910</f>
        <v>2</v>
      </c>
      <c r="J545">
        <f>'[1]Processed Data'!J910</f>
        <v>1</v>
      </c>
      <c r="K545">
        <f>'[1]Processed Data'!K910</f>
        <v>2</v>
      </c>
      <c r="L545">
        <f>'[1]Processed Data'!L910</f>
        <v>0</v>
      </c>
      <c r="M545">
        <f>'[1]Processed Data'!M910</f>
        <v>0</v>
      </c>
      <c r="N545">
        <f>'[1]Processed Data'!N910</f>
        <v>0</v>
      </c>
      <c r="O545">
        <f>'[1]Processed Data'!O910</f>
        <v>1</v>
      </c>
      <c r="P545">
        <f>'[1]Processed Data'!P910</f>
        <v>9.6999999999999993</v>
      </c>
      <c r="Q545">
        <f>'[1]Processed Data'!Q910</f>
        <v>2</v>
      </c>
    </row>
    <row r="546" spans="2:17">
      <c r="B546">
        <f>'[1]Processed Data'!B911</f>
        <v>2015</v>
      </c>
      <c r="C546">
        <f>'[1]Processed Data'!C911</f>
        <v>57</v>
      </c>
      <c r="D546" t="str">
        <f>'[1]Processed Data'!D911</f>
        <v>Colt McCoy</v>
      </c>
      <c r="E546">
        <f>Table1[[#This Row],[Year]]</f>
        <v>2015</v>
      </c>
      <c r="F546">
        <f>'[1]Processed Data'!F911</f>
        <v>7</v>
      </c>
      <c r="G546">
        <f>'[1]Processed Data'!G911</f>
        <v>11</v>
      </c>
      <c r="H546">
        <f>'[1]Processed Data'!H911</f>
        <v>63.6</v>
      </c>
      <c r="I546">
        <f>'[1]Processed Data'!I911</f>
        <v>1</v>
      </c>
      <c r="J546">
        <f>'[1]Processed Data'!J911</f>
        <v>0</v>
      </c>
      <c r="K546">
        <f>'[1]Processed Data'!K911</f>
        <v>1</v>
      </c>
      <c r="L546">
        <f>'[1]Processed Data'!L911</f>
        <v>3</v>
      </c>
      <c r="M546">
        <f>'[1]Processed Data'!M911</f>
        <v>-3</v>
      </c>
      <c r="N546">
        <f>'[1]Processed Data'!N911</f>
        <v>0</v>
      </c>
      <c r="O546">
        <f>'[1]Processed Data'!O911</f>
        <v>0</v>
      </c>
      <c r="P546">
        <f>'[1]Processed Data'!P911</f>
        <v>8.8000000000000007</v>
      </c>
      <c r="Q546">
        <f>'[1]Processed Data'!Q911</f>
        <v>2</v>
      </c>
    </row>
    <row r="547" spans="2:17">
      <c r="B547">
        <f>'[1]Processed Data'!B912</f>
        <v>2015</v>
      </c>
      <c r="C547">
        <f>'[1]Processed Data'!C912</f>
        <v>58</v>
      </c>
      <c r="D547" t="str">
        <f>'[1]Processed Data'!D912</f>
        <v>Alex Tanney</v>
      </c>
      <c r="E547">
        <f>Table1[[#This Row],[Year]]</f>
        <v>2015</v>
      </c>
      <c r="F547">
        <f>'[1]Processed Data'!F912</f>
        <v>10</v>
      </c>
      <c r="G547">
        <f>'[1]Processed Data'!G912</f>
        <v>14</v>
      </c>
      <c r="H547">
        <f>'[1]Processed Data'!H912</f>
        <v>71.400000000000006</v>
      </c>
      <c r="I547">
        <f>'[1]Processed Data'!I912</f>
        <v>1</v>
      </c>
      <c r="J547">
        <f>'[1]Processed Data'!J912</f>
        <v>0</v>
      </c>
      <c r="K547">
        <f>'[1]Processed Data'!K912</f>
        <v>3</v>
      </c>
      <c r="L547">
        <f>'[1]Processed Data'!L912</f>
        <v>0</v>
      </c>
      <c r="M547">
        <f>'[1]Processed Data'!M912</f>
        <v>0</v>
      </c>
      <c r="N547">
        <f>'[1]Processed Data'!N912</f>
        <v>0</v>
      </c>
      <c r="O547">
        <f>'[1]Processed Data'!O912</f>
        <v>0</v>
      </c>
      <c r="P547">
        <f>'[1]Processed Data'!P912</f>
        <v>8</v>
      </c>
      <c r="Q547">
        <f>'[1]Processed Data'!Q912</f>
        <v>1</v>
      </c>
    </row>
    <row r="548" spans="2:17">
      <c r="B548">
        <f>'[1]Processed Data'!B913</f>
        <v>2015</v>
      </c>
      <c r="C548">
        <f>'[1]Processed Data'!C913</f>
        <v>59</v>
      </c>
      <c r="D548" t="str">
        <f>'[1]Processed Data'!D913</f>
        <v>Ryan Nassib</v>
      </c>
      <c r="E548">
        <f>Table1[[#This Row],[Year]]</f>
        <v>2015</v>
      </c>
      <c r="F548">
        <f>'[1]Processed Data'!F913</f>
        <v>5</v>
      </c>
      <c r="G548">
        <f>'[1]Processed Data'!G913</f>
        <v>5</v>
      </c>
      <c r="H548">
        <f>'[1]Processed Data'!H913</f>
        <v>100</v>
      </c>
      <c r="I548">
        <f>'[1]Processed Data'!I913</f>
        <v>1</v>
      </c>
      <c r="J548">
        <f>'[1]Processed Data'!J913</f>
        <v>0</v>
      </c>
      <c r="K548">
        <f>'[1]Processed Data'!K913</f>
        <v>0</v>
      </c>
      <c r="L548">
        <f>'[1]Processed Data'!L913</f>
        <v>0</v>
      </c>
      <c r="M548">
        <f>'[1]Processed Data'!M913</f>
        <v>0</v>
      </c>
      <c r="N548">
        <f>'[1]Processed Data'!N913</f>
        <v>0</v>
      </c>
      <c r="O548">
        <f>'[1]Processed Data'!O913</f>
        <v>0</v>
      </c>
      <c r="P548">
        <f>'[1]Processed Data'!P913</f>
        <v>6.7</v>
      </c>
      <c r="Q548">
        <f>'[1]Processed Data'!Q913</f>
        <v>1</v>
      </c>
    </row>
    <row r="549" spans="2:17">
      <c r="B549">
        <f>'[1]Processed Data'!B914</f>
        <v>2015</v>
      </c>
      <c r="C549">
        <f>'[1]Processed Data'!C914</f>
        <v>60</v>
      </c>
      <c r="D549" t="str">
        <f>'[1]Processed Data'!D914</f>
        <v>Kellen Clemens</v>
      </c>
      <c r="E549">
        <f>Table1[[#This Row],[Year]]</f>
        <v>2015</v>
      </c>
      <c r="F549">
        <f>'[1]Processed Data'!F914</f>
        <v>5</v>
      </c>
      <c r="G549">
        <f>'[1]Processed Data'!G914</f>
        <v>6</v>
      </c>
      <c r="H549">
        <f>'[1]Processed Data'!H914</f>
        <v>83.3</v>
      </c>
      <c r="I549">
        <f>'[1]Processed Data'!I914</f>
        <v>1</v>
      </c>
      <c r="J549">
        <f>'[1]Processed Data'!J914</f>
        <v>0</v>
      </c>
      <c r="K549">
        <f>'[1]Processed Data'!K914</f>
        <v>0</v>
      </c>
      <c r="L549">
        <f>'[1]Processed Data'!L914</f>
        <v>1</v>
      </c>
      <c r="M549">
        <f>'[1]Processed Data'!M914</f>
        <v>-1</v>
      </c>
      <c r="N549">
        <f>'[1]Processed Data'!N914</f>
        <v>0</v>
      </c>
      <c r="O549">
        <f>'[1]Processed Data'!O914</f>
        <v>0</v>
      </c>
      <c r="P549">
        <f>'[1]Processed Data'!P914</f>
        <v>6.4</v>
      </c>
      <c r="Q549">
        <f>'[1]Processed Data'!Q914</f>
        <v>2</v>
      </c>
    </row>
    <row r="550" spans="2:17">
      <c r="B550">
        <f>'[1]Processed Data'!B915</f>
        <v>2015</v>
      </c>
      <c r="C550">
        <f>'[1]Processed Data'!C915</f>
        <v>61</v>
      </c>
      <c r="D550" t="str">
        <f>'[1]Processed Data'!D915</f>
        <v>Ryan Lindley</v>
      </c>
      <c r="E550">
        <f>Table1[[#This Row],[Year]]</f>
        <v>2015</v>
      </c>
      <c r="F550">
        <f>'[1]Processed Data'!F915</f>
        <v>6</v>
      </c>
      <c r="G550">
        <f>'[1]Processed Data'!G915</f>
        <v>10</v>
      </c>
      <c r="H550">
        <f>'[1]Processed Data'!H915</f>
        <v>60</v>
      </c>
      <c r="I550">
        <f>'[1]Processed Data'!I915</f>
        <v>1</v>
      </c>
      <c r="J550">
        <f>'[1]Processed Data'!J915</f>
        <v>0</v>
      </c>
      <c r="K550">
        <f>'[1]Processed Data'!K915</f>
        <v>0</v>
      </c>
      <c r="L550">
        <f>'[1]Processed Data'!L915</f>
        <v>0</v>
      </c>
      <c r="M550">
        <f>'[1]Processed Data'!M915</f>
        <v>0</v>
      </c>
      <c r="N550">
        <f>'[1]Processed Data'!N915</f>
        <v>0</v>
      </c>
      <c r="O550">
        <f>'[1]Processed Data'!O915</f>
        <v>0</v>
      </c>
      <c r="P550">
        <f>'[1]Processed Data'!P915</f>
        <v>6.3</v>
      </c>
      <c r="Q550">
        <f>'[1]Processed Data'!Q915</f>
        <v>1</v>
      </c>
    </row>
    <row r="551" spans="2:17">
      <c r="B551">
        <f>'[1]Processed Data'!B916</f>
        <v>2015</v>
      </c>
      <c r="C551">
        <f>'[1]Processed Data'!C916</f>
        <v>62</v>
      </c>
      <c r="D551" t="str">
        <f>'[1]Processed Data'!D916</f>
        <v>Charlie Whitehurst</v>
      </c>
      <c r="E551">
        <f>Table1[[#This Row],[Year]]</f>
        <v>2015</v>
      </c>
      <c r="F551">
        <f>'[1]Processed Data'!F916</f>
        <v>16</v>
      </c>
      <c r="G551">
        <f>'[1]Processed Data'!G916</f>
        <v>32</v>
      </c>
      <c r="H551">
        <f>'[1]Processed Data'!H916</f>
        <v>50</v>
      </c>
      <c r="I551">
        <f>'[1]Processed Data'!I916</f>
        <v>0</v>
      </c>
      <c r="J551">
        <f>'[1]Processed Data'!J916</f>
        <v>1</v>
      </c>
      <c r="K551">
        <f>'[1]Processed Data'!K916</f>
        <v>5</v>
      </c>
      <c r="L551">
        <f>'[1]Processed Data'!L916</f>
        <v>2</v>
      </c>
      <c r="M551">
        <f>'[1]Processed Data'!M916</f>
        <v>1</v>
      </c>
      <c r="N551">
        <f>'[1]Processed Data'!N916</f>
        <v>0</v>
      </c>
      <c r="O551">
        <f>'[1]Processed Data'!O916</f>
        <v>0</v>
      </c>
      <c r="P551">
        <f>'[1]Processed Data'!P916</f>
        <v>4</v>
      </c>
      <c r="Q551">
        <f>'[1]Processed Data'!Q916</f>
        <v>4</v>
      </c>
    </row>
    <row r="552" spans="2:17">
      <c r="B552">
        <f>'[1]Processed Data'!B917</f>
        <v>2015</v>
      </c>
      <c r="C552">
        <f>'[1]Processed Data'!C917</f>
        <v>63</v>
      </c>
      <c r="D552" t="str">
        <f>'[1]Processed Data'!D917</f>
        <v>B.J. Daniels</v>
      </c>
      <c r="E552">
        <f>Table1[[#This Row],[Year]]</f>
        <v>2015</v>
      </c>
      <c r="F552">
        <f>'[1]Processed Data'!F917</f>
        <v>1</v>
      </c>
      <c r="G552">
        <f>'[1]Processed Data'!G917</f>
        <v>2</v>
      </c>
      <c r="H552">
        <f>'[1]Processed Data'!H917</f>
        <v>50</v>
      </c>
      <c r="I552">
        <f>'[1]Processed Data'!I917</f>
        <v>0</v>
      </c>
      <c r="J552">
        <f>'[1]Processed Data'!J917</f>
        <v>0</v>
      </c>
      <c r="K552">
        <f>'[1]Processed Data'!K917</f>
        <v>0</v>
      </c>
      <c r="L552">
        <f>'[1]Processed Data'!L917</f>
        <v>6</v>
      </c>
      <c r="M552">
        <f>'[1]Processed Data'!M917</f>
        <v>6</v>
      </c>
      <c r="N552">
        <f>'[1]Processed Data'!N917</f>
        <v>0</v>
      </c>
      <c r="O552">
        <f>'[1]Processed Data'!O917</f>
        <v>0</v>
      </c>
      <c r="P552">
        <f>'[1]Processed Data'!P917</f>
        <v>3.7</v>
      </c>
      <c r="Q552">
        <f>'[1]Processed Data'!Q917</f>
        <v>8</v>
      </c>
    </row>
    <row r="553" spans="2:17">
      <c r="B553">
        <f>'[1]Processed Data'!B918</f>
        <v>2015</v>
      </c>
      <c r="C553">
        <f>'[1]Processed Data'!C918</f>
        <v>64</v>
      </c>
      <c r="D553" t="str">
        <f>'[1]Processed Data'!D918</f>
        <v>Sean Mannion</v>
      </c>
      <c r="E553">
        <f>Table1[[#This Row],[Year]]</f>
        <v>2015</v>
      </c>
      <c r="F553">
        <f>'[1]Processed Data'!F918</f>
        <v>6</v>
      </c>
      <c r="G553">
        <f>'[1]Processed Data'!G918</f>
        <v>7</v>
      </c>
      <c r="H553">
        <f>'[1]Processed Data'!H918</f>
        <v>85.7</v>
      </c>
      <c r="I553">
        <f>'[1]Processed Data'!I918</f>
        <v>0</v>
      </c>
      <c r="J553">
        <f>'[1]Processed Data'!J918</f>
        <v>0</v>
      </c>
      <c r="K553">
        <f>'[1]Processed Data'!K918</f>
        <v>0</v>
      </c>
      <c r="L553">
        <f>'[1]Processed Data'!L918</f>
        <v>0</v>
      </c>
      <c r="M553">
        <f>'[1]Processed Data'!M918</f>
        <v>0</v>
      </c>
      <c r="N553">
        <f>'[1]Processed Data'!N918</f>
        <v>0</v>
      </c>
      <c r="O553">
        <f>'[1]Processed Data'!O918</f>
        <v>0</v>
      </c>
      <c r="P553">
        <f>'[1]Processed Data'!P918</f>
        <v>1.2</v>
      </c>
      <c r="Q553">
        <f>'[1]Processed Data'!Q918</f>
        <v>1</v>
      </c>
    </row>
    <row r="554" spans="2:17">
      <c r="B554">
        <f>'[1]Processed Data'!B919</f>
        <v>2015</v>
      </c>
      <c r="C554">
        <f>'[1]Processed Data'!C919</f>
        <v>65</v>
      </c>
      <c r="D554" t="str">
        <f>'[1]Processed Data'!D919</f>
        <v>Derek Anderson</v>
      </c>
      <c r="E554">
        <f>Table1[[#This Row],[Year]]</f>
        <v>2015</v>
      </c>
      <c r="F554">
        <f>'[1]Processed Data'!F919</f>
        <v>4</v>
      </c>
      <c r="G554">
        <f>'[1]Processed Data'!G919</f>
        <v>6</v>
      </c>
      <c r="H554">
        <f>'[1]Processed Data'!H919</f>
        <v>66.7</v>
      </c>
      <c r="I554">
        <f>'[1]Processed Data'!I919</f>
        <v>0</v>
      </c>
      <c r="J554">
        <f>'[1]Processed Data'!J919</f>
        <v>0</v>
      </c>
      <c r="K554">
        <f>'[1]Processed Data'!K919</f>
        <v>0</v>
      </c>
      <c r="L554">
        <f>'[1]Processed Data'!L919</f>
        <v>7</v>
      </c>
      <c r="M554">
        <f>'[1]Processed Data'!M919</f>
        <v>-2</v>
      </c>
      <c r="N554">
        <f>'[1]Processed Data'!N919</f>
        <v>0</v>
      </c>
      <c r="O554">
        <f>'[1]Processed Data'!O919</f>
        <v>0</v>
      </c>
      <c r="P554">
        <f>'[1]Processed Data'!P919</f>
        <v>1.2</v>
      </c>
      <c r="Q554">
        <f>'[1]Processed Data'!Q919</f>
        <v>3</v>
      </c>
    </row>
    <row r="555" spans="2:17">
      <c r="B555">
        <f>'[1]Processed Data'!B920</f>
        <v>2015</v>
      </c>
      <c r="C555">
        <f>'[1]Processed Data'!C920</f>
        <v>66</v>
      </c>
      <c r="D555" t="str">
        <f>'[1]Processed Data'!D920</f>
        <v>Tarvaris Jackson</v>
      </c>
      <c r="E555">
        <f>Table1[[#This Row],[Year]]</f>
        <v>2015</v>
      </c>
      <c r="F555">
        <f>'[1]Processed Data'!F920</f>
        <v>4</v>
      </c>
      <c r="G555">
        <f>'[1]Processed Data'!G920</f>
        <v>6</v>
      </c>
      <c r="H555">
        <f>'[1]Processed Data'!H920</f>
        <v>66.7</v>
      </c>
      <c r="I555">
        <f>'[1]Processed Data'!I920</f>
        <v>0</v>
      </c>
      <c r="J555">
        <f>'[1]Processed Data'!J920</f>
        <v>0</v>
      </c>
      <c r="K555">
        <f>'[1]Processed Data'!K920</f>
        <v>1</v>
      </c>
      <c r="L555">
        <f>'[1]Processed Data'!L920</f>
        <v>8</v>
      </c>
      <c r="M555">
        <f>'[1]Processed Data'!M920</f>
        <v>-8</v>
      </c>
      <c r="N555">
        <f>'[1]Processed Data'!N920</f>
        <v>0</v>
      </c>
      <c r="O555">
        <f>'[1]Processed Data'!O920</f>
        <v>0</v>
      </c>
      <c r="P555">
        <f>'[1]Processed Data'!P920</f>
        <v>0.7</v>
      </c>
      <c r="Q555">
        <f>'[1]Processed Data'!Q920</f>
        <v>4</v>
      </c>
    </row>
    <row r="556" spans="2:17">
      <c r="B556">
        <f>'[1]Processed Data'!B921</f>
        <v>2015</v>
      </c>
      <c r="C556">
        <f>'[1]Processed Data'!C921</f>
        <v>67</v>
      </c>
      <c r="D556" t="str">
        <f>'[1]Processed Data'!D921</f>
        <v>Matt Moore</v>
      </c>
      <c r="E556">
        <f>Table1[[#This Row],[Year]]</f>
        <v>2015</v>
      </c>
      <c r="F556">
        <f>'[1]Processed Data'!F921</f>
        <v>1</v>
      </c>
      <c r="G556">
        <f>'[1]Processed Data'!G921</f>
        <v>1</v>
      </c>
      <c r="H556">
        <f>'[1]Processed Data'!H921</f>
        <v>100</v>
      </c>
      <c r="I556">
        <f>'[1]Processed Data'!I921</f>
        <v>0</v>
      </c>
      <c r="J556">
        <f>'[1]Processed Data'!J921</f>
        <v>0</v>
      </c>
      <c r="K556">
        <f>'[1]Processed Data'!K921</f>
        <v>0</v>
      </c>
      <c r="L556">
        <f>'[1]Processed Data'!L921</f>
        <v>3</v>
      </c>
      <c r="M556">
        <f>'[1]Processed Data'!M921</f>
        <v>-2</v>
      </c>
      <c r="N556">
        <f>'[1]Processed Data'!N921</f>
        <v>0</v>
      </c>
      <c r="O556">
        <f>'[1]Processed Data'!O921</f>
        <v>0</v>
      </c>
      <c r="P556">
        <f>'[1]Processed Data'!P921</f>
        <v>0.4</v>
      </c>
      <c r="Q556">
        <f>'[1]Processed Data'!Q921</f>
        <v>1</v>
      </c>
    </row>
    <row r="557" spans="2:17">
      <c r="B557">
        <f>'[1]Processed Data'!B922</f>
        <v>2015</v>
      </c>
      <c r="C557">
        <f>'[1]Processed Data'!C922</f>
        <v>68</v>
      </c>
      <c r="D557" t="str">
        <f>'[1]Processed Data'!D922</f>
        <v>Shaun Hill</v>
      </c>
      <c r="E557">
        <f>Table1[[#This Row],[Year]]</f>
        <v>2015</v>
      </c>
      <c r="F557">
        <f>'[1]Processed Data'!F922</f>
        <v>2</v>
      </c>
      <c r="G557">
        <f>'[1]Processed Data'!G922</f>
        <v>7</v>
      </c>
      <c r="H557">
        <f>'[1]Processed Data'!H922</f>
        <v>28.6</v>
      </c>
      <c r="I557">
        <f>'[1]Processed Data'!I922</f>
        <v>0</v>
      </c>
      <c r="J557">
        <f>'[1]Processed Data'!J922</f>
        <v>0</v>
      </c>
      <c r="K557">
        <f>'[1]Processed Data'!K922</f>
        <v>1</v>
      </c>
      <c r="L557">
        <f>'[1]Processed Data'!L922</f>
        <v>4</v>
      </c>
      <c r="M557">
        <f>'[1]Processed Data'!M922</f>
        <v>-5</v>
      </c>
      <c r="N557">
        <f>'[1]Processed Data'!N922</f>
        <v>0</v>
      </c>
      <c r="O557">
        <f>'[1]Processed Data'!O922</f>
        <v>0</v>
      </c>
      <c r="P557">
        <f>'[1]Processed Data'!P922</f>
        <v>0.1</v>
      </c>
      <c r="Q557">
        <f>'[1]Processed Data'!Q922</f>
        <v>3</v>
      </c>
    </row>
    <row r="558" spans="2:17">
      <c r="B558">
        <f>'[1]Processed Data'!B976</f>
        <v>2015</v>
      </c>
      <c r="C558">
        <f>'[1]Processed Data'!C976</f>
        <v>122</v>
      </c>
      <c r="D558" t="str">
        <f>'[1]Processed Data'!D976</f>
        <v>Chase Daniel</v>
      </c>
      <c r="E558">
        <f>Table1[[#This Row],[Year]]</f>
        <v>2015</v>
      </c>
      <c r="F558">
        <f>'[1]Processed Data'!F976</f>
        <v>2</v>
      </c>
      <c r="G558">
        <f>'[1]Processed Data'!G976</f>
        <v>2</v>
      </c>
      <c r="H558">
        <f>'[1]Processed Data'!H976</f>
        <v>100</v>
      </c>
      <c r="I558">
        <f>'[1]Processed Data'!I976</f>
        <v>0</v>
      </c>
      <c r="J558">
        <f>'[1]Processed Data'!J976</f>
        <v>0</v>
      </c>
      <c r="K558">
        <f>'[1]Processed Data'!K976</f>
        <v>0</v>
      </c>
      <c r="L558">
        <f>'[1]Processed Data'!L976</f>
        <v>2</v>
      </c>
      <c r="M558">
        <f>'[1]Processed Data'!M976</f>
        <v>-2</v>
      </c>
      <c r="N558">
        <f>'[1]Processed Data'!N976</f>
        <v>0</v>
      </c>
      <c r="O558">
        <f>'[1]Processed Data'!O976</f>
        <v>0</v>
      </c>
      <c r="P558">
        <f>'[1]Processed Data'!P976</f>
        <v>0</v>
      </c>
      <c r="Q558">
        <f>'[1]Processed Data'!Q976</f>
        <v>2</v>
      </c>
    </row>
    <row r="559" spans="2:17">
      <c r="B559">
        <f>'[1]Processed Data'!B982</f>
        <v>2015</v>
      </c>
      <c r="C559">
        <f>'[1]Processed Data'!C982</f>
        <v>128</v>
      </c>
      <c r="D559" t="str">
        <f>'[1]Processed Data'!D982</f>
        <v>Joe Webb III</v>
      </c>
      <c r="E559">
        <f>Table1[[#This Row],[Year]]</f>
        <v>2015</v>
      </c>
      <c r="F559">
        <f>'[1]Processed Data'!F982</f>
        <v>0</v>
      </c>
      <c r="G559">
        <f>'[1]Processed Data'!G982</f>
        <v>0</v>
      </c>
      <c r="H559">
        <f>'[1]Processed Data'!H982</f>
        <v>0</v>
      </c>
      <c r="I559">
        <f>'[1]Processed Data'!I982</f>
        <v>0</v>
      </c>
      <c r="J559">
        <f>'[1]Processed Data'!J982</f>
        <v>0</v>
      </c>
      <c r="K559">
        <f>'[1]Processed Data'!K982</f>
        <v>0</v>
      </c>
      <c r="L559">
        <f>'[1]Processed Data'!L982</f>
        <v>1</v>
      </c>
      <c r="M559">
        <f>'[1]Processed Data'!M982</f>
        <v>-1</v>
      </c>
      <c r="N559">
        <f>'[1]Processed Data'!N982</f>
        <v>0</v>
      </c>
      <c r="O559">
        <f>'[1]Processed Data'!O982</f>
        <v>0</v>
      </c>
      <c r="P559">
        <f>'[1]Processed Data'!P982</f>
        <v>0</v>
      </c>
      <c r="Q559">
        <f>'[1]Processed Data'!Q982</f>
        <v>16</v>
      </c>
    </row>
    <row r="560" spans="2:17">
      <c r="B560">
        <f>'[1]Processed Data'!B1016</f>
        <v>2015</v>
      </c>
      <c r="C560">
        <f>'[1]Processed Data'!C1016</f>
        <v>162</v>
      </c>
      <c r="D560" t="str">
        <f>'[1]Processed Data'!D1016</f>
        <v>Scott Tolzien</v>
      </c>
      <c r="E560">
        <f>Table1[[#This Row],[Year]]</f>
        <v>2015</v>
      </c>
      <c r="F560">
        <f>'[1]Processed Data'!F1016</f>
        <v>1</v>
      </c>
      <c r="G560">
        <f>'[1]Processed Data'!G1016</f>
        <v>1</v>
      </c>
      <c r="H560">
        <f>'[1]Processed Data'!H1016</f>
        <v>100</v>
      </c>
      <c r="I560">
        <f>'[1]Processed Data'!I1016</f>
        <v>0</v>
      </c>
      <c r="J560">
        <f>'[1]Processed Data'!J1016</f>
        <v>0</v>
      </c>
      <c r="K560">
        <f>'[1]Processed Data'!K1016</f>
        <v>1</v>
      </c>
      <c r="L560">
        <f>'[1]Processed Data'!L1016</f>
        <v>3</v>
      </c>
      <c r="M560">
        <f>'[1]Processed Data'!M1016</f>
        <v>-3</v>
      </c>
      <c r="N560">
        <f>'[1]Processed Data'!N1016</f>
        <v>0</v>
      </c>
      <c r="O560">
        <f>'[1]Processed Data'!O1016</f>
        <v>0</v>
      </c>
      <c r="P560">
        <f>'[1]Processed Data'!P1016</f>
        <v>-0.1</v>
      </c>
      <c r="Q560">
        <f>'[1]Processed Data'!Q1016</f>
        <v>3</v>
      </c>
    </row>
    <row r="561" spans="2:17">
      <c r="B561">
        <f>'[1]Processed Data'!B1017</f>
        <v>2015</v>
      </c>
      <c r="C561">
        <f>'[1]Processed Data'!C1017</f>
        <v>163</v>
      </c>
      <c r="D561" t="str">
        <f>'[1]Processed Data'!D1017</f>
        <v>Trevor Siemian</v>
      </c>
      <c r="E561">
        <f>Table1[[#This Row],[Year]]</f>
        <v>2015</v>
      </c>
      <c r="F561">
        <f>'[1]Processed Data'!F1017</f>
        <v>0</v>
      </c>
      <c r="G561">
        <f>'[1]Processed Data'!G1017</f>
        <v>0</v>
      </c>
      <c r="H561">
        <f>'[1]Processed Data'!H1017</f>
        <v>0</v>
      </c>
      <c r="I561">
        <f>'[1]Processed Data'!I1017</f>
        <v>0</v>
      </c>
      <c r="J561">
        <f>'[1]Processed Data'!J1017</f>
        <v>0</v>
      </c>
      <c r="K561">
        <f>'[1]Processed Data'!K1017</f>
        <v>0</v>
      </c>
      <c r="L561">
        <f>'[1]Processed Data'!L1017</f>
        <v>1</v>
      </c>
      <c r="M561">
        <f>'[1]Processed Data'!M1017</f>
        <v>-1</v>
      </c>
      <c r="N561">
        <f>'[1]Processed Data'!N1017</f>
        <v>0</v>
      </c>
      <c r="O561">
        <f>'[1]Processed Data'!O1017</f>
        <v>0</v>
      </c>
      <c r="P561">
        <f>'[1]Processed Data'!P1017</f>
        <v>-0.1</v>
      </c>
      <c r="Q561">
        <f>'[1]Processed Data'!Q1017</f>
        <v>1</v>
      </c>
    </row>
    <row r="562" spans="2:17">
      <c r="B562">
        <f>'[1]Processed Data'!B1018</f>
        <v>2015</v>
      </c>
      <c r="C562">
        <f>'[1]Processed Data'!C1018</f>
        <v>164</v>
      </c>
      <c r="D562" t="str">
        <f>'[1]Processed Data'!D1018</f>
        <v>Jimmy Garoppolo</v>
      </c>
      <c r="E562">
        <f>Table1[[#This Row],[Year]]</f>
        <v>2015</v>
      </c>
      <c r="F562">
        <f>'[1]Processed Data'!F1018</f>
        <v>1</v>
      </c>
      <c r="G562">
        <f>'[1]Processed Data'!G1018</f>
        <v>4</v>
      </c>
      <c r="H562">
        <f>'[1]Processed Data'!H1018</f>
        <v>25</v>
      </c>
      <c r="I562">
        <f>'[1]Processed Data'!I1018</f>
        <v>0</v>
      </c>
      <c r="J562">
        <f>'[1]Processed Data'!J1018</f>
        <v>0</v>
      </c>
      <c r="K562">
        <f>'[1]Processed Data'!K1018</f>
        <v>0</v>
      </c>
      <c r="L562">
        <f>'[1]Processed Data'!L1018</f>
        <v>5</v>
      </c>
      <c r="M562">
        <f>'[1]Processed Data'!M1018</f>
        <v>-5</v>
      </c>
      <c r="N562">
        <f>'[1]Processed Data'!N1018</f>
        <v>0</v>
      </c>
      <c r="O562">
        <f>'[1]Processed Data'!O1018</f>
        <v>0</v>
      </c>
      <c r="P562">
        <f>'[1]Processed Data'!P1018</f>
        <v>-0.3</v>
      </c>
      <c r="Q562">
        <f>'[1]Processed Data'!Q1018</f>
        <v>5</v>
      </c>
    </row>
    <row r="563" spans="2:17">
      <c r="B563">
        <f>'[1]Processed Data'!B1019</f>
        <v>2015</v>
      </c>
      <c r="C563">
        <f>'[1]Processed Data'!C1019</f>
        <v>165</v>
      </c>
      <c r="D563" t="str">
        <f>'[1]Processed Data'!D1019</f>
        <v>Drew Stanton</v>
      </c>
      <c r="E563">
        <f>Table1[[#This Row],[Year]]</f>
        <v>2015</v>
      </c>
      <c r="F563">
        <f>'[1]Processed Data'!F1019</f>
        <v>11</v>
      </c>
      <c r="G563">
        <f>'[1]Processed Data'!G1019</f>
        <v>25</v>
      </c>
      <c r="H563">
        <f>'[1]Processed Data'!H1019</f>
        <v>44</v>
      </c>
      <c r="I563">
        <f>'[1]Processed Data'!I1019</f>
        <v>0</v>
      </c>
      <c r="J563">
        <f>'[1]Processed Data'!J1019</f>
        <v>2</v>
      </c>
      <c r="K563">
        <f>'[1]Processed Data'!K1019</f>
        <v>2</v>
      </c>
      <c r="L563">
        <f>'[1]Processed Data'!L1019</f>
        <v>13</v>
      </c>
      <c r="M563">
        <f>'[1]Processed Data'!M1019</f>
        <v>-13</v>
      </c>
      <c r="N563">
        <f>'[1]Processed Data'!N1019</f>
        <v>0</v>
      </c>
      <c r="O563">
        <f>'[1]Processed Data'!O1019</f>
        <v>0</v>
      </c>
      <c r="P563">
        <f>'[1]Processed Data'!P1019</f>
        <v>-1.1000000000000001</v>
      </c>
      <c r="Q563">
        <f>'[1]Processed Data'!Q1019</f>
        <v>7</v>
      </c>
    </row>
    <row r="564" spans="2:17">
      <c r="B564">
        <f>'[1]Processed Data'!B1020</f>
        <v>2015</v>
      </c>
      <c r="C564">
        <f>'[1]Processed Data'!C1020</f>
        <v>166</v>
      </c>
      <c r="D564" t="str">
        <f>'[1]Processed Data'!D1020</f>
        <v>Sean Renfree</v>
      </c>
      <c r="E564">
        <f>Table1[[#This Row],[Year]]</f>
        <v>2015</v>
      </c>
      <c r="F564">
        <f>'[1]Processed Data'!F1020</f>
        <v>3</v>
      </c>
      <c r="G564">
        <f>'[1]Processed Data'!G1020</f>
        <v>7</v>
      </c>
      <c r="H564">
        <f>'[1]Processed Data'!H1020</f>
        <v>42.9</v>
      </c>
      <c r="I564">
        <f>'[1]Processed Data'!I1020</f>
        <v>0</v>
      </c>
      <c r="J564">
        <f>'[1]Processed Data'!J1020</f>
        <v>1</v>
      </c>
      <c r="K564">
        <f>'[1]Processed Data'!K1020</f>
        <v>2</v>
      </c>
      <c r="L564">
        <f>'[1]Processed Data'!L1020</f>
        <v>1</v>
      </c>
      <c r="M564">
        <f>'[1]Processed Data'!M1020</f>
        <v>-4</v>
      </c>
      <c r="N564">
        <f>'[1]Processed Data'!N1020</f>
        <v>0</v>
      </c>
      <c r="O564">
        <f>'[1]Processed Data'!O1020</f>
        <v>0</v>
      </c>
      <c r="P564">
        <f>'[1]Processed Data'!P1020</f>
        <v>-2</v>
      </c>
      <c r="Q564">
        <f>'[1]Processed Data'!Q1020</f>
        <v>2</v>
      </c>
    </row>
    <row r="565" spans="2:17" hidden="1">
      <c r="B565">
        <f>'[1]Processed Data'!B1021</f>
        <v>2014</v>
      </c>
      <c r="C565">
        <f>'[1]Processed Data'!C1021</f>
        <v>1</v>
      </c>
      <c r="D565" t="str">
        <f>'[1]Processed Data'!D1021</f>
        <v>Aaron Rodgers</v>
      </c>
      <c r="E565">
        <f>Table1[[#This Row],[Year]]</f>
        <v>2014</v>
      </c>
      <c r="F565">
        <f>'[1]Processed Data'!F1021</f>
        <v>341</v>
      </c>
      <c r="G565">
        <f>'[1]Processed Data'!G1021</f>
        <v>520</v>
      </c>
      <c r="H565">
        <f>'[1]Processed Data'!H1021</f>
        <v>65.599999999999994</v>
      </c>
      <c r="I565">
        <f>'[1]Processed Data'!I1021</f>
        <v>38</v>
      </c>
      <c r="J565">
        <f>'[1]Processed Data'!J1021</f>
        <v>5</v>
      </c>
      <c r="K565">
        <f>'[1]Processed Data'!K1021</f>
        <v>28</v>
      </c>
      <c r="L565">
        <f>'[1]Processed Data'!L1021</f>
        <v>43</v>
      </c>
      <c r="M565">
        <f>'[1]Processed Data'!M1021</f>
        <v>269</v>
      </c>
      <c r="N565">
        <f>'[1]Processed Data'!N1021</f>
        <v>2</v>
      </c>
      <c r="O565">
        <f>'[1]Processed Data'!O1021</f>
        <v>2</v>
      </c>
      <c r="P565">
        <f>'[1]Processed Data'!P1021</f>
        <v>354.1</v>
      </c>
      <c r="Q565">
        <f>'[1]Processed Data'!Q1021</f>
        <v>16</v>
      </c>
    </row>
    <row r="566" spans="2:17" hidden="1">
      <c r="B566">
        <f>'[1]Processed Data'!B1022</f>
        <v>2014</v>
      </c>
      <c r="C566">
        <f>'[1]Processed Data'!C1022</f>
        <v>2</v>
      </c>
      <c r="D566" t="str">
        <f>'[1]Processed Data'!D1022</f>
        <v>Russell Wilson</v>
      </c>
      <c r="E566">
        <f>Table1[[#This Row],[Year]]</f>
        <v>2014</v>
      </c>
      <c r="F566">
        <f>'[1]Processed Data'!F1022</f>
        <v>285</v>
      </c>
      <c r="G566">
        <f>'[1]Processed Data'!G1022</f>
        <v>452</v>
      </c>
      <c r="H566">
        <f>'[1]Processed Data'!H1022</f>
        <v>63.1</v>
      </c>
      <c r="I566">
        <f>'[1]Processed Data'!I1022</f>
        <v>20</v>
      </c>
      <c r="J566">
        <f>'[1]Processed Data'!J1022</f>
        <v>7</v>
      </c>
      <c r="K566">
        <f>'[1]Processed Data'!K1022</f>
        <v>42</v>
      </c>
      <c r="L566">
        <f>'[1]Processed Data'!L1022</f>
        <v>118</v>
      </c>
      <c r="M566">
        <f>'[1]Processed Data'!M1022</f>
        <v>849</v>
      </c>
      <c r="N566">
        <f>'[1]Processed Data'!N1022</f>
        <v>6</v>
      </c>
      <c r="O566">
        <f>'[1]Processed Data'!O1022</f>
        <v>0</v>
      </c>
      <c r="P566">
        <f>'[1]Processed Data'!P1022</f>
        <v>328</v>
      </c>
      <c r="Q566">
        <f>'[1]Processed Data'!Q1022</f>
        <v>16</v>
      </c>
    </row>
    <row r="567" spans="2:17" hidden="1">
      <c r="B567">
        <f>'[1]Processed Data'!B1023</f>
        <v>2014</v>
      </c>
      <c r="C567">
        <f>'[1]Processed Data'!C1023</f>
        <v>3</v>
      </c>
      <c r="D567" t="str">
        <f>'[1]Processed Data'!D1023</f>
        <v>Ben Roethlisberger</v>
      </c>
      <c r="E567">
        <f>Table1[[#This Row],[Year]]</f>
        <v>2014</v>
      </c>
      <c r="F567">
        <f>'[1]Processed Data'!F1023</f>
        <v>408</v>
      </c>
      <c r="G567">
        <f>'[1]Processed Data'!G1023</f>
        <v>608</v>
      </c>
      <c r="H567">
        <f>'[1]Processed Data'!H1023</f>
        <v>67.099999999999994</v>
      </c>
      <c r="I567">
        <f>'[1]Processed Data'!I1023</f>
        <v>32</v>
      </c>
      <c r="J567">
        <f>'[1]Processed Data'!J1023</f>
        <v>9</v>
      </c>
      <c r="K567">
        <f>'[1]Processed Data'!K1023</f>
        <v>33</v>
      </c>
      <c r="L567">
        <f>'[1]Processed Data'!L1023</f>
        <v>33</v>
      </c>
      <c r="M567">
        <f>'[1]Processed Data'!M1023</f>
        <v>27</v>
      </c>
      <c r="N567">
        <f>'[1]Processed Data'!N1023</f>
        <v>0</v>
      </c>
      <c r="O567">
        <f>'[1]Processed Data'!O1023</f>
        <v>5</v>
      </c>
      <c r="P567">
        <f>'[1]Processed Data'!P1023</f>
        <v>306.2</v>
      </c>
      <c r="Q567">
        <f>'[1]Processed Data'!Q1023</f>
        <v>16</v>
      </c>
    </row>
    <row r="568" spans="2:17" hidden="1">
      <c r="B568">
        <f>'[1]Processed Data'!B1024</f>
        <v>2014</v>
      </c>
      <c r="C568">
        <f>'[1]Processed Data'!C1024</f>
        <v>4</v>
      </c>
      <c r="D568" t="str">
        <f>'[1]Processed Data'!D1024</f>
        <v>Drew Brees</v>
      </c>
      <c r="E568">
        <f>Table1[[#This Row],[Year]]</f>
        <v>2014</v>
      </c>
      <c r="F568">
        <f>'[1]Processed Data'!F1024</f>
        <v>456</v>
      </c>
      <c r="G568">
        <f>'[1]Processed Data'!G1024</f>
        <v>659</v>
      </c>
      <c r="H568">
        <f>'[1]Processed Data'!H1024</f>
        <v>69.2</v>
      </c>
      <c r="I568">
        <f>'[1]Processed Data'!I1024</f>
        <v>33</v>
      </c>
      <c r="J568">
        <f>'[1]Processed Data'!J1024</f>
        <v>17</v>
      </c>
      <c r="K568">
        <f>'[1]Processed Data'!K1024</f>
        <v>29</v>
      </c>
      <c r="L568">
        <f>'[1]Processed Data'!L1024</f>
        <v>27</v>
      </c>
      <c r="M568">
        <f>'[1]Processed Data'!M1024</f>
        <v>68</v>
      </c>
      <c r="N568">
        <f>'[1]Processed Data'!N1024</f>
        <v>1</v>
      </c>
      <c r="O568">
        <f>'[1]Processed Data'!O1024</f>
        <v>3</v>
      </c>
      <c r="P568">
        <f>'[1]Processed Data'!P1024</f>
        <v>303.39999999999998</v>
      </c>
      <c r="Q568">
        <f>'[1]Processed Data'!Q1024</f>
        <v>16</v>
      </c>
    </row>
    <row r="569" spans="2:17" hidden="1">
      <c r="B569">
        <f>'[1]Processed Data'!B1025</f>
        <v>2014</v>
      </c>
      <c r="C569">
        <f>'[1]Processed Data'!C1025</f>
        <v>5</v>
      </c>
      <c r="D569" t="str">
        <f>'[1]Processed Data'!D1025</f>
        <v>Matt Ryan</v>
      </c>
      <c r="E569">
        <f>Table1[[#This Row],[Year]]</f>
        <v>2014</v>
      </c>
      <c r="F569">
        <f>'[1]Processed Data'!F1025</f>
        <v>415</v>
      </c>
      <c r="G569">
        <f>'[1]Processed Data'!G1025</f>
        <v>628</v>
      </c>
      <c r="H569">
        <f>'[1]Processed Data'!H1025</f>
        <v>66.099999999999994</v>
      </c>
      <c r="I569">
        <f>'[1]Processed Data'!I1025</f>
        <v>28</v>
      </c>
      <c r="J569">
        <f>'[1]Processed Data'!J1025</f>
        <v>14</v>
      </c>
      <c r="K569">
        <f>'[1]Processed Data'!K1025</f>
        <v>31</v>
      </c>
      <c r="L569">
        <f>'[1]Processed Data'!L1025</f>
        <v>29</v>
      </c>
      <c r="M569">
        <f>'[1]Processed Data'!M1025</f>
        <v>145</v>
      </c>
      <c r="N569">
        <f>'[1]Processed Data'!N1025</f>
        <v>0</v>
      </c>
      <c r="O569">
        <f>'[1]Processed Data'!O1025</f>
        <v>2</v>
      </c>
      <c r="P569">
        <f>'[1]Processed Data'!P1025</f>
        <v>284</v>
      </c>
      <c r="Q569">
        <f>'[1]Processed Data'!Q1025</f>
        <v>16</v>
      </c>
    </row>
    <row r="570" spans="2:17" hidden="1">
      <c r="B570">
        <f>'[1]Processed Data'!B1026</f>
        <v>2014</v>
      </c>
      <c r="C570">
        <f>'[1]Processed Data'!C1026</f>
        <v>6</v>
      </c>
      <c r="D570" t="str">
        <f>'[1]Processed Data'!D1026</f>
        <v>Ryan Tannehill</v>
      </c>
      <c r="E570">
        <f>Table1[[#This Row],[Year]]</f>
        <v>2014</v>
      </c>
      <c r="F570">
        <f>'[1]Processed Data'!F1026</f>
        <v>392</v>
      </c>
      <c r="G570">
        <f>'[1]Processed Data'!G1026</f>
        <v>590</v>
      </c>
      <c r="H570">
        <f>'[1]Processed Data'!H1026</f>
        <v>66.400000000000006</v>
      </c>
      <c r="I570">
        <f>'[1]Processed Data'!I1026</f>
        <v>27</v>
      </c>
      <c r="J570">
        <f>'[1]Processed Data'!J1026</f>
        <v>12</v>
      </c>
      <c r="K570">
        <f>'[1]Processed Data'!K1026</f>
        <v>46</v>
      </c>
      <c r="L570">
        <f>'[1]Processed Data'!L1026</f>
        <v>56</v>
      </c>
      <c r="M570">
        <f>'[1]Processed Data'!M1026</f>
        <v>311</v>
      </c>
      <c r="N570">
        <f>'[1]Processed Data'!N1026</f>
        <v>1</v>
      </c>
      <c r="O570">
        <f>'[1]Processed Data'!O1026</f>
        <v>2</v>
      </c>
      <c r="P570">
        <f>'[1]Processed Data'!P1026</f>
        <v>278.89999999999998</v>
      </c>
      <c r="Q570">
        <f>'[1]Processed Data'!Q1026</f>
        <v>16</v>
      </c>
    </row>
    <row r="571" spans="2:17" hidden="1">
      <c r="B571">
        <f>'[1]Processed Data'!B1027</f>
        <v>2014</v>
      </c>
      <c r="C571">
        <f>'[1]Processed Data'!C1027</f>
        <v>7</v>
      </c>
      <c r="D571" t="str">
        <f>'[1]Processed Data'!D1027</f>
        <v>Tom Brady</v>
      </c>
      <c r="E571">
        <f>Table1[[#This Row],[Year]]</f>
        <v>2014</v>
      </c>
      <c r="F571">
        <f>'[1]Processed Data'!F1027</f>
        <v>373</v>
      </c>
      <c r="G571">
        <f>'[1]Processed Data'!G1027</f>
        <v>582</v>
      </c>
      <c r="H571">
        <f>'[1]Processed Data'!H1027</f>
        <v>64.099999999999994</v>
      </c>
      <c r="I571">
        <f>'[1]Processed Data'!I1027</f>
        <v>33</v>
      </c>
      <c r="J571">
        <f>'[1]Processed Data'!J1027</f>
        <v>9</v>
      </c>
      <c r="K571">
        <f>'[1]Processed Data'!K1027</f>
        <v>21</v>
      </c>
      <c r="L571">
        <f>'[1]Processed Data'!L1027</f>
        <v>36</v>
      </c>
      <c r="M571">
        <f>'[1]Processed Data'!M1027</f>
        <v>57</v>
      </c>
      <c r="N571">
        <f>'[1]Processed Data'!N1027</f>
        <v>0</v>
      </c>
      <c r="O571">
        <f>'[1]Processed Data'!O1027</f>
        <v>3</v>
      </c>
      <c r="P571">
        <f>'[1]Processed Data'!P1027</f>
        <v>278.3</v>
      </c>
      <c r="Q571">
        <f>'[1]Processed Data'!Q1027</f>
        <v>16</v>
      </c>
    </row>
    <row r="572" spans="2:17" hidden="1">
      <c r="B572">
        <f>'[1]Processed Data'!B1028</f>
        <v>2014</v>
      </c>
      <c r="C572">
        <f>'[1]Processed Data'!C1028</f>
        <v>8</v>
      </c>
      <c r="D572" t="str">
        <f>'[1]Processed Data'!D1028</f>
        <v>Joe Flacco</v>
      </c>
      <c r="E572">
        <f>Table1[[#This Row],[Year]]</f>
        <v>2014</v>
      </c>
      <c r="F572">
        <f>'[1]Processed Data'!F1028</f>
        <v>344</v>
      </c>
      <c r="G572">
        <f>'[1]Processed Data'!G1028</f>
        <v>554</v>
      </c>
      <c r="H572">
        <f>'[1]Processed Data'!H1028</f>
        <v>62.1</v>
      </c>
      <c r="I572">
        <f>'[1]Processed Data'!I1028</f>
        <v>27</v>
      </c>
      <c r="J572">
        <f>'[1]Processed Data'!J1028</f>
        <v>12</v>
      </c>
      <c r="K572">
        <f>'[1]Processed Data'!K1028</f>
        <v>19</v>
      </c>
      <c r="L572">
        <f>'[1]Processed Data'!L1028</f>
        <v>39</v>
      </c>
      <c r="M572">
        <f>'[1]Processed Data'!M1028</f>
        <v>70</v>
      </c>
      <c r="N572">
        <f>'[1]Processed Data'!N1028</f>
        <v>2</v>
      </c>
      <c r="O572">
        <f>'[1]Processed Data'!O1028</f>
        <v>0</v>
      </c>
      <c r="P572">
        <f>'[1]Processed Data'!P1028</f>
        <v>262.39999999999998</v>
      </c>
      <c r="Q572">
        <f>'[1]Processed Data'!Q1028</f>
        <v>16</v>
      </c>
    </row>
    <row r="573" spans="2:17" hidden="1">
      <c r="B573">
        <f>'[1]Processed Data'!B1029</f>
        <v>2014</v>
      </c>
      <c r="C573">
        <f>'[1]Processed Data'!C1029</f>
        <v>9</v>
      </c>
      <c r="D573" t="str">
        <f>'[1]Processed Data'!D1029</f>
        <v>Matthew Stafford</v>
      </c>
      <c r="E573">
        <f>Table1[[#This Row],[Year]]</f>
        <v>2014</v>
      </c>
      <c r="F573">
        <f>'[1]Processed Data'!F1029</f>
        <v>363</v>
      </c>
      <c r="G573">
        <f>'[1]Processed Data'!G1029</f>
        <v>602</v>
      </c>
      <c r="H573">
        <f>'[1]Processed Data'!H1029</f>
        <v>60.3</v>
      </c>
      <c r="I573">
        <f>'[1]Processed Data'!I1029</f>
        <v>22</v>
      </c>
      <c r="J573">
        <f>'[1]Processed Data'!J1029</f>
        <v>12</v>
      </c>
      <c r="K573">
        <f>'[1]Processed Data'!K1029</f>
        <v>45</v>
      </c>
      <c r="L573">
        <f>'[1]Processed Data'!L1029</f>
        <v>43</v>
      </c>
      <c r="M573">
        <f>'[1]Processed Data'!M1029</f>
        <v>93</v>
      </c>
      <c r="N573">
        <f>'[1]Processed Data'!N1029</f>
        <v>2</v>
      </c>
      <c r="O573">
        <f>'[1]Processed Data'!O1029</f>
        <v>3</v>
      </c>
      <c r="P573">
        <f>'[1]Processed Data'!P1029</f>
        <v>251.4</v>
      </c>
      <c r="Q573">
        <f>'[1]Processed Data'!Q1029</f>
        <v>16</v>
      </c>
    </row>
    <row r="574" spans="2:17" hidden="1">
      <c r="B574">
        <f>'[1]Processed Data'!B1030</f>
        <v>2014</v>
      </c>
      <c r="C574">
        <f>'[1]Processed Data'!C1030</f>
        <v>10</v>
      </c>
      <c r="D574" t="str">
        <f>'[1]Processed Data'!D1030</f>
        <v>Cam Newton</v>
      </c>
      <c r="E574">
        <f>Table1[[#This Row],[Year]]</f>
        <v>2014</v>
      </c>
      <c r="F574">
        <f>'[1]Processed Data'!F1030</f>
        <v>262</v>
      </c>
      <c r="G574">
        <f>'[1]Processed Data'!G1030</f>
        <v>448</v>
      </c>
      <c r="H574">
        <f>'[1]Processed Data'!H1030</f>
        <v>58.5</v>
      </c>
      <c r="I574">
        <f>'[1]Processed Data'!I1030</f>
        <v>18</v>
      </c>
      <c r="J574">
        <f>'[1]Processed Data'!J1030</f>
        <v>12</v>
      </c>
      <c r="K574">
        <f>'[1]Processed Data'!K1030</f>
        <v>38</v>
      </c>
      <c r="L574">
        <f>'[1]Processed Data'!L1030</f>
        <v>103</v>
      </c>
      <c r="M574">
        <f>'[1]Processed Data'!M1030</f>
        <v>539</v>
      </c>
      <c r="N574">
        <f>'[1]Processed Data'!N1030</f>
        <v>5</v>
      </c>
      <c r="O574">
        <f>'[1]Processed Data'!O1030</f>
        <v>5</v>
      </c>
      <c r="P574">
        <f>'[1]Processed Data'!P1030</f>
        <v>248.9</v>
      </c>
      <c r="Q574">
        <f>'[1]Processed Data'!Q1030</f>
        <v>14</v>
      </c>
    </row>
    <row r="575" spans="2:17" hidden="1">
      <c r="B575">
        <f>'[1]Processed Data'!B1031</f>
        <v>2014</v>
      </c>
      <c r="C575">
        <f>'[1]Processed Data'!C1031</f>
        <v>11</v>
      </c>
      <c r="D575" t="str">
        <f>'[1]Processed Data'!D1031</f>
        <v>Andy Dalton</v>
      </c>
      <c r="E575">
        <f>Table1[[#This Row],[Year]]</f>
        <v>2014</v>
      </c>
      <c r="F575">
        <f>'[1]Processed Data'!F1031</f>
        <v>309</v>
      </c>
      <c r="G575">
        <f>'[1]Processed Data'!G1031</f>
        <v>481</v>
      </c>
      <c r="H575">
        <f>'[1]Processed Data'!H1031</f>
        <v>64.2</v>
      </c>
      <c r="I575">
        <f>'[1]Processed Data'!I1031</f>
        <v>19</v>
      </c>
      <c r="J575">
        <f>'[1]Processed Data'!J1031</f>
        <v>17</v>
      </c>
      <c r="K575">
        <f>'[1]Processed Data'!K1031</f>
        <v>21</v>
      </c>
      <c r="L575">
        <f>'[1]Processed Data'!L1031</f>
        <v>60</v>
      </c>
      <c r="M575">
        <f>'[1]Processed Data'!M1031</f>
        <v>169</v>
      </c>
      <c r="N575">
        <f>'[1]Processed Data'!N1031</f>
        <v>4</v>
      </c>
      <c r="O575">
        <f>'[1]Processed Data'!O1031</f>
        <v>2</v>
      </c>
      <c r="P575">
        <f>'[1]Processed Data'!P1031</f>
        <v>225</v>
      </c>
      <c r="Q575">
        <f>'[1]Processed Data'!Q1031</f>
        <v>16</v>
      </c>
    </row>
    <row r="576" spans="2:17" hidden="1">
      <c r="B576">
        <f>'[1]Processed Data'!B1032</f>
        <v>2014</v>
      </c>
      <c r="C576">
        <f>'[1]Processed Data'!C1032</f>
        <v>12</v>
      </c>
      <c r="D576" t="str">
        <f>'[1]Processed Data'!D1032</f>
        <v>Alex Smith</v>
      </c>
      <c r="E576">
        <f>Table1[[#This Row],[Year]]</f>
        <v>2014</v>
      </c>
      <c r="F576">
        <f>'[1]Processed Data'!F1032</f>
        <v>303</v>
      </c>
      <c r="G576">
        <f>'[1]Processed Data'!G1032</f>
        <v>464</v>
      </c>
      <c r="H576">
        <f>'[1]Processed Data'!H1032</f>
        <v>65.3</v>
      </c>
      <c r="I576">
        <f>'[1]Processed Data'!I1032</f>
        <v>18</v>
      </c>
      <c r="J576">
        <f>'[1]Processed Data'!J1032</f>
        <v>6</v>
      </c>
      <c r="K576">
        <f>'[1]Processed Data'!K1032</f>
        <v>45</v>
      </c>
      <c r="L576">
        <f>'[1]Processed Data'!L1032</f>
        <v>49</v>
      </c>
      <c r="M576">
        <f>'[1]Processed Data'!M1032</f>
        <v>254</v>
      </c>
      <c r="N576">
        <f>'[1]Processed Data'!N1032</f>
        <v>1</v>
      </c>
      <c r="O576">
        <f>'[1]Processed Data'!O1032</f>
        <v>1</v>
      </c>
      <c r="P576">
        <f>'[1]Processed Data'!P1032</f>
        <v>219.9</v>
      </c>
      <c r="Q576">
        <f>'[1]Processed Data'!Q1032</f>
        <v>15</v>
      </c>
    </row>
    <row r="577" spans="2:17" hidden="1">
      <c r="B577">
        <f>'[1]Processed Data'!B1033</f>
        <v>2014</v>
      </c>
      <c r="C577">
        <f>'[1]Processed Data'!C1033</f>
        <v>13</v>
      </c>
      <c r="D577" t="str">
        <f>'[1]Processed Data'!D1033</f>
        <v>Ryan Fitzpatrick</v>
      </c>
      <c r="E577">
        <f>Table1[[#This Row],[Year]]</f>
        <v>2014</v>
      </c>
      <c r="F577">
        <f>'[1]Processed Data'!F1033</f>
        <v>197</v>
      </c>
      <c r="G577">
        <f>'[1]Processed Data'!G1033</f>
        <v>312</v>
      </c>
      <c r="H577">
        <f>'[1]Processed Data'!H1033</f>
        <v>63.1</v>
      </c>
      <c r="I577">
        <f>'[1]Processed Data'!I1033</f>
        <v>17</v>
      </c>
      <c r="J577">
        <f>'[1]Processed Data'!J1033</f>
        <v>8</v>
      </c>
      <c r="K577">
        <f>'[1]Processed Data'!K1033</f>
        <v>21</v>
      </c>
      <c r="L577">
        <f>'[1]Processed Data'!L1033</f>
        <v>50</v>
      </c>
      <c r="M577">
        <f>'[1]Processed Data'!M1033</f>
        <v>184</v>
      </c>
      <c r="N577">
        <f>'[1]Processed Data'!N1033</f>
        <v>2</v>
      </c>
      <c r="O577">
        <f>'[1]Processed Data'!O1033</f>
        <v>1</v>
      </c>
      <c r="P577">
        <f>'[1]Processed Data'!P1033</f>
        <v>179.8</v>
      </c>
      <c r="Q577">
        <f>'[1]Processed Data'!Q1033</f>
        <v>12</v>
      </c>
    </row>
    <row r="578" spans="2:17" hidden="1">
      <c r="B578">
        <f>'[1]Processed Data'!B1034</f>
        <v>2014</v>
      </c>
      <c r="C578">
        <f>'[1]Processed Data'!C1034</f>
        <v>14</v>
      </c>
      <c r="D578" t="str">
        <f>'[1]Processed Data'!D1034</f>
        <v>Teddy Bridgewater</v>
      </c>
      <c r="E578">
        <f>Table1[[#This Row],[Year]]</f>
        <v>2014</v>
      </c>
      <c r="F578">
        <f>'[1]Processed Data'!F1034</f>
        <v>259</v>
      </c>
      <c r="G578">
        <f>'[1]Processed Data'!G1034</f>
        <v>402</v>
      </c>
      <c r="H578">
        <f>'[1]Processed Data'!H1034</f>
        <v>64.400000000000006</v>
      </c>
      <c r="I578">
        <f>'[1]Processed Data'!I1034</f>
        <v>14</v>
      </c>
      <c r="J578">
        <f>'[1]Processed Data'!J1034</f>
        <v>12</v>
      </c>
      <c r="K578">
        <f>'[1]Processed Data'!K1034</f>
        <v>39</v>
      </c>
      <c r="L578">
        <f>'[1]Processed Data'!L1034</f>
        <v>47</v>
      </c>
      <c r="M578">
        <f>'[1]Processed Data'!M1034</f>
        <v>209</v>
      </c>
      <c r="N578">
        <f>'[1]Processed Data'!N1034</f>
        <v>1</v>
      </c>
      <c r="O578">
        <f>'[1]Processed Data'!O1034</f>
        <v>0</v>
      </c>
      <c r="P578">
        <f>'[1]Processed Data'!P1034</f>
        <v>179.7</v>
      </c>
      <c r="Q578">
        <f>'[1]Processed Data'!Q1034</f>
        <v>13</v>
      </c>
    </row>
    <row r="579" spans="2:17" hidden="1">
      <c r="B579">
        <f>'[1]Processed Data'!B1035</f>
        <v>2014</v>
      </c>
      <c r="C579">
        <f>'[1]Processed Data'!C1035</f>
        <v>15</v>
      </c>
      <c r="D579" t="str">
        <f>'[1]Processed Data'!D1035</f>
        <v>Blake Bortles</v>
      </c>
      <c r="E579">
        <f>Table1[[#This Row],[Year]]</f>
        <v>2014</v>
      </c>
      <c r="F579">
        <f>'[1]Processed Data'!F1035</f>
        <v>280</v>
      </c>
      <c r="G579">
        <f>'[1]Processed Data'!G1035</f>
        <v>475</v>
      </c>
      <c r="H579">
        <f>'[1]Processed Data'!H1035</f>
        <v>58.9</v>
      </c>
      <c r="I579">
        <f>'[1]Processed Data'!I1035</f>
        <v>11</v>
      </c>
      <c r="J579">
        <f>'[1]Processed Data'!J1035</f>
        <v>17</v>
      </c>
      <c r="K579">
        <f>'[1]Processed Data'!K1035</f>
        <v>55</v>
      </c>
      <c r="L579">
        <f>'[1]Processed Data'!L1035</f>
        <v>56</v>
      </c>
      <c r="M579">
        <f>'[1]Processed Data'!M1035</f>
        <v>419</v>
      </c>
      <c r="N579">
        <f>'[1]Processed Data'!N1035</f>
        <v>0</v>
      </c>
      <c r="O579">
        <f>'[1]Processed Data'!O1035</f>
        <v>1</v>
      </c>
      <c r="P579">
        <f>'[1]Processed Data'!P1035</f>
        <v>168.2</v>
      </c>
      <c r="Q579">
        <f>'[1]Processed Data'!Q1035</f>
        <v>14</v>
      </c>
    </row>
    <row r="580" spans="2:17" hidden="1">
      <c r="B580">
        <f>'[1]Processed Data'!B1036</f>
        <v>2014</v>
      </c>
      <c r="C580">
        <f>'[1]Processed Data'!C1036</f>
        <v>16</v>
      </c>
      <c r="D580" t="str">
        <f>'[1]Processed Data'!D1036</f>
        <v>Brian Hoyer</v>
      </c>
      <c r="E580">
        <f>Table1[[#This Row],[Year]]</f>
        <v>2014</v>
      </c>
      <c r="F580">
        <f>'[1]Processed Data'!F1036</f>
        <v>242</v>
      </c>
      <c r="G580">
        <f>'[1]Processed Data'!G1036</f>
        <v>438</v>
      </c>
      <c r="H580">
        <f>'[1]Processed Data'!H1036</f>
        <v>55.3</v>
      </c>
      <c r="I580">
        <f>'[1]Processed Data'!I1036</f>
        <v>12</v>
      </c>
      <c r="J580">
        <f>'[1]Processed Data'!J1036</f>
        <v>13</v>
      </c>
      <c r="K580">
        <f>'[1]Processed Data'!K1036</f>
        <v>24</v>
      </c>
      <c r="L580">
        <f>'[1]Processed Data'!L1036</f>
        <v>24</v>
      </c>
      <c r="M580">
        <f>'[1]Processed Data'!M1036</f>
        <v>39</v>
      </c>
      <c r="N580">
        <f>'[1]Processed Data'!N1036</f>
        <v>0</v>
      </c>
      <c r="O580">
        <f>'[1]Processed Data'!O1036</f>
        <v>1</v>
      </c>
      <c r="P580">
        <f>'[1]Processed Data'!P1036</f>
        <v>157</v>
      </c>
      <c r="Q580">
        <f>'[1]Processed Data'!Q1036</f>
        <v>14</v>
      </c>
    </row>
    <row r="581" spans="2:17" hidden="1">
      <c r="B581">
        <f>'[1]Processed Data'!B1037</f>
        <v>2014</v>
      </c>
      <c r="C581">
        <f>'[1]Processed Data'!C1037</f>
        <v>17</v>
      </c>
      <c r="D581" t="str">
        <f>'[1]Processed Data'!D1037</f>
        <v>Geno Smith</v>
      </c>
      <c r="E581">
        <f>Table1[[#This Row],[Year]]</f>
        <v>2014</v>
      </c>
      <c r="F581">
        <f>'[1]Processed Data'!F1037</f>
        <v>219</v>
      </c>
      <c r="G581">
        <f>'[1]Processed Data'!G1037</f>
        <v>367</v>
      </c>
      <c r="H581">
        <f>'[1]Processed Data'!H1037</f>
        <v>59.7</v>
      </c>
      <c r="I581">
        <f>'[1]Processed Data'!I1037</f>
        <v>13</v>
      </c>
      <c r="J581">
        <f>'[1]Processed Data'!J1037</f>
        <v>13</v>
      </c>
      <c r="K581">
        <f>'[1]Processed Data'!K1037</f>
        <v>28</v>
      </c>
      <c r="L581">
        <f>'[1]Processed Data'!L1037</f>
        <v>59</v>
      </c>
      <c r="M581">
        <f>'[1]Processed Data'!M1037</f>
        <v>238</v>
      </c>
      <c r="N581">
        <f>'[1]Processed Data'!N1037</f>
        <v>1</v>
      </c>
      <c r="O581">
        <f>'[1]Processed Data'!O1037</f>
        <v>3</v>
      </c>
      <c r="P581">
        <f>'[1]Processed Data'!P1037</f>
        <v>150.80000000000001</v>
      </c>
      <c r="Q581">
        <f>'[1]Processed Data'!Q1037</f>
        <v>14</v>
      </c>
    </row>
    <row r="582" spans="2:17" hidden="1">
      <c r="B582">
        <f>'[1]Processed Data'!B1038</f>
        <v>2014</v>
      </c>
      <c r="C582">
        <f>'[1]Processed Data'!C1038</f>
        <v>18</v>
      </c>
      <c r="D582" t="str">
        <f>'[1]Processed Data'!D1038</f>
        <v>Josh McCown</v>
      </c>
      <c r="E582">
        <f>Table1[[#This Row],[Year]]</f>
        <v>2014</v>
      </c>
      <c r="F582">
        <f>'[1]Processed Data'!F1038</f>
        <v>184</v>
      </c>
      <c r="G582">
        <f>'[1]Processed Data'!G1038</f>
        <v>327</v>
      </c>
      <c r="H582">
        <f>'[1]Processed Data'!H1038</f>
        <v>56.3</v>
      </c>
      <c r="I582">
        <f>'[1]Processed Data'!I1038</f>
        <v>11</v>
      </c>
      <c r="J582">
        <f>'[1]Processed Data'!J1038</f>
        <v>14</v>
      </c>
      <c r="K582">
        <f>'[1]Processed Data'!K1038</f>
        <v>36</v>
      </c>
      <c r="L582">
        <f>'[1]Processed Data'!L1038</f>
        <v>25</v>
      </c>
      <c r="M582">
        <f>'[1]Processed Data'!M1038</f>
        <v>127</v>
      </c>
      <c r="N582">
        <f>'[1]Processed Data'!N1038</f>
        <v>3</v>
      </c>
      <c r="O582">
        <f>'[1]Processed Data'!O1038</f>
        <v>4</v>
      </c>
      <c r="P582">
        <f>'[1]Processed Data'!P1038</f>
        <v>126.9</v>
      </c>
      <c r="Q582">
        <f>'[1]Processed Data'!Q1038</f>
        <v>11</v>
      </c>
    </row>
    <row r="583" spans="2:17" hidden="1">
      <c r="B583">
        <f>'[1]Processed Data'!B1039</f>
        <v>2014</v>
      </c>
      <c r="C583">
        <f>'[1]Processed Data'!C1039</f>
        <v>19</v>
      </c>
      <c r="D583" t="str">
        <f>'[1]Processed Data'!D1039</f>
        <v>Nick Foles</v>
      </c>
      <c r="E583">
        <f>Table1[[#This Row],[Year]]</f>
        <v>2014</v>
      </c>
      <c r="F583">
        <f>'[1]Processed Data'!F1039</f>
        <v>186</v>
      </c>
      <c r="G583">
        <f>'[1]Processed Data'!G1039</f>
        <v>311</v>
      </c>
      <c r="H583">
        <f>'[1]Processed Data'!H1039</f>
        <v>59.8</v>
      </c>
      <c r="I583">
        <f>'[1]Processed Data'!I1039</f>
        <v>13</v>
      </c>
      <c r="J583">
        <f>'[1]Processed Data'!J1039</f>
        <v>10</v>
      </c>
      <c r="K583">
        <f>'[1]Processed Data'!K1039</f>
        <v>9</v>
      </c>
      <c r="L583">
        <f>'[1]Processed Data'!L1039</f>
        <v>16</v>
      </c>
      <c r="M583">
        <f>'[1]Processed Data'!M1039</f>
        <v>68</v>
      </c>
      <c r="N583">
        <f>'[1]Processed Data'!N1039</f>
        <v>0</v>
      </c>
      <c r="O583">
        <f>'[1]Processed Data'!O1039</f>
        <v>3</v>
      </c>
      <c r="P583">
        <f>'[1]Processed Data'!P1039</f>
        <v>119.3</v>
      </c>
      <c r="Q583">
        <f>'[1]Processed Data'!Q1039</f>
        <v>8</v>
      </c>
    </row>
    <row r="584" spans="2:17" hidden="1">
      <c r="B584">
        <f>'[1]Processed Data'!B1040</f>
        <v>2014</v>
      </c>
      <c r="C584">
        <f>'[1]Processed Data'!C1040</f>
        <v>20</v>
      </c>
      <c r="D584" t="str">
        <f>'[1]Processed Data'!D1040</f>
        <v>Drew Stanton</v>
      </c>
      <c r="E584">
        <f>Table1[[#This Row],[Year]]</f>
        <v>2014</v>
      </c>
      <c r="F584">
        <f>'[1]Processed Data'!F1040</f>
        <v>132</v>
      </c>
      <c r="G584">
        <f>'[1]Processed Data'!G1040</f>
        <v>240</v>
      </c>
      <c r="H584">
        <f>'[1]Processed Data'!H1040</f>
        <v>55</v>
      </c>
      <c r="I584">
        <f>'[1]Processed Data'!I1040</f>
        <v>7</v>
      </c>
      <c r="J584">
        <f>'[1]Processed Data'!J1040</f>
        <v>5</v>
      </c>
      <c r="K584">
        <f>'[1]Processed Data'!K1040</f>
        <v>11</v>
      </c>
      <c r="L584">
        <f>'[1]Processed Data'!L1040</f>
        <v>25</v>
      </c>
      <c r="M584">
        <f>'[1]Processed Data'!M1040</f>
        <v>63</v>
      </c>
      <c r="N584">
        <f>'[1]Processed Data'!N1040</f>
        <v>0</v>
      </c>
      <c r="O584">
        <f>'[1]Processed Data'!O1040</f>
        <v>0</v>
      </c>
      <c r="P584">
        <f>'[1]Processed Data'!P1040</f>
        <v>94.9</v>
      </c>
      <c r="Q584">
        <f>'[1]Processed Data'!Q1040</f>
        <v>9</v>
      </c>
    </row>
    <row r="585" spans="2:17" hidden="1">
      <c r="B585">
        <f>'[1]Processed Data'!B1041</f>
        <v>2014</v>
      </c>
      <c r="C585">
        <f>'[1]Processed Data'!C1041</f>
        <v>21</v>
      </c>
      <c r="D585" t="str">
        <f>'[1]Processed Data'!D1041</f>
        <v>Mike Glennon</v>
      </c>
      <c r="E585">
        <f>Table1[[#This Row],[Year]]</f>
        <v>2014</v>
      </c>
      <c r="F585">
        <f>'[1]Processed Data'!F1041</f>
        <v>117</v>
      </c>
      <c r="G585">
        <f>'[1]Processed Data'!G1041</f>
        <v>203</v>
      </c>
      <c r="H585">
        <f>'[1]Processed Data'!H1041</f>
        <v>57.6</v>
      </c>
      <c r="I585">
        <f>'[1]Processed Data'!I1041</f>
        <v>10</v>
      </c>
      <c r="J585">
        <f>'[1]Processed Data'!J1041</f>
        <v>6</v>
      </c>
      <c r="K585">
        <f>'[1]Processed Data'!K1041</f>
        <v>16</v>
      </c>
      <c r="L585">
        <f>'[1]Processed Data'!L1041</f>
        <v>10</v>
      </c>
      <c r="M585">
        <f>'[1]Processed Data'!M1041</f>
        <v>49</v>
      </c>
      <c r="N585">
        <f>'[1]Processed Data'!N1041</f>
        <v>0</v>
      </c>
      <c r="O585">
        <f>'[1]Processed Data'!O1041</f>
        <v>0</v>
      </c>
      <c r="P585">
        <f>'[1]Processed Data'!P1041</f>
        <v>89.6</v>
      </c>
      <c r="Q585">
        <f>'[1]Processed Data'!Q1041</f>
        <v>6</v>
      </c>
    </row>
    <row r="586" spans="2:17" hidden="1">
      <c r="B586">
        <f>'[1]Processed Data'!B1042</f>
        <v>2014</v>
      </c>
      <c r="C586">
        <f>'[1]Processed Data'!C1042</f>
        <v>22</v>
      </c>
      <c r="D586" t="str">
        <f>'[1]Processed Data'!D1042</f>
        <v>Kirk Cousins</v>
      </c>
      <c r="E586">
        <f>Table1[[#This Row],[Year]]</f>
        <v>2014</v>
      </c>
      <c r="F586">
        <f>'[1]Processed Data'!F1042</f>
        <v>126</v>
      </c>
      <c r="G586">
        <f>'[1]Processed Data'!G1042</f>
        <v>204</v>
      </c>
      <c r="H586">
        <f>'[1]Processed Data'!H1042</f>
        <v>61.8</v>
      </c>
      <c r="I586">
        <f>'[1]Processed Data'!I1042</f>
        <v>10</v>
      </c>
      <c r="J586">
        <f>'[1]Processed Data'!J1042</f>
        <v>9</v>
      </c>
      <c r="K586">
        <f>'[1]Processed Data'!K1042</f>
        <v>8</v>
      </c>
      <c r="L586">
        <f>'[1]Processed Data'!L1042</f>
        <v>7</v>
      </c>
      <c r="M586">
        <f>'[1]Processed Data'!M1042</f>
        <v>20</v>
      </c>
      <c r="N586">
        <f>'[1]Processed Data'!N1042</f>
        <v>0</v>
      </c>
      <c r="O586">
        <f>'[1]Processed Data'!O1042</f>
        <v>2</v>
      </c>
      <c r="P586">
        <f>'[1]Processed Data'!P1042</f>
        <v>88.5</v>
      </c>
      <c r="Q586">
        <f>'[1]Processed Data'!Q1042</f>
        <v>6</v>
      </c>
    </row>
    <row r="587" spans="2:17" hidden="1">
      <c r="B587">
        <f>'[1]Processed Data'!B1043</f>
        <v>2014</v>
      </c>
      <c r="C587">
        <f>'[1]Processed Data'!C1043</f>
        <v>23</v>
      </c>
      <c r="D587" t="str">
        <f>'[1]Processed Data'!D1043</f>
        <v>Robert Griffin III</v>
      </c>
      <c r="E587">
        <f>Table1[[#This Row],[Year]]</f>
        <v>2014</v>
      </c>
      <c r="F587">
        <f>'[1]Processed Data'!F1043</f>
        <v>147</v>
      </c>
      <c r="G587">
        <f>'[1]Processed Data'!G1043</f>
        <v>214</v>
      </c>
      <c r="H587">
        <f>'[1]Processed Data'!H1043</f>
        <v>68.7</v>
      </c>
      <c r="I587">
        <f>'[1]Processed Data'!I1043</f>
        <v>4</v>
      </c>
      <c r="J587">
        <f>'[1]Processed Data'!J1043</f>
        <v>6</v>
      </c>
      <c r="K587">
        <f>'[1]Processed Data'!K1043</f>
        <v>33</v>
      </c>
      <c r="L587">
        <f>'[1]Processed Data'!L1043</f>
        <v>38</v>
      </c>
      <c r="M587">
        <f>'[1]Processed Data'!M1043</f>
        <v>176</v>
      </c>
      <c r="N587">
        <f>'[1]Processed Data'!N1043</f>
        <v>1</v>
      </c>
      <c r="O587">
        <f>'[1]Processed Data'!O1043</f>
        <v>4</v>
      </c>
      <c r="P587">
        <f>'[1]Processed Data'!P1043</f>
        <v>87.2</v>
      </c>
      <c r="Q587">
        <f>'[1]Processed Data'!Q1043</f>
        <v>9</v>
      </c>
    </row>
    <row r="588" spans="2:17" hidden="1">
      <c r="B588">
        <f>'[1]Processed Data'!B1044</f>
        <v>2014</v>
      </c>
      <c r="C588">
        <f>'[1]Processed Data'!C1044</f>
        <v>24</v>
      </c>
      <c r="D588" t="str">
        <f>'[1]Processed Data'!D1044</f>
        <v>Colt McCoy</v>
      </c>
      <c r="E588">
        <f>Table1[[#This Row],[Year]]</f>
        <v>2014</v>
      </c>
      <c r="F588">
        <f>'[1]Processed Data'!F1044</f>
        <v>91</v>
      </c>
      <c r="G588">
        <f>'[1]Processed Data'!G1044</f>
        <v>128</v>
      </c>
      <c r="H588">
        <f>'[1]Processed Data'!H1044</f>
        <v>71.099999999999994</v>
      </c>
      <c r="I588">
        <f>'[1]Processed Data'!I1044</f>
        <v>4</v>
      </c>
      <c r="J588">
        <f>'[1]Processed Data'!J1044</f>
        <v>3</v>
      </c>
      <c r="K588">
        <f>'[1]Processed Data'!K1044</f>
        <v>17</v>
      </c>
      <c r="L588">
        <f>'[1]Processed Data'!L1044</f>
        <v>16</v>
      </c>
      <c r="M588">
        <f>'[1]Processed Data'!M1044</f>
        <v>66</v>
      </c>
      <c r="N588">
        <f>'[1]Processed Data'!N1044</f>
        <v>1</v>
      </c>
      <c r="O588">
        <f>'[1]Processed Data'!O1044</f>
        <v>1</v>
      </c>
      <c r="P588">
        <f>'[1]Processed Data'!P1044</f>
        <v>63</v>
      </c>
      <c r="Q588">
        <f>'[1]Processed Data'!Q1044</f>
        <v>5</v>
      </c>
    </row>
    <row r="589" spans="2:17" hidden="1">
      <c r="B589">
        <f>'[1]Processed Data'!B1045</f>
        <v>2014</v>
      </c>
      <c r="C589">
        <f>'[1]Processed Data'!C1045</f>
        <v>25</v>
      </c>
      <c r="D589" t="str">
        <f>'[1]Processed Data'!D1045</f>
        <v>Chad Henne</v>
      </c>
      <c r="E589">
        <f>Table1[[#This Row],[Year]]</f>
        <v>2014</v>
      </c>
      <c r="F589">
        <f>'[1]Processed Data'!F1045</f>
        <v>42</v>
      </c>
      <c r="G589">
        <f>'[1]Processed Data'!G1045</f>
        <v>78</v>
      </c>
      <c r="H589">
        <f>'[1]Processed Data'!H1045</f>
        <v>53.8</v>
      </c>
      <c r="I589">
        <f>'[1]Processed Data'!I1045</f>
        <v>3</v>
      </c>
      <c r="J589">
        <f>'[1]Processed Data'!J1045</f>
        <v>1</v>
      </c>
      <c r="K589">
        <f>'[1]Processed Data'!K1045</f>
        <v>16</v>
      </c>
      <c r="L589">
        <f>'[1]Processed Data'!L1045</f>
        <v>4</v>
      </c>
      <c r="M589">
        <f>'[1]Processed Data'!M1045</f>
        <v>25</v>
      </c>
      <c r="N589">
        <f>'[1]Processed Data'!N1045</f>
        <v>0</v>
      </c>
      <c r="O589">
        <f>'[1]Processed Data'!O1045</f>
        <v>1</v>
      </c>
      <c r="P589">
        <f>'[1]Processed Data'!P1045</f>
        <v>30.1</v>
      </c>
      <c r="Q589">
        <f>'[1]Processed Data'!Q1045</f>
        <v>3</v>
      </c>
    </row>
    <row r="590" spans="2:17" hidden="1">
      <c r="B590">
        <f>'[1]Processed Data'!B1046</f>
        <v>2014</v>
      </c>
      <c r="C590">
        <f>'[1]Processed Data'!C1046</f>
        <v>26</v>
      </c>
      <c r="D590" t="str">
        <f>'[1]Processed Data'!D1046</f>
        <v>Case Keenum</v>
      </c>
      <c r="E590">
        <f>Table1[[#This Row],[Year]]</f>
        <v>2014</v>
      </c>
      <c r="F590">
        <f>'[1]Processed Data'!F1046</f>
        <v>45</v>
      </c>
      <c r="G590">
        <f>'[1]Processed Data'!G1046</f>
        <v>77</v>
      </c>
      <c r="H590">
        <f>'[1]Processed Data'!H1046</f>
        <v>58.4</v>
      </c>
      <c r="I590">
        <f>'[1]Processed Data'!I1046</f>
        <v>2</v>
      </c>
      <c r="J590">
        <f>'[1]Processed Data'!J1046</f>
        <v>2</v>
      </c>
      <c r="K590">
        <f>'[1]Processed Data'!K1046</f>
        <v>3</v>
      </c>
      <c r="L590">
        <f>'[1]Processed Data'!L1046</f>
        <v>10</v>
      </c>
      <c r="M590">
        <f>'[1]Processed Data'!M1046</f>
        <v>35</v>
      </c>
      <c r="N590">
        <f>'[1]Processed Data'!N1046</f>
        <v>0</v>
      </c>
      <c r="O590">
        <f>'[1]Processed Data'!O1046</f>
        <v>1</v>
      </c>
      <c r="P590">
        <f>'[1]Processed Data'!P1046</f>
        <v>22.9</v>
      </c>
      <c r="Q590">
        <f>'[1]Processed Data'!Q1046</f>
        <v>2</v>
      </c>
    </row>
    <row r="591" spans="2:17" hidden="1">
      <c r="B591">
        <f>'[1]Processed Data'!B1047</f>
        <v>2014</v>
      </c>
      <c r="C591">
        <f>'[1]Processed Data'!C1047</f>
        <v>27</v>
      </c>
      <c r="D591" t="str">
        <f>'[1]Processed Data'!D1047</f>
        <v>Jimmy Garoppolo</v>
      </c>
      <c r="E591">
        <f>Table1[[#This Row],[Year]]</f>
        <v>2014</v>
      </c>
      <c r="F591">
        <f>'[1]Processed Data'!F1047</f>
        <v>19</v>
      </c>
      <c r="G591">
        <f>'[1]Processed Data'!G1047</f>
        <v>27</v>
      </c>
      <c r="H591">
        <f>'[1]Processed Data'!H1047</f>
        <v>70.400000000000006</v>
      </c>
      <c r="I591">
        <f>'[1]Processed Data'!I1047</f>
        <v>1</v>
      </c>
      <c r="J591">
        <f>'[1]Processed Data'!J1047</f>
        <v>0</v>
      </c>
      <c r="K591">
        <f>'[1]Processed Data'!K1047</f>
        <v>5</v>
      </c>
      <c r="L591">
        <f>'[1]Processed Data'!L1047</f>
        <v>10</v>
      </c>
      <c r="M591">
        <f>'[1]Processed Data'!M1047</f>
        <v>9</v>
      </c>
      <c r="N591">
        <f>'[1]Processed Data'!N1047</f>
        <v>0</v>
      </c>
      <c r="O591">
        <f>'[1]Processed Data'!O1047</f>
        <v>0</v>
      </c>
      <c r="P591">
        <f>'[1]Processed Data'!P1047</f>
        <v>12.2</v>
      </c>
      <c r="Q591">
        <f>'[1]Processed Data'!Q1047</f>
        <v>6</v>
      </c>
    </row>
    <row r="592" spans="2:17" hidden="1">
      <c r="B592">
        <f>'[1]Processed Data'!B1048</f>
        <v>2014</v>
      </c>
      <c r="C592">
        <f>'[1]Processed Data'!C1048</f>
        <v>28</v>
      </c>
      <c r="D592" t="str">
        <f>'[1]Processed Data'!D1048</f>
        <v>Chase Daniel</v>
      </c>
      <c r="E592">
        <f>Table1[[#This Row],[Year]]</f>
        <v>2014</v>
      </c>
      <c r="F592">
        <f>'[1]Processed Data'!F1048</f>
        <v>16</v>
      </c>
      <c r="G592">
        <f>'[1]Processed Data'!G1048</f>
        <v>28</v>
      </c>
      <c r="H592">
        <f>'[1]Processed Data'!H1048</f>
        <v>57.1</v>
      </c>
      <c r="I592">
        <f>'[1]Processed Data'!I1048</f>
        <v>0</v>
      </c>
      <c r="J592">
        <f>'[1]Processed Data'!J1048</f>
        <v>0</v>
      </c>
      <c r="K592">
        <f>'[1]Processed Data'!K1048</f>
        <v>4</v>
      </c>
      <c r="L592">
        <f>'[1]Processed Data'!L1048</f>
        <v>4</v>
      </c>
      <c r="M592">
        <f>'[1]Processed Data'!M1048</f>
        <v>15</v>
      </c>
      <c r="N592">
        <f>'[1]Processed Data'!N1048</f>
        <v>0</v>
      </c>
      <c r="O592">
        <f>'[1]Processed Data'!O1048</f>
        <v>0</v>
      </c>
      <c r="P592">
        <f>'[1]Processed Data'!P1048</f>
        <v>7.8</v>
      </c>
      <c r="Q592">
        <f>'[1]Processed Data'!Q1048</f>
        <v>3</v>
      </c>
    </row>
    <row r="593" spans="2:17" hidden="1">
      <c r="B593">
        <f>'[1]Processed Data'!B1049</f>
        <v>2014</v>
      </c>
      <c r="C593">
        <f>'[1]Processed Data'!C1049</f>
        <v>29</v>
      </c>
      <c r="D593" t="str">
        <f>'[1]Processed Data'!D1049</f>
        <v>Blaine Gabbert</v>
      </c>
      <c r="E593">
        <f>Table1[[#This Row],[Year]]</f>
        <v>2014</v>
      </c>
      <c r="F593">
        <f>'[1]Processed Data'!F1049</f>
        <v>3</v>
      </c>
      <c r="G593">
        <f>'[1]Processed Data'!G1049</f>
        <v>7</v>
      </c>
      <c r="H593">
        <f>'[1]Processed Data'!H1049</f>
        <v>42.9</v>
      </c>
      <c r="I593">
        <f>'[1]Processed Data'!I1049</f>
        <v>1</v>
      </c>
      <c r="J593">
        <f>'[1]Processed Data'!J1049</f>
        <v>0</v>
      </c>
      <c r="K593">
        <f>'[1]Processed Data'!K1049</f>
        <v>0</v>
      </c>
      <c r="L593">
        <f>'[1]Processed Data'!L1049</f>
        <v>1</v>
      </c>
      <c r="M593">
        <f>'[1]Processed Data'!M1049</f>
        <v>5</v>
      </c>
      <c r="N593">
        <f>'[1]Processed Data'!N1049</f>
        <v>0</v>
      </c>
      <c r="O593">
        <f>'[1]Processed Data'!O1049</f>
        <v>0</v>
      </c>
      <c r="P593">
        <f>'[1]Processed Data'!P1049</f>
        <v>6</v>
      </c>
      <c r="Q593">
        <f>'[1]Processed Data'!Q1049</f>
        <v>1</v>
      </c>
    </row>
    <row r="594" spans="2:17" hidden="1">
      <c r="B594">
        <f>'[1]Processed Data'!B1050</f>
        <v>2014</v>
      </c>
      <c r="C594">
        <f>'[1]Processed Data'!C1050</f>
        <v>30</v>
      </c>
      <c r="D594" t="str">
        <f>'[1]Processed Data'!D1050</f>
        <v>Joe Webb III</v>
      </c>
      <c r="E594">
        <f>Table1[[#This Row],[Year]]</f>
        <v>2014</v>
      </c>
      <c r="F594">
        <f>'[1]Processed Data'!F1050</f>
        <v>0</v>
      </c>
      <c r="G594">
        <f>'[1]Processed Data'!G1050</f>
        <v>0</v>
      </c>
      <c r="H594">
        <f>'[1]Processed Data'!H1050</f>
        <v>0</v>
      </c>
      <c r="I594">
        <f>'[1]Processed Data'!I1050</f>
        <v>0</v>
      </c>
      <c r="J594">
        <f>'[1]Processed Data'!J1050</f>
        <v>0</v>
      </c>
      <c r="K594">
        <f>'[1]Processed Data'!K1050</f>
        <v>0</v>
      </c>
      <c r="L594">
        <f>'[1]Processed Data'!L1050</f>
        <v>0</v>
      </c>
      <c r="M594">
        <f>'[1]Processed Data'!M1050</f>
        <v>0</v>
      </c>
      <c r="N594">
        <f>'[1]Processed Data'!N1050</f>
        <v>0</v>
      </c>
      <c r="O594">
        <f>'[1]Processed Data'!O1050</f>
        <v>0</v>
      </c>
      <c r="P594">
        <f>'[1]Processed Data'!P1050</f>
        <v>2.1</v>
      </c>
      <c r="Q594">
        <f>'[1]Processed Data'!Q1050</f>
        <v>7</v>
      </c>
    </row>
    <row r="595" spans="2:17" hidden="1">
      <c r="B595">
        <f>'[1]Processed Data'!B1051</f>
        <v>2014</v>
      </c>
      <c r="C595">
        <f>'[1]Processed Data'!C1051</f>
        <v>31</v>
      </c>
      <c r="D595" t="str">
        <f>'[1]Processed Data'!D1051</f>
        <v>Matt Moore</v>
      </c>
      <c r="E595">
        <f>Table1[[#This Row],[Year]]</f>
        <v>2014</v>
      </c>
      <c r="F595">
        <f>'[1]Processed Data'!F1051</f>
        <v>2</v>
      </c>
      <c r="G595">
        <f>'[1]Processed Data'!G1051</f>
        <v>4</v>
      </c>
      <c r="H595">
        <f>'[1]Processed Data'!H1051</f>
        <v>50</v>
      </c>
      <c r="I595">
        <f>'[1]Processed Data'!I1051</f>
        <v>0</v>
      </c>
      <c r="J595">
        <f>'[1]Processed Data'!J1051</f>
        <v>0</v>
      </c>
      <c r="K595">
        <f>'[1]Processed Data'!K1051</f>
        <v>0</v>
      </c>
      <c r="L595">
        <f>'[1]Processed Data'!L1051</f>
        <v>2</v>
      </c>
      <c r="M595">
        <f>'[1]Processed Data'!M1051</f>
        <v>-2</v>
      </c>
      <c r="N595">
        <f>'[1]Processed Data'!N1051</f>
        <v>0</v>
      </c>
      <c r="O595">
        <f>'[1]Processed Data'!O1051</f>
        <v>0</v>
      </c>
      <c r="P595">
        <f>'[1]Processed Data'!P1051</f>
        <v>0.6</v>
      </c>
      <c r="Q595">
        <f>'[1]Processed Data'!Q1051</f>
        <v>2</v>
      </c>
    </row>
    <row r="596" spans="2:17" hidden="1">
      <c r="B596">
        <f>'[1]Processed Data'!B1103</f>
        <v>2014</v>
      </c>
      <c r="C596">
        <f>'[1]Processed Data'!C1103</f>
        <v>83</v>
      </c>
      <c r="D596" t="str">
        <f>'[1]Processed Data'!D1103</f>
        <v>Jake Locker</v>
      </c>
      <c r="E596">
        <f>Table1[[#This Row],[Year]]</f>
        <v>2014</v>
      </c>
      <c r="F596">
        <f>'[1]Processed Data'!F1103</f>
        <v>86</v>
      </c>
      <c r="G596">
        <f>'[1]Processed Data'!G1103</f>
        <v>146</v>
      </c>
      <c r="H596">
        <f>'[1]Processed Data'!H1103</f>
        <v>58.9</v>
      </c>
      <c r="I596">
        <f>'[1]Processed Data'!I1103</f>
        <v>5</v>
      </c>
      <c r="J596">
        <f>'[1]Processed Data'!J1103</f>
        <v>7</v>
      </c>
      <c r="K596">
        <f>'[1]Processed Data'!K1103</f>
        <v>14</v>
      </c>
      <c r="L596">
        <f>'[1]Processed Data'!L1103</f>
        <v>22</v>
      </c>
      <c r="M596">
        <f>'[1]Processed Data'!M1103</f>
        <v>142</v>
      </c>
      <c r="N596">
        <f>'[1]Processed Data'!N1103</f>
        <v>1</v>
      </c>
      <c r="O596">
        <f>'[1]Processed Data'!O1103</f>
        <v>1</v>
      </c>
      <c r="P596">
        <f>'[1]Processed Data'!P1103</f>
        <v>0</v>
      </c>
      <c r="Q596">
        <f>'[1]Processed Data'!Q1103</f>
        <v>7</v>
      </c>
    </row>
    <row r="597" spans="2:17" hidden="1">
      <c r="B597">
        <f>'[1]Processed Data'!B1104</f>
        <v>2014</v>
      </c>
      <c r="C597">
        <f>'[1]Processed Data'!C1104</f>
        <v>84</v>
      </c>
      <c r="D597" t="str">
        <f>'[1]Processed Data'!D1104</f>
        <v>Ryan Mallett</v>
      </c>
      <c r="E597">
        <f>Table1[[#This Row],[Year]]</f>
        <v>2014</v>
      </c>
      <c r="F597">
        <f>'[1]Processed Data'!F1104</f>
        <v>41</v>
      </c>
      <c r="G597">
        <f>'[1]Processed Data'!G1104</f>
        <v>75</v>
      </c>
      <c r="H597">
        <f>'[1]Processed Data'!H1104</f>
        <v>54.7</v>
      </c>
      <c r="I597">
        <f>'[1]Processed Data'!I1104</f>
        <v>2</v>
      </c>
      <c r="J597">
        <f>'[1]Processed Data'!J1104</f>
        <v>2</v>
      </c>
      <c r="K597">
        <f>'[1]Processed Data'!K1104</f>
        <v>1</v>
      </c>
      <c r="L597">
        <f>'[1]Processed Data'!L1104</f>
        <v>6</v>
      </c>
      <c r="M597">
        <f>'[1]Processed Data'!M1104</f>
        <v>-2</v>
      </c>
      <c r="N597">
        <f>'[1]Processed Data'!N1104</f>
        <v>0</v>
      </c>
      <c r="O597">
        <f>'[1]Processed Data'!O1104</f>
        <v>0</v>
      </c>
      <c r="P597">
        <f>'[1]Processed Data'!P1104</f>
        <v>0</v>
      </c>
      <c r="Q597">
        <f>'[1]Processed Data'!Q1104</f>
        <v>3</v>
      </c>
    </row>
    <row r="598" spans="2:17" hidden="1">
      <c r="B598">
        <f>'[1]Processed Data'!B1105</f>
        <v>2014</v>
      </c>
      <c r="C598">
        <f>'[1]Processed Data'!C1105</f>
        <v>85</v>
      </c>
      <c r="D598" t="str">
        <f>'[1]Processed Data'!D1105</f>
        <v>Christian Ponder</v>
      </c>
      <c r="E598">
        <f>Table1[[#This Row],[Year]]</f>
        <v>2014</v>
      </c>
      <c r="F598">
        <f>'[1]Processed Data'!F1105</f>
        <v>22</v>
      </c>
      <c r="G598">
        <f>'[1]Processed Data'!G1105</f>
        <v>44</v>
      </c>
      <c r="H598">
        <f>'[1]Processed Data'!H1105</f>
        <v>50</v>
      </c>
      <c r="I598">
        <f>'[1]Processed Data'!I1105</f>
        <v>0</v>
      </c>
      <c r="J598">
        <f>'[1]Processed Data'!J1105</f>
        <v>2</v>
      </c>
      <c r="K598">
        <f>'[1]Processed Data'!K1105</f>
        <v>6</v>
      </c>
      <c r="L598">
        <f>'[1]Processed Data'!L1105</f>
        <v>4</v>
      </c>
      <c r="M598">
        <f>'[1]Processed Data'!M1105</f>
        <v>16</v>
      </c>
      <c r="N598">
        <f>'[1]Processed Data'!N1105</f>
        <v>1</v>
      </c>
      <c r="O598">
        <f>'[1]Processed Data'!O1105</f>
        <v>0</v>
      </c>
      <c r="P598">
        <f>'[1]Processed Data'!P1105</f>
        <v>0</v>
      </c>
      <c r="Q598">
        <f>'[1]Processed Data'!Q1105</f>
        <v>2</v>
      </c>
    </row>
    <row r="599" spans="2:17" hidden="1">
      <c r="B599">
        <f>'[1]Processed Data'!B1106</f>
        <v>2014</v>
      </c>
      <c r="C599">
        <f>'[1]Processed Data'!C1106</f>
        <v>86</v>
      </c>
      <c r="D599" t="str">
        <f>'[1]Processed Data'!D1106</f>
        <v>Colin Kaepernick</v>
      </c>
      <c r="E599">
        <f>Table1[[#This Row],[Year]]</f>
        <v>2014</v>
      </c>
      <c r="F599">
        <f>'[1]Processed Data'!F1106</f>
        <v>289</v>
      </c>
      <c r="G599">
        <f>'[1]Processed Data'!G1106</f>
        <v>478</v>
      </c>
      <c r="H599">
        <f>'[1]Processed Data'!H1106</f>
        <v>60.5</v>
      </c>
      <c r="I599">
        <f>'[1]Processed Data'!I1106</f>
        <v>19</v>
      </c>
      <c r="J599">
        <f>'[1]Processed Data'!J1106</f>
        <v>10</v>
      </c>
      <c r="K599">
        <f>'[1]Processed Data'!K1106</f>
        <v>52</v>
      </c>
      <c r="L599">
        <f>'[1]Processed Data'!L1106</f>
        <v>104</v>
      </c>
      <c r="M599">
        <f>'[1]Processed Data'!M1106</f>
        <v>639</v>
      </c>
      <c r="N599">
        <f>'[1]Processed Data'!N1106</f>
        <v>1</v>
      </c>
      <c r="O599">
        <f>'[1]Processed Data'!O1106</f>
        <v>5</v>
      </c>
      <c r="P599">
        <f>'[1]Processed Data'!P1106</f>
        <v>0</v>
      </c>
      <c r="Q599">
        <f>'[1]Processed Data'!Q1106</f>
        <v>16</v>
      </c>
    </row>
    <row r="600" spans="2:17" hidden="1">
      <c r="B600">
        <f>'[1]Processed Data'!B1107</f>
        <v>2014</v>
      </c>
      <c r="C600">
        <f>'[1]Processed Data'!C1107</f>
        <v>87</v>
      </c>
      <c r="D600" t="str">
        <f>'[1]Processed Data'!D1107</f>
        <v>T.J. Yates</v>
      </c>
      <c r="E600">
        <f>Table1[[#This Row],[Year]]</f>
        <v>2014</v>
      </c>
      <c r="F600">
        <f>'[1]Processed Data'!F1107</f>
        <v>3</v>
      </c>
      <c r="G600">
        <f>'[1]Processed Data'!G1107</f>
        <v>4</v>
      </c>
      <c r="H600">
        <f>'[1]Processed Data'!H1107</f>
        <v>75</v>
      </c>
      <c r="I600">
        <f>'[1]Processed Data'!I1107</f>
        <v>0</v>
      </c>
      <c r="J600">
        <f>'[1]Processed Data'!J1107</f>
        <v>1</v>
      </c>
      <c r="K600">
        <f>'[1]Processed Data'!K1107</f>
        <v>0</v>
      </c>
      <c r="L600">
        <f>'[1]Processed Data'!L1107</f>
        <v>0</v>
      </c>
      <c r="M600">
        <f>'[1]Processed Data'!M1107</f>
        <v>0</v>
      </c>
      <c r="N600">
        <f>'[1]Processed Data'!N1107</f>
        <v>0</v>
      </c>
      <c r="O600">
        <f>'[1]Processed Data'!O1107</f>
        <v>0</v>
      </c>
      <c r="P600">
        <f>'[1]Processed Data'!P1107</f>
        <v>0</v>
      </c>
      <c r="Q600">
        <f>'[1]Processed Data'!Q1107</f>
        <v>1</v>
      </c>
    </row>
    <row r="601" spans="2:17" hidden="1">
      <c r="B601">
        <f>'[1]Processed Data'!B1108</f>
        <v>2014</v>
      </c>
      <c r="C601">
        <f>'[1]Processed Data'!C1108</f>
        <v>88</v>
      </c>
      <c r="D601" t="str">
        <f>'[1]Processed Data'!D1108</f>
        <v>Jordan Palmer</v>
      </c>
      <c r="E601">
        <f>Table1[[#This Row],[Year]]</f>
        <v>2014</v>
      </c>
      <c r="F601">
        <f>'[1]Processed Data'!F1108</f>
        <v>1</v>
      </c>
      <c r="G601">
        <f>'[1]Processed Data'!G1108</f>
        <v>3</v>
      </c>
      <c r="H601">
        <f>'[1]Processed Data'!H1108</f>
        <v>33.299999999999997</v>
      </c>
      <c r="I601">
        <f>'[1]Processed Data'!I1108</f>
        <v>0</v>
      </c>
      <c r="J601">
        <f>'[1]Processed Data'!J1108</f>
        <v>0</v>
      </c>
      <c r="K601">
        <f>'[1]Processed Data'!K1108</f>
        <v>0</v>
      </c>
      <c r="L601">
        <f>'[1]Processed Data'!L1108</f>
        <v>1</v>
      </c>
      <c r="M601">
        <f>'[1]Processed Data'!M1108</f>
        <v>-1</v>
      </c>
      <c r="N601">
        <f>'[1]Processed Data'!N1108</f>
        <v>0</v>
      </c>
      <c r="O601">
        <f>'[1]Processed Data'!O1108</f>
        <v>0</v>
      </c>
      <c r="P601">
        <f>'[1]Processed Data'!P1108</f>
        <v>0</v>
      </c>
      <c r="Q601">
        <f>'[1]Processed Data'!Q1108</f>
        <v>1</v>
      </c>
    </row>
    <row r="602" spans="2:17" hidden="1">
      <c r="B602">
        <f>'[1]Processed Data'!B1114</f>
        <v>2014</v>
      </c>
      <c r="C602">
        <f>'[1]Processed Data'!C1114</f>
        <v>94</v>
      </c>
      <c r="D602" t="str">
        <f>'[1]Processed Data'!D1114</f>
        <v>Austin Davis</v>
      </c>
      <c r="E602">
        <f>Table1[[#This Row],[Year]]</f>
        <v>2014</v>
      </c>
      <c r="F602">
        <f>'[1]Processed Data'!F1114</f>
        <v>180</v>
      </c>
      <c r="G602">
        <f>'[1]Processed Data'!G1114</f>
        <v>284</v>
      </c>
      <c r="H602">
        <f>'[1]Processed Data'!H1114</f>
        <v>63.4</v>
      </c>
      <c r="I602">
        <f>'[1]Processed Data'!I1114</f>
        <v>12</v>
      </c>
      <c r="J602">
        <f>'[1]Processed Data'!J1114</f>
        <v>9</v>
      </c>
      <c r="K602">
        <f>'[1]Processed Data'!K1114</f>
        <v>29</v>
      </c>
      <c r="L602">
        <f>'[1]Processed Data'!L1114</f>
        <v>16</v>
      </c>
      <c r="M602">
        <f>'[1]Processed Data'!M1114</f>
        <v>36</v>
      </c>
      <c r="N602">
        <f>'[1]Processed Data'!N1114</f>
        <v>0</v>
      </c>
      <c r="O602">
        <f>'[1]Processed Data'!O1114</f>
        <v>3</v>
      </c>
      <c r="P602">
        <f>'[1]Processed Data'!P1114</f>
        <v>0</v>
      </c>
      <c r="Q602">
        <f>'[1]Processed Data'!Q1114</f>
        <v>10</v>
      </c>
    </row>
    <row r="603" spans="2:17" hidden="1">
      <c r="B603">
        <f>'[1]Processed Data'!B1115</f>
        <v>2014</v>
      </c>
      <c r="C603">
        <f>'[1]Processed Data'!C1115</f>
        <v>95</v>
      </c>
      <c r="D603" t="str">
        <f>'[1]Processed Data'!D1115</f>
        <v>Andrew Luck</v>
      </c>
      <c r="E603">
        <f>Table1[[#This Row],[Year]]</f>
        <v>2014</v>
      </c>
      <c r="F603">
        <f>'[1]Processed Data'!F1115</f>
        <v>380</v>
      </c>
      <c r="G603">
        <f>'[1]Processed Data'!G1115</f>
        <v>616</v>
      </c>
      <c r="H603">
        <f>'[1]Processed Data'!H1115</f>
        <v>61.7</v>
      </c>
      <c r="I603">
        <f>'[1]Processed Data'!I1115</f>
        <v>40</v>
      </c>
      <c r="J603">
        <f>'[1]Processed Data'!J1115</f>
        <v>16</v>
      </c>
      <c r="K603">
        <f>'[1]Processed Data'!K1115</f>
        <v>27</v>
      </c>
      <c r="L603">
        <f>'[1]Processed Data'!L1115</f>
        <v>64</v>
      </c>
      <c r="M603">
        <f>'[1]Processed Data'!M1115</f>
        <v>273</v>
      </c>
      <c r="N603">
        <f>'[1]Processed Data'!N1115</f>
        <v>3</v>
      </c>
      <c r="O603">
        <f>'[1]Processed Data'!O1115</f>
        <v>6</v>
      </c>
      <c r="P603">
        <f>'[1]Processed Data'!P1115</f>
        <v>0</v>
      </c>
      <c r="Q603">
        <f>'[1]Processed Data'!Q1115</f>
        <v>16</v>
      </c>
    </row>
    <row r="604" spans="2:17" hidden="1">
      <c r="B604">
        <f>'[1]Processed Data'!B1116</f>
        <v>2014</v>
      </c>
      <c r="C604">
        <f>'[1]Processed Data'!C1116</f>
        <v>96</v>
      </c>
      <c r="D604" t="str">
        <f>'[1]Processed Data'!D1116</f>
        <v>Brandon Weeden</v>
      </c>
      <c r="E604">
        <f>Table1[[#This Row],[Year]]</f>
        <v>2014</v>
      </c>
      <c r="F604">
        <f>'[1]Processed Data'!F1116</f>
        <v>24</v>
      </c>
      <c r="G604">
        <f>'[1]Processed Data'!G1116</f>
        <v>41</v>
      </c>
      <c r="H604">
        <f>'[1]Processed Data'!H1116</f>
        <v>58.5</v>
      </c>
      <c r="I604">
        <f>'[1]Processed Data'!I1116</f>
        <v>3</v>
      </c>
      <c r="J604">
        <f>'[1]Processed Data'!J1116</f>
        <v>2</v>
      </c>
      <c r="K604">
        <f>'[1]Processed Data'!K1116</f>
        <v>1</v>
      </c>
      <c r="L604">
        <f>'[1]Processed Data'!L1116</f>
        <v>6</v>
      </c>
      <c r="M604">
        <f>'[1]Processed Data'!M1116</f>
        <v>-1</v>
      </c>
      <c r="N604">
        <f>'[1]Processed Data'!N1116</f>
        <v>0</v>
      </c>
      <c r="O604">
        <f>'[1]Processed Data'!O1116</f>
        <v>0</v>
      </c>
      <c r="P604">
        <f>'[1]Processed Data'!P1116</f>
        <v>0</v>
      </c>
      <c r="Q604">
        <f>'[1]Processed Data'!Q1116</f>
        <v>5</v>
      </c>
    </row>
    <row r="605" spans="2:17" hidden="1">
      <c r="B605">
        <f>'[1]Processed Data'!B1117</f>
        <v>2014</v>
      </c>
      <c r="C605">
        <f>'[1]Processed Data'!C1117</f>
        <v>97</v>
      </c>
      <c r="D605" t="str">
        <f>'[1]Processed Data'!D1117</f>
        <v>Brock Osweiler</v>
      </c>
      <c r="E605">
        <f>Table1[[#This Row],[Year]]</f>
        <v>2014</v>
      </c>
      <c r="F605">
        <f>'[1]Processed Data'!F1117</f>
        <v>4</v>
      </c>
      <c r="G605">
        <f>'[1]Processed Data'!G1117</f>
        <v>10</v>
      </c>
      <c r="H605">
        <f>'[1]Processed Data'!H1117</f>
        <v>40</v>
      </c>
      <c r="I605">
        <f>'[1]Processed Data'!I1117</f>
        <v>1</v>
      </c>
      <c r="J605">
        <f>'[1]Processed Data'!J1117</f>
        <v>0</v>
      </c>
      <c r="K605">
        <f>'[1]Processed Data'!K1117</f>
        <v>0</v>
      </c>
      <c r="L605">
        <f>'[1]Processed Data'!L1117</f>
        <v>8</v>
      </c>
      <c r="M605">
        <f>'[1]Processed Data'!M1117</f>
        <v>0</v>
      </c>
      <c r="N605">
        <f>'[1]Processed Data'!N1117</f>
        <v>0</v>
      </c>
      <c r="O605">
        <f>'[1]Processed Data'!O1117</f>
        <v>0</v>
      </c>
      <c r="P605">
        <f>'[1]Processed Data'!P1117</f>
        <v>0</v>
      </c>
      <c r="Q605">
        <f>'[1]Processed Data'!Q1117</f>
        <v>4</v>
      </c>
    </row>
    <row r="606" spans="2:17" hidden="1">
      <c r="B606">
        <f>'[1]Processed Data'!B1118</f>
        <v>2014</v>
      </c>
      <c r="C606">
        <f>'[1]Processed Data'!C1118</f>
        <v>98</v>
      </c>
      <c r="D606" t="str">
        <f>'[1]Processed Data'!D1118</f>
        <v>Ryan Lindley</v>
      </c>
      <c r="E606">
        <f>Table1[[#This Row],[Year]]</f>
        <v>2014</v>
      </c>
      <c r="F606">
        <f>'[1]Processed Data'!F1118</f>
        <v>45</v>
      </c>
      <c r="G606">
        <f>'[1]Processed Data'!G1118</f>
        <v>93</v>
      </c>
      <c r="H606">
        <f>'[1]Processed Data'!H1118</f>
        <v>48.4</v>
      </c>
      <c r="I606">
        <f>'[1]Processed Data'!I1118</f>
        <v>2</v>
      </c>
      <c r="J606">
        <f>'[1]Processed Data'!J1118</f>
        <v>4</v>
      </c>
      <c r="K606">
        <f>'[1]Processed Data'!K1118</f>
        <v>6</v>
      </c>
      <c r="L606">
        <f>'[1]Processed Data'!L1118</f>
        <v>0</v>
      </c>
      <c r="M606">
        <f>'[1]Processed Data'!M1118</f>
        <v>0</v>
      </c>
      <c r="N606">
        <f>'[1]Processed Data'!N1118</f>
        <v>0</v>
      </c>
      <c r="O606">
        <f>'[1]Processed Data'!O1118</f>
        <v>0</v>
      </c>
      <c r="P606">
        <f>'[1]Processed Data'!P1118</f>
        <v>0</v>
      </c>
      <c r="Q606">
        <f>'[1]Processed Data'!Q1118</f>
        <v>3</v>
      </c>
    </row>
    <row r="607" spans="2:17" hidden="1">
      <c r="B607">
        <f>'[1]Processed Data'!B1119</f>
        <v>2014</v>
      </c>
      <c r="C607">
        <f>'[1]Processed Data'!C1119</f>
        <v>99</v>
      </c>
      <c r="D607" t="str">
        <f>'[1]Processed Data'!D1119</f>
        <v>Derek Anderson</v>
      </c>
      <c r="E607">
        <f>Table1[[#This Row],[Year]]</f>
        <v>2014</v>
      </c>
      <c r="F607">
        <f>'[1]Processed Data'!F1119</f>
        <v>65</v>
      </c>
      <c r="G607">
        <f>'[1]Processed Data'!G1119</f>
        <v>97</v>
      </c>
      <c r="H607">
        <f>'[1]Processed Data'!H1119</f>
        <v>67</v>
      </c>
      <c r="I607">
        <f>'[1]Processed Data'!I1119</f>
        <v>5</v>
      </c>
      <c r="J607">
        <f>'[1]Processed Data'!J1119</f>
        <v>0</v>
      </c>
      <c r="K607">
        <f>'[1]Processed Data'!K1119</f>
        <v>4</v>
      </c>
      <c r="L607">
        <f>'[1]Processed Data'!L1119</f>
        <v>8</v>
      </c>
      <c r="M607">
        <f>'[1]Processed Data'!M1119</f>
        <v>24</v>
      </c>
      <c r="N607">
        <f>'[1]Processed Data'!N1119</f>
        <v>0</v>
      </c>
      <c r="O607">
        <f>'[1]Processed Data'!O1119</f>
        <v>0</v>
      </c>
      <c r="P607">
        <f>'[1]Processed Data'!P1119</f>
        <v>0</v>
      </c>
      <c r="Q607">
        <f>'[1]Processed Data'!Q1119</f>
        <v>6</v>
      </c>
    </row>
    <row r="608" spans="2:17" hidden="1">
      <c r="B608">
        <f>'[1]Processed Data'!B1120</f>
        <v>2014</v>
      </c>
      <c r="C608">
        <f>'[1]Processed Data'!C1120</f>
        <v>100</v>
      </c>
      <c r="D608" t="str">
        <f>'[1]Processed Data'!D1120</f>
        <v>Eli Manning</v>
      </c>
      <c r="E608">
        <f>Table1[[#This Row],[Year]]</f>
        <v>2014</v>
      </c>
      <c r="F608">
        <f>'[1]Processed Data'!F1120</f>
        <v>379</v>
      </c>
      <c r="G608">
        <f>'[1]Processed Data'!G1120</f>
        <v>601</v>
      </c>
      <c r="H608">
        <f>'[1]Processed Data'!H1120</f>
        <v>63.1</v>
      </c>
      <c r="I608">
        <f>'[1]Processed Data'!I1120</f>
        <v>30</v>
      </c>
      <c r="J608">
        <f>'[1]Processed Data'!J1120</f>
        <v>14</v>
      </c>
      <c r="K608">
        <f>'[1]Processed Data'!K1120</f>
        <v>28</v>
      </c>
      <c r="L608">
        <f>'[1]Processed Data'!L1120</f>
        <v>12</v>
      </c>
      <c r="M608">
        <f>'[1]Processed Data'!M1120</f>
        <v>31</v>
      </c>
      <c r="N608">
        <f>'[1]Processed Data'!N1120</f>
        <v>1</v>
      </c>
      <c r="O608">
        <f>'[1]Processed Data'!O1120</f>
        <v>4</v>
      </c>
      <c r="P608">
        <f>'[1]Processed Data'!P1120</f>
        <v>0</v>
      </c>
      <c r="Q608">
        <f>'[1]Processed Data'!Q1120</f>
        <v>16</v>
      </c>
    </row>
    <row r="609" spans="2:17" hidden="1">
      <c r="B609">
        <f>'[1]Processed Data'!B1121</f>
        <v>2014</v>
      </c>
      <c r="C609">
        <f>'[1]Processed Data'!C1121</f>
        <v>101</v>
      </c>
      <c r="D609" t="str">
        <f>'[1]Processed Data'!D1121</f>
        <v>Jason Campbell</v>
      </c>
      <c r="E609">
        <f>Table1[[#This Row],[Year]]</f>
        <v>2014</v>
      </c>
      <c r="F609">
        <f>'[1]Processed Data'!F1121</f>
        <v>11</v>
      </c>
      <c r="G609">
        <f>'[1]Processed Data'!G1121</f>
        <v>19</v>
      </c>
      <c r="H609">
        <f>'[1]Processed Data'!H1121</f>
        <v>57.9</v>
      </c>
      <c r="I609">
        <f>'[1]Processed Data'!I1121</f>
        <v>0</v>
      </c>
      <c r="J609">
        <f>'[1]Processed Data'!J1121</f>
        <v>0</v>
      </c>
      <c r="K609">
        <f>'[1]Processed Data'!K1121</f>
        <v>1</v>
      </c>
      <c r="L609">
        <f>'[1]Processed Data'!L1121</f>
        <v>1</v>
      </c>
      <c r="M609">
        <f>'[1]Processed Data'!M1121</f>
        <v>1</v>
      </c>
      <c r="N609">
        <f>'[1]Processed Data'!N1121</f>
        <v>0</v>
      </c>
      <c r="O609">
        <f>'[1]Processed Data'!O1121</f>
        <v>1</v>
      </c>
      <c r="P609">
        <f>'[1]Processed Data'!P1121</f>
        <v>0</v>
      </c>
      <c r="Q609">
        <f>'[1]Processed Data'!Q1121</f>
        <v>4</v>
      </c>
    </row>
    <row r="610" spans="2:17" hidden="1">
      <c r="B610">
        <f>'[1]Processed Data'!B1122</f>
        <v>2014</v>
      </c>
      <c r="C610">
        <f>'[1]Processed Data'!C1122</f>
        <v>102</v>
      </c>
      <c r="D610" t="str">
        <f>'[1]Processed Data'!D1122</f>
        <v>Jay Cutler</v>
      </c>
      <c r="E610">
        <f>Table1[[#This Row],[Year]]</f>
        <v>2014</v>
      </c>
      <c r="F610">
        <f>'[1]Processed Data'!F1122</f>
        <v>370</v>
      </c>
      <c r="G610">
        <f>'[1]Processed Data'!G1122</f>
        <v>561</v>
      </c>
      <c r="H610">
        <f>'[1]Processed Data'!H1122</f>
        <v>66</v>
      </c>
      <c r="I610">
        <f>'[1]Processed Data'!I1122</f>
        <v>28</v>
      </c>
      <c r="J610">
        <f>'[1]Processed Data'!J1122</f>
        <v>18</v>
      </c>
      <c r="K610">
        <f>'[1]Processed Data'!K1122</f>
        <v>38</v>
      </c>
      <c r="L610">
        <f>'[1]Processed Data'!L1122</f>
        <v>39</v>
      </c>
      <c r="M610">
        <f>'[1]Processed Data'!M1122</f>
        <v>191</v>
      </c>
      <c r="N610">
        <f>'[1]Processed Data'!N1122</f>
        <v>2</v>
      </c>
      <c r="O610">
        <f>'[1]Processed Data'!O1122</f>
        <v>6</v>
      </c>
      <c r="P610">
        <f>'[1]Processed Data'!P1122</f>
        <v>0</v>
      </c>
      <c r="Q610">
        <f>'[1]Processed Data'!Q1122</f>
        <v>15</v>
      </c>
    </row>
    <row r="611" spans="2:17" hidden="1">
      <c r="B611">
        <f>'[1]Processed Data'!B1126</f>
        <v>2014</v>
      </c>
      <c r="C611">
        <f>'[1]Processed Data'!C1126</f>
        <v>106</v>
      </c>
      <c r="D611" t="str">
        <f>'[1]Processed Data'!D1126</f>
        <v>Bruce Gradkowski</v>
      </c>
      <c r="E611">
        <f>Table1[[#This Row],[Year]]</f>
        <v>2014</v>
      </c>
      <c r="F611">
        <f>'[1]Processed Data'!F1126</f>
        <v>0</v>
      </c>
      <c r="G611">
        <f>'[1]Processed Data'!G1126</f>
        <v>0</v>
      </c>
      <c r="H611">
        <f>'[1]Processed Data'!H1126</f>
        <v>0</v>
      </c>
      <c r="I611">
        <f>'[1]Processed Data'!I1126</f>
        <v>0</v>
      </c>
      <c r="J611">
        <f>'[1]Processed Data'!J1126</f>
        <v>0</v>
      </c>
      <c r="K611">
        <f>'[1]Processed Data'!K1126</f>
        <v>0</v>
      </c>
      <c r="L611">
        <f>'[1]Processed Data'!L1126</f>
        <v>2</v>
      </c>
      <c r="M611">
        <f>'[1]Processed Data'!M1126</f>
        <v>-2</v>
      </c>
      <c r="N611">
        <f>'[1]Processed Data'!N1126</f>
        <v>0</v>
      </c>
      <c r="O611">
        <f>'[1]Processed Data'!O1126</f>
        <v>0</v>
      </c>
      <c r="P611">
        <f>'[1]Processed Data'!P1126</f>
        <v>0</v>
      </c>
      <c r="Q611">
        <f>'[1]Processed Data'!Q1126</f>
        <v>1</v>
      </c>
    </row>
    <row r="612" spans="2:17" hidden="1">
      <c r="B612">
        <f>'[1]Processed Data'!B1127</f>
        <v>2014</v>
      </c>
      <c r="C612">
        <f>'[1]Processed Data'!C1127</f>
        <v>107</v>
      </c>
      <c r="D612" t="str">
        <f>'[1]Processed Data'!D1127</f>
        <v>Carson Palmer</v>
      </c>
      <c r="E612">
        <f>Table1[[#This Row],[Year]]</f>
        <v>2014</v>
      </c>
      <c r="F612">
        <f>'[1]Processed Data'!F1127</f>
        <v>141</v>
      </c>
      <c r="G612">
        <f>'[1]Processed Data'!G1127</f>
        <v>224</v>
      </c>
      <c r="H612">
        <f>'[1]Processed Data'!H1127</f>
        <v>62.9</v>
      </c>
      <c r="I612">
        <f>'[1]Processed Data'!I1127</f>
        <v>11</v>
      </c>
      <c r="J612">
        <f>'[1]Processed Data'!J1127</f>
        <v>3</v>
      </c>
      <c r="K612">
        <f>'[1]Processed Data'!K1127</f>
        <v>9</v>
      </c>
      <c r="L612">
        <f>'[1]Processed Data'!L1127</f>
        <v>8</v>
      </c>
      <c r="M612">
        <f>'[1]Processed Data'!M1127</f>
        <v>25</v>
      </c>
      <c r="N612">
        <f>'[1]Processed Data'!N1127</f>
        <v>0</v>
      </c>
      <c r="O612">
        <f>'[1]Processed Data'!O1127</f>
        <v>1</v>
      </c>
      <c r="P612">
        <f>'[1]Processed Data'!P1127</f>
        <v>0</v>
      </c>
      <c r="Q612">
        <f>'[1]Processed Data'!Q1127</f>
        <v>6</v>
      </c>
    </row>
    <row r="613" spans="2:17" hidden="1">
      <c r="B613">
        <f>'[1]Processed Data'!B1129</f>
        <v>2014</v>
      </c>
      <c r="C613">
        <f>'[1]Processed Data'!C1129</f>
        <v>109</v>
      </c>
      <c r="D613" t="str">
        <f>'[1]Processed Data'!D1129</f>
        <v>Kellen Clemens</v>
      </c>
      <c r="E613">
        <f>Table1[[#This Row],[Year]]</f>
        <v>2014</v>
      </c>
      <c r="F613">
        <f>'[1]Processed Data'!F1129</f>
        <v>1</v>
      </c>
      <c r="G613">
        <f>'[1]Processed Data'!G1129</f>
        <v>3</v>
      </c>
      <c r="H613">
        <f>'[1]Processed Data'!H1129</f>
        <v>33.299999999999997</v>
      </c>
      <c r="I613">
        <f>'[1]Processed Data'!I1129</f>
        <v>0</v>
      </c>
      <c r="J613">
        <f>'[1]Processed Data'!J1129</f>
        <v>0</v>
      </c>
      <c r="K613">
        <f>'[1]Processed Data'!K1129</f>
        <v>1</v>
      </c>
      <c r="L613">
        <f>'[1]Processed Data'!L1129</f>
        <v>0</v>
      </c>
      <c r="M613">
        <f>'[1]Processed Data'!M1129</f>
        <v>0</v>
      </c>
      <c r="N613">
        <f>'[1]Processed Data'!N1129</f>
        <v>0</v>
      </c>
      <c r="O613">
        <f>'[1]Processed Data'!O1129</f>
        <v>0</v>
      </c>
      <c r="P613">
        <f>'[1]Processed Data'!P1129</f>
        <v>0</v>
      </c>
      <c r="Q613">
        <f>'[1]Processed Data'!Q1129</f>
        <v>2</v>
      </c>
    </row>
    <row r="614" spans="2:17" hidden="1">
      <c r="B614">
        <f>'[1]Processed Data'!B1130</f>
        <v>2014</v>
      </c>
      <c r="C614">
        <f>'[1]Processed Data'!C1130</f>
        <v>110</v>
      </c>
      <c r="D614" t="str">
        <f>'[1]Processed Data'!D1130</f>
        <v>Shaun Hill</v>
      </c>
      <c r="E614">
        <f>Table1[[#This Row],[Year]]</f>
        <v>2014</v>
      </c>
      <c r="F614">
        <f>'[1]Processed Data'!F1130</f>
        <v>145</v>
      </c>
      <c r="G614">
        <f>'[1]Processed Data'!G1130</f>
        <v>229</v>
      </c>
      <c r="H614">
        <f>'[1]Processed Data'!H1130</f>
        <v>63.3</v>
      </c>
      <c r="I614">
        <f>'[1]Processed Data'!I1130</f>
        <v>8</v>
      </c>
      <c r="J614">
        <f>'[1]Processed Data'!J1130</f>
        <v>7</v>
      </c>
      <c r="K614">
        <f>'[1]Processed Data'!K1130</f>
        <v>18</v>
      </c>
      <c r="L614">
        <f>'[1]Processed Data'!L1130</f>
        <v>10</v>
      </c>
      <c r="M614">
        <f>'[1]Processed Data'!M1130</f>
        <v>10</v>
      </c>
      <c r="N614">
        <f>'[1]Processed Data'!N1130</f>
        <v>1</v>
      </c>
      <c r="O614">
        <f>'[1]Processed Data'!O1130</f>
        <v>1</v>
      </c>
      <c r="P614">
        <f>'[1]Processed Data'!P1130</f>
        <v>0</v>
      </c>
      <c r="Q614">
        <f>'[1]Processed Data'!Q1130</f>
        <v>9</v>
      </c>
    </row>
    <row r="615" spans="2:17" hidden="1">
      <c r="B615">
        <f>'[1]Processed Data'!B1131</f>
        <v>2014</v>
      </c>
      <c r="C615">
        <f>'[1]Processed Data'!C1131</f>
        <v>111</v>
      </c>
      <c r="D615" t="str">
        <f>'[1]Processed Data'!D1131</f>
        <v>Tarvaris Jackson</v>
      </c>
      <c r="E615">
        <f>Table1[[#This Row],[Year]]</f>
        <v>2014</v>
      </c>
      <c r="F615">
        <f>'[1]Processed Data'!F1131</f>
        <v>1</v>
      </c>
      <c r="G615">
        <f>'[1]Processed Data'!G1131</f>
        <v>1</v>
      </c>
      <c r="H615">
        <f>'[1]Processed Data'!H1131</f>
        <v>100</v>
      </c>
      <c r="I615">
        <f>'[1]Processed Data'!I1131</f>
        <v>0</v>
      </c>
      <c r="J615">
        <f>'[1]Processed Data'!J1131</f>
        <v>0</v>
      </c>
      <c r="K615">
        <f>'[1]Processed Data'!K1131</f>
        <v>0</v>
      </c>
      <c r="L615">
        <f>'[1]Processed Data'!L1131</f>
        <v>0</v>
      </c>
      <c r="M615">
        <f>'[1]Processed Data'!M1131</f>
        <v>0</v>
      </c>
      <c r="N615">
        <f>'[1]Processed Data'!N1131</f>
        <v>0</v>
      </c>
      <c r="O615">
        <f>'[1]Processed Data'!O1131</f>
        <v>0</v>
      </c>
      <c r="P615">
        <f>'[1]Processed Data'!P1131</f>
        <v>0</v>
      </c>
      <c r="Q615">
        <f>'[1]Processed Data'!Q1131</f>
        <v>1</v>
      </c>
    </row>
    <row r="616" spans="2:17" hidden="1">
      <c r="B616">
        <f>'[1]Processed Data'!B1132</f>
        <v>2014</v>
      </c>
      <c r="C616">
        <f>'[1]Processed Data'!C1132</f>
        <v>112</v>
      </c>
      <c r="D616" t="str">
        <f>'[1]Processed Data'!D1132</f>
        <v>Tony Romo</v>
      </c>
      <c r="E616">
        <f>Table1[[#This Row],[Year]]</f>
        <v>2014</v>
      </c>
      <c r="F616">
        <f>'[1]Processed Data'!F1132</f>
        <v>304</v>
      </c>
      <c r="G616">
        <f>'[1]Processed Data'!G1132</f>
        <v>435</v>
      </c>
      <c r="H616">
        <f>'[1]Processed Data'!H1132</f>
        <v>69.900000000000006</v>
      </c>
      <c r="I616">
        <f>'[1]Processed Data'!I1132</f>
        <v>34</v>
      </c>
      <c r="J616">
        <f>'[1]Processed Data'!J1132</f>
        <v>9</v>
      </c>
      <c r="K616">
        <f>'[1]Processed Data'!K1132</f>
        <v>29</v>
      </c>
      <c r="L616">
        <f>'[1]Processed Data'!L1132</f>
        <v>26</v>
      </c>
      <c r="M616">
        <f>'[1]Processed Data'!M1132</f>
        <v>61</v>
      </c>
      <c r="N616">
        <f>'[1]Processed Data'!N1132</f>
        <v>0</v>
      </c>
      <c r="O616">
        <f>'[1]Processed Data'!O1132</f>
        <v>3</v>
      </c>
      <c r="P616">
        <f>'[1]Processed Data'!P1132</f>
        <v>0</v>
      </c>
      <c r="Q616">
        <f>'[1]Processed Data'!Q1132</f>
        <v>15</v>
      </c>
    </row>
    <row r="617" spans="2:17" hidden="1">
      <c r="B617">
        <f>'[1]Processed Data'!B1133</f>
        <v>2014</v>
      </c>
      <c r="C617">
        <f>'[1]Processed Data'!C1133</f>
        <v>113</v>
      </c>
      <c r="D617" t="str">
        <f>'[1]Processed Data'!D1133</f>
        <v>Philip Rivers</v>
      </c>
      <c r="E617">
        <f>Table1[[#This Row],[Year]]</f>
        <v>2014</v>
      </c>
      <c r="F617">
        <f>'[1]Processed Data'!F1133</f>
        <v>379</v>
      </c>
      <c r="G617">
        <f>'[1]Processed Data'!G1133</f>
        <v>570</v>
      </c>
      <c r="H617">
        <f>'[1]Processed Data'!H1133</f>
        <v>66.5</v>
      </c>
      <c r="I617">
        <f>'[1]Processed Data'!I1133</f>
        <v>31</v>
      </c>
      <c r="J617">
        <f>'[1]Processed Data'!J1133</f>
        <v>18</v>
      </c>
      <c r="K617">
        <f>'[1]Processed Data'!K1133</f>
        <v>36</v>
      </c>
      <c r="L617">
        <f>'[1]Processed Data'!L1133</f>
        <v>37</v>
      </c>
      <c r="M617">
        <f>'[1]Processed Data'!M1133</f>
        <v>102</v>
      </c>
      <c r="N617">
        <f>'[1]Processed Data'!N1133</f>
        <v>0</v>
      </c>
      <c r="O617">
        <f>'[1]Processed Data'!O1133</f>
        <v>2</v>
      </c>
      <c r="P617">
        <f>'[1]Processed Data'!P1133</f>
        <v>0</v>
      </c>
      <c r="Q617">
        <f>'[1]Processed Data'!Q1133</f>
        <v>16</v>
      </c>
    </row>
    <row r="618" spans="2:17" hidden="1">
      <c r="B618">
        <f>'[1]Processed Data'!B1134</f>
        <v>2014</v>
      </c>
      <c r="C618">
        <f>'[1]Processed Data'!C1134</f>
        <v>114</v>
      </c>
      <c r="D618" t="str">
        <f>'[1]Processed Data'!D1134</f>
        <v>Jimmy Clausen</v>
      </c>
      <c r="E618">
        <f>Table1[[#This Row],[Year]]</f>
        <v>2014</v>
      </c>
      <c r="F618">
        <f>'[1]Processed Data'!F1134</f>
        <v>26</v>
      </c>
      <c r="G618">
        <f>'[1]Processed Data'!G1134</f>
        <v>48</v>
      </c>
      <c r="H618">
        <f>'[1]Processed Data'!H1134</f>
        <v>54.2</v>
      </c>
      <c r="I618">
        <f>'[1]Processed Data'!I1134</f>
        <v>2</v>
      </c>
      <c r="J618">
        <f>'[1]Processed Data'!J1134</f>
        <v>1</v>
      </c>
      <c r="K618">
        <f>'[1]Processed Data'!K1134</f>
        <v>3</v>
      </c>
      <c r="L618">
        <f>'[1]Processed Data'!L1134</f>
        <v>3</v>
      </c>
      <c r="M618">
        <f>'[1]Processed Data'!M1134</f>
        <v>9</v>
      </c>
      <c r="N618">
        <f>'[1]Processed Data'!N1134</f>
        <v>0</v>
      </c>
      <c r="O618">
        <f>'[1]Processed Data'!O1134</f>
        <v>0</v>
      </c>
      <c r="P618">
        <f>'[1]Processed Data'!P1134</f>
        <v>0</v>
      </c>
      <c r="Q618">
        <f>'[1]Processed Data'!Q1134</f>
        <v>4</v>
      </c>
    </row>
    <row r="619" spans="2:17" hidden="1">
      <c r="B619">
        <f>'[1]Processed Data'!B1135</f>
        <v>2014</v>
      </c>
      <c r="C619">
        <f>'[1]Processed Data'!C1135</f>
        <v>115</v>
      </c>
      <c r="D619" t="str">
        <f>'[1]Processed Data'!D1135</f>
        <v>Charlie Whitehurst</v>
      </c>
      <c r="E619">
        <f>Table1[[#This Row],[Year]]</f>
        <v>2014</v>
      </c>
      <c r="F619">
        <f>'[1]Processed Data'!F1135</f>
        <v>105</v>
      </c>
      <c r="G619">
        <f>'[1]Processed Data'!G1135</f>
        <v>185</v>
      </c>
      <c r="H619">
        <f>'[1]Processed Data'!H1135</f>
        <v>56.8</v>
      </c>
      <c r="I619">
        <f>'[1]Processed Data'!I1135</f>
        <v>7</v>
      </c>
      <c r="J619">
        <f>'[1]Processed Data'!J1135</f>
        <v>2</v>
      </c>
      <c r="K619">
        <f>'[1]Processed Data'!K1135</f>
        <v>18</v>
      </c>
      <c r="L619">
        <f>'[1]Processed Data'!L1135</f>
        <v>20</v>
      </c>
      <c r="M619">
        <f>'[1]Processed Data'!M1135</f>
        <v>90</v>
      </c>
      <c r="N619">
        <f>'[1]Processed Data'!N1135</f>
        <v>0</v>
      </c>
      <c r="O619">
        <f>'[1]Processed Data'!O1135</f>
        <v>0</v>
      </c>
      <c r="P619">
        <f>'[1]Processed Data'!P1135</f>
        <v>0</v>
      </c>
      <c r="Q619">
        <f>'[1]Processed Data'!Q1135</f>
        <v>7</v>
      </c>
    </row>
    <row r="620" spans="2:17" hidden="1">
      <c r="B620">
        <f>'[1]Processed Data'!B1136</f>
        <v>2014</v>
      </c>
      <c r="C620">
        <f>'[1]Processed Data'!C1136</f>
        <v>116</v>
      </c>
      <c r="D620" t="str">
        <f>'[1]Processed Data'!D1136</f>
        <v>Peyton Manning</v>
      </c>
      <c r="E620">
        <f>Table1[[#This Row],[Year]]</f>
        <v>2014</v>
      </c>
      <c r="F620">
        <f>'[1]Processed Data'!F1136</f>
        <v>395</v>
      </c>
      <c r="G620">
        <f>'[1]Processed Data'!G1136</f>
        <v>597</v>
      </c>
      <c r="H620">
        <f>'[1]Processed Data'!H1136</f>
        <v>66.2</v>
      </c>
      <c r="I620">
        <f>'[1]Processed Data'!I1136</f>
        <v>39</v>
      </c>
      <c r="J620">
        <f>'[1]Processed Data'!J1136</f>
        <v>15</v>
      </c>
      <c r="K620">
        <f>'[1]Processed Data'!K1136</f>
        <v>17</v>
      </c>
      <c r="L620">
        <f>'[1]Processed Data'!L1136</f>
        <v>24</v>
      </c>
      <c r="M620">
        <f>'[1]Processed Data'!M1136</f>
        <v>-24</v>
      </c>
      <c r="N620">
        <f>'[1]Processed Data'!N1136</f>
        <v>0</v>
      </c>
      <c r="O620">
        <f>'[1]Processed Data'!O1136</f>
        <v>2</v>
      </c>
      <c r="P620">
        <f>'[1]Processed Data'!P1136</f>
        <v>0</v>
      </c>
      <c r="Q620">
        <f>'[1]Processed Data'!Q1136</f>
        <v>16</v>
      </c>
    </row>
    <row r="621" spans="2:17" hidden="1">
      <c r="B621">
        <f>'[1]Processed Data'!B1137</f>
        <v>2014</v>
      </c>
      <c r="C621">
        <f>'[1]Processed Data'!C1137</f>
        <v>117</v>
      </c>
      <c r="D621" t="str">
        <f>'[1]Processed Data'!D1137</f>
        <v>Kyle Orton</v>
      </c>
      <c r="E621">
        <f>Table1[[#This Row],[Year]]</f>
        <v>2014</v>
      </c>
      <c r="F621">
        <f>'[1]Processed Data'!F1137</f>
        <v>287</v>
      </c>
      <c r="G621">
        <f>'[1]Processed Data'!G1137</f>
        <v>447</v>
      </c>
      <c r="H621">
        <f>'[1]Processed Data'!H1137</f>
        <v>64.2</v>
      </c>
      <c r="I621">
        <f>'[1]Processed Data'!I1137</f>
        <v>18</v>
      </c>
      <c r="J621">
        <f>'[1]Processed Data'!J1137</f>
        <v>10</v>
      </c>
      <c r="K621">
        <f>'[1]Processed Data'!K1137</f>
        <v>33</v>
      </c>
      <c r="L621">
        <f>'[1]Processed Data'!L1137</f>
        <v>15</v>
      </c>
      <c r="M621">
        <f>'[1]Processed Data'!M1137</f>
        <v>14</v>
      </c>
      <c r="N621">
        <f>'[1]Processed Data'!N1137</f>
        <v>1</v>
      </c>
      <c r="O621">
        <f>'[1]Processed Data'!O1137</f>
        <v>3</v>
      </c>
      <c r="P621">
        <f>'[1]Processed Data'!P1137</f>
        <v>0</v>
      </c>
      <c r="Q621">
        <f>'[1]Processed Data'!Q1137</f>
        <v>12</v>
      </c>
    </row>
    <row r="622" spans="2:17" hidden="1">
      <c r="B622">
        <f>'[1]Processed Data'!B1138</f>
        <v>2014</v>
      </c>
      <c r="C622">
        <f>'[1]Processed Data'!C1138</f>
        <v>118</v>
      </c>
      <c r="D622" t="str">
        <f>'[1]Processed Data'!D1138</f>
        <v>Luke McCown</v>
      </c>
      <c r="E622">
        <f>Table1[[#This Row],[Year]]</f>
        <v>2014</v>
      </c>
      <c r="F622">
        <f>'[1]Processed Data'!F1138</f>
        <v>0</v>
      </c>
      <c r="G622">
        <f>'[1]Processed Data'!G1138</f>
        <v>0</v>
      </c>
      <c r="H622">
        <f>'[1]Processed Data'!H1138</f>
        <v>0</v>
      </c>
      <c r="I622">
        <f>'[1]Processed Data'!I1138</f>
        <v>0</v>
      </c>
      <c r="J622">
        <f>'[1]Processed Data'!J1138</f>
        <v>0</v>
      </c>
      <c r="K622">
        <f>'[1]Processed Data'!K1138</f>
        <v>0</v>
      </c>
      <c r="L622">
        <f>'[1]Processed Data'!L1138</f>
        <v>0</v>
      </c>
      <c r="M622">
        <f>'[1]Processed Data'!M1138</f>
        <v>0</v>
      </c>
      <c r="N622">
        <f>'[1]Processed Data'!N1138</f>
        <v>0</v>
      </c>
      <c r="O622">
        <f>'[1]Processed Data'!O1138</f>
        <v>0</v>
      </c>
      <c r="P622">
        <f>'[1]Processed Data'!P1138</f>
        <v>0</v>
      </c>
      <c r="Q622">
        <f>'[1]Processed Data'!Q1138</f>
        <v>16</v>
      </c>
    </row>
    <row r="623" spans="2:17" hidden="1">
      <c r="B623">
        <f>'[1]Processed Data'!B1139</f>
        <v>2014</v>
      </c>
      <c r="C623">
        <f>'[1]Processed Data'!C1139</f>
        <v>119</v>
      </c>
      <c r="D623" t="str">
        <f>'[1]Processed Data'!D1139</f>
        <v>Mark Sanchez</v>
      </c>
      <c r="E623">
        <f>Table1[[#This Row],[Year]]</f>
        <v>2014</v>
      </c>
      <c r="F623">
        <f>'[1]Processed Data'!F1139</f>
        <v>198</v>
      </c>
      <c r="G623">
        <f>'[1]Processed Data'!G1139</f>
        <v>309</v>
      </c>
      <c r="H623">
        <f>'[1]Processed Data'!H1139</f>
        <v>64.099999999999994</v>
      </c>
      <c r="I623">
        <f>'[1]Processed Data'!I1139</f>
        <v>14</v>
      </c>
      <c r="J623">
        <f>'[1]Processed Data'!J1139</f>
        <v>11</v>
      </c>
      <c r="K623">
        <f>'[1]Processed Data'!K1139</f>
        <v>23</v>
      </c>
      <c r="L623">
        <f>'[1]Processed Data'!L1139</f>
        <v>34</v>
      </c>
      <c r="M623">
        <f>'[1]Processed Data'!M1139</f>
        <v>87</v>
      </c>
      <c r="N623">
        <f>'[1]Processed Data'!N1139</f>
        <v>1</v>
      </c>
      <c r="O623">
        <f>'[1]Processed Data'!O1139</f>
        <v>3</v>
      </c>
      <c r="P623">
        <f>'[1]Processed Data'!P1139</f>
        <v>0</v>
      </c>
      <c r="Q623">
        <f>'[1]Processed Data'!Q1139</f>
        <v>9</v>
      </c>
    </row>
    <row r="624" spans="2:17" hidden="1">
      <c r="B624">
        <f>'[1]Processed Data'!B1140</f>
        <v>2014</v>
      </c>
      <c r="C624">
        <f>'[1]Processed Data'!C1140</f>
        <v>120</v>
      </c>
      <c r="D624" t="str">
        <f>'[1]Processed Data'!D1140</f>
        <v>Matt Cassel</v>
      </c>
      <c r="E624">
        <f>Table1[[#This Row],[Year]]</f>
        <v>2014</v>
      </c>
      <c r="F624">
        <f>'[1]Processed Data'!F1140</f>
        <v>41</v>
      </c>
      <c r="G624">
        <f>'[1]Processed Data'!G1140</f>
        <v>71</v>
      </c>
      <c r="H624">
        <f>'[1]Processed Data'!H1140</f>
        <v>57.7</v>
      </c>
      <c r="I624">
        <f>'[1]Processed Data'!I1140</f>
        <v>3</v>
      </c>
      <c r="J624">
        <f>'[1]Processed Data'!J1140</f>
        <v>4</v>
      </c>
      <c r="K624">
        <f>'[1]Processed Data'!K1140</f>
        <v>6</v>
      </c>
      <c r="L624">
        <f>'[1]Processed Data'!L1140</f>
        <v>9</v>
      </c>
      <c r="M624">
        <f>'[1]Processed Data'!M1140</f>
        <v>18</v>
      </c>
      <c r="N624">
        <f>'[1]Processed Data'!N1140</f>
        <v>0</v>
      </c>
      <c r="O624">
        <f>'[1]Processed Data'!O1140</f>
        <v>0</v>
      </c>
      <c r="P624">
        <f>'[1]Processed Data'!P1140</f>
        <v>0</v>
      </c>
      <c r="Q624">
        <f>'[1]Processed Data'!Q1140</f>
        <v>3</v>
      </c>
    </row>
    <row r="625" spans="2:17" hidden="1">
      <c r="B625">
        <f>'[1]Processed Data'!B1141</f>
        <v>2014</v>
      </c>
      <c r="C625">
        <f>'[1]Processed Data'!C1141</f>
        <v>121</v>
      </c>
      <c r="D625" t="str">
        <f>'[1]Processed Data'!D1141</f>
        <v>Matt Flynn</v>
      </c>
      <c r="E625">
        <f>Table1[[#This Row],[Year]]</f>
        <v>2014</v>
      </c>
      <c r="F625">
        <f>'[1]Processed Data'!F1141</f>
        <v>8</v>
      </c>
      <c r="G625">
        <f>'[1]Processed Data'!G1141</f>
        <v>16</v>
      </c>
      <c r="H625">
        <f>'[1]Processed Data'!H1141</f>
        <v>50</v>
      </c>
      <c r="I625">
        <f>'[1]Processed Data'!I1141</f>
        <v>0</v>
      </c>
      <c r="J625">
        <f>'[1]Processed Data'!J1141</f>
        <v>1</v>
      </c>
      <c r="K625">
        <f>'[1]Processed Data'!K1141</f>
        <v>2</v>
      </c>
      <c r="L625">
        <f>'[1]Processed Data'!L1141</f>
        <v>10</v>
      </c>
      <c r="M625">
        <f>'[1]Processed Data'!M1141</f>
        <v>-10</v>
      </c>
      <c r="N625">
        <f>'[1]Processed Data'!N1141</f>
        <v>0</v>
      </c>
      <c r="O625">
        <f>'[1]Processed Data'!O1141</f>
        <v>1</v>
      </c>
      <c r="P625">
        <f>'[1]Processed Data'!P1141</f>
        <v>0</v>
      </c>
      <c r="Q625">
        <f>'[1]Processed Data'!Q1141</f>
        <v>7</v>
      </c>
    </row>
    <row r="626" spans="2:17" hidden="1">
      <c r="B626">
        <f>'[1]Processed Data'!B1142</f>
        <v>2014</v>
      </c>
      <c r="C626">
        <f>'[1]Processed Data'!C1142</f>
        <v>122</v>
      </c>
      <c r="D626" t="str">
        <f>'[1]Processed Data'!D1142</f>
        <v>Matt Hasselbeck</v>
      </c>
      <c r="E626">
        <f>Table1[[#This Row],[Year]]</f>
        <v>2014</v>
      </c>
      <c r="F626">
        <f>'[1]Processed Data'!F1142</f>
        <v>30</v>
      </c>
      <c r="G626">
        <f>'[1]Processed Data'!G1142</f>
        <v>44</v>
      </c>
      <c r="H626">
        <f>'[1]Processed Data'!H1142</f>
        <v>68.2</v>
      </c>
      <c r="I626">
        <f>'[1]Processed Data'!I1142</f>
        <v>2</v>
      </c>
      <c r="J626">
        <f>'[1]Processed Data'!J1142</f>
        <v>0</v>
      </c>
      <c r="K626">
        <f>'[1]Processed Data'!K1142</f>
        <v>2</v>
      </c>
      <c r="L626">
        <f>'[1]Processed Data'!L1142</f>
        <v>8</v>
      </c>
      <c r="M626">
        <f>'[1]Processed Data'!M1142</f>
        <v>-11</v>
      </c>
      <c r="N626">
        <f>'[1]Processed Data'!N1142</f>
        <v>0</v>
      </c>
      <c r="O626">
        <f>'[1]Processed Data'!O1142</f>
        <v>1</v>
      </c>
      <c r="P626">
        <f>'[1]Processed Data'!P1142</f>
        <v>0</v>
      </c>
      <c r="Q626">
        <f>'[1]Processed Data'!Q1142</f>
        <v>4</v>
      </c>
    </row>
    <row r="627" spans="2:17" hidden="1">
      <c r="B627">
        <f>'[1]Processed Data'!B1143</f>
        <v>2014</v>
      </c>
      <c r="C627">
        <f>'[1]Processed Data'!C1143</f>
        <v>123</v>
      </c>
      <c r="D627" t="str">
        <f>'[1]Processed Data'!D1143</f>
        <v>Matt Schaub</v>
      </c>
      <c r="E627">
        <f>Table1[[#This Row],[Year]]</f>
        <v>2014</v>
      </c>
      <c r="F627">
        <f>'[1]Processed Data'!F1143</f>
        <v>5</v>
      </c>
      <c r="G627">
        <f>'[1]Processed Data'!G1143</f>
        <v>10</v>
      </c>
      <c r="H627">
        <f>'[1]Processed Data'!H1143</f>
        <v>50</v>
      </c>
      <c r="I627">
        <f>'[1]Processed Data'!I1143</f>
        <v>0</v>
      </c>
      <c r="J627">
        <f>'[1]Processed Data'!J1143</f>
        <v>2</v>
      </c>
      <c r="K627">
        <f>'[1]Processed Data'!K1143</f>
        <v>3</v>
      </c>
      <c r="L627">
        <f>'[1]Processed Data'!L1143</f>
        <v>0</v>
      </c>
      <c r="M627">
        <f>'[1]Processed Data'!M1143</f>
        <v>0</v>
      </c>
      <c r="N627">
        <f>'[1]Processed Data'!N1143</f>
        <v>0</v>
      </c>
      <c r="O627">
        <f>'[1]Processed Data'!O1143</f>
        <v>1</v>
      </c>
      <c r="P627">
        <f>'[1]Processed Data'!P1143</f>
        <v>0</v>
      </c>
      <c r="Q627">
        <f>'[1]Processed Data'!Q1143</f>
        <v>11</v>
      </c>
    </row>
    <row r="628" spans="2:17" hidden="1">
      <c r="B628">
        <f>'[1]Processed Data'!B1144</f>
        <v>2014</v>
      </c>
      <c r="C628">
        <f>'[1]Processed Data'!C1144</f>
        <v>124</v>
      </c>
      <c r="D628" t="str">
        <f>'[1]Processed Data'!D1144</f>
        <v>Michael Vick</v>
      </c>
      <c r="E628">
        <f>Table1[[#This Row],[Year]]</f>
        <v>2014</v>
      </c>
      <c r="F628">
        <f>'[1]Processed Data'!F1144</f>
        <v>64</v>
      </c>
      <c r="G628">
        <f>'[1]Processed Data'!G1144</f>
        <v>121</v>
      </c>
      <c r="H628">
        <f>'[1]Processed Data'!H1144</f>
        <v>52.9</v>
      </c>
      <c r="I628">
        <f>'[1]Processed Data'!I1144</f>
        <v>3</v>
      </c>
      <c r="J628">
        <f>'[1]Processed Data'!J1144</f>
        <v>2</v>
      </c>
      <c r="K628">
        <f>'[1]Processed Data'!K1144</f>
        <v>19</v>
      </c>
      <c r="L628">
        <f>'[1]Processed Data'!L1144</f>
        <v>26</v>
      </c>
      <c r="M628">
        <f>'[1]Processed Data'!M1144</f>
        <v>153</v>
      </c>
      <c r="N628">
        <f>'[1]Processed Data'!N1144</f>
        <v>0</v>
      </c>
      <c r="O628">
        <f>'[1]Processed Data'!O1144</f>
        <v>2</v>
      </c>
      <c r="P628">
        <f>'[1]Processed Data'!P1144</f>
        <v>0</v>
      </c>
      <c r="Q628">
        <f>'[1]Processed Data'!Q1144</f>
        <v>10</v>
      </c>
    </row>
    <row r="629" spans="2:17" hidden="1">
      <c r="B629">
        <f>'[1]Processed Data'!B1170</f>
        <v>2014</v>
      </c>
      <c r="C629">
        <f>'[1]Processed Data'!C1170</f>
        <v>150</v>
      </c>
      <c r="D629" t="str">
        <f>'[1]Processed Data'!D1170</f>
        <v>Ryan Nassib</v>
      </c>
      <c r="E629">
        <f>Table1[[#This Row],[Year]]</f>
        <v>2014</v>
      </c>
      <c r="F629">
        <f>'[1]Processed Data'!F1170</f>
        <v>4</v>
      </c>
      <c r="G629">
        <f>'[1]Processed Data'!G1170</f>
        <v>5</v>
      </c>
      <c r="H629">
        <f>'[1]Processed Data'!H1170</f>
        <v>80</v>
      </c>
      <c r="I629">
        <f>'[1]Processed Data'!I1170</f>
        <v>0</v>
      </c>
      <c r="J629">
        <f>'[1]Processed Data'!J1170</f>
        <v>0</v>
      </c>
      <c r="K629">
        <f>'[1]Processed Data'!K1170</f>
        <v>2</v>
      </c>
      <c r="L629">
        <f>'[1]Processed Data'!L1170</f>
        <v>2</v>
      </c>
      <c r="M629">
        <f>'[1]Processed Data'!M1170</f>
        <v>-3</v>
      </c>
      <c r="N629">
        <f>'[1]Processed Data'!N1170</f>
        <v>0</v>
      </c>
      <c r="O629">
        <f>'[1]Processed Data'!O1170</f>
        <v>0</v>
      </c>
      <c r="P629">
        <f>'[1]Processed Data'!P1170</f>
        <v>0</v>
      </c>
      <c r="Q629">
        <f>'[1]Processed Data'!Q1170</f>
        <v>4</v>
      </c>
    </row>
    <row r="630" spans="2:17" hidden="1">
      <c r="B630">
        <f>'[1]Processed Data'!B1172</f>
        <v>2014</v>
      </c>
      <c r="C630">
        <f>'[1]Processed Data'!C1172</f>
        <v>152</v>
      </c>
      <c r="D630" t="str">
        <f>'[1]Processed Data'!D1172</f>
        <v>Connor Shaw</v>
      </c>
      <c r="E630">
        <f>Table1[[#This Row],[Year]]</f>
        <v>2014</v>
      </c>
      <c r="F630">
        <f>'[1]Processed Data'!F1172</f>
        <v>14</v>
      </c>
      <c r="G630">
        <f>'[1]Processed Data'!G1172</f>
        <v>28</v>
      </c>
      <c r="H630">
        <f>'[1]Processed Data'!H1172</f>
        <v>50</v>
      </c>
      <c r="I630">
        <f>'[1]Processed Data'!I1172</f>
        <v>0</v>
      </c>
      <c r="J630">
        <f>'[1]Processed Data'!J1172</f>
        <v>1</v>
      </c>
      <c r="K630">
        <f>'[1]Processed Data'!K1172</f>
        <v>4</v>
      </c>
      <c r="L630">
        <f>'[1]Processed Data'!L1172</f>
        <v>7</v>
      </c>
      <c r="M630">
        <f>'[1]Processed Data'!M1172</f>
        <v>9</v>
      </c>
      <c r="N630">
        <f>'[1]Processed Data'!N1172</f>
        <v>0</v>
      </c>
      <c r="O630">
        <f>'[1]Processed Data'!O1172</f>
        <v>1</v>
      </c>
      <c r="P630">
        <f>'[1]Processed Data'!P1172</f>
        <v>0</v>
      </c>
      <c r="Q630">
        <f>'[1]Processed Data'!Q1172</f>
        <v>1</v>
      </c>
    </row>
    <row r="631" spans="2:17" hidden="1">
      <c r="B631">
        <f>'[1]Processed Data'!B1173</f>
        <v>2014</v>
      </c>
      <c r="C631">
        <f>'[1]Processed Data'!C1173</f>
        <v>153</v>
      </c>
      <c r="D631" t="str">
        <f>'[1]Processed Data'!D1173</f>
        <v>Matt Simms</v>
      </c>
      <c r="E631">
        <f>Table1[[#This Row],[Year]]</f>
        <v>2014</v>
      </c>
      <c r="F631">
        <f>'[1]Processed Data'!F1173</f>
        <v>3</v>
      </c>
      <c r="G631">
        <f>'[1]Processed Data'!G1173</f>
        <v>8</v>
      </c>
      <c r="H631">
        <f>'[1]Processed Data'!H1173</f>
        <v>37.5</v>
      </c>
      <c r="I631">
        <f>'[1]Processed Data'!I1173</f>
        <v>0</v>
      </c>
      <c r="J631">
        <f>'[1]Processed Data'!J1173</f>
        <v>0</v>
      </c>
      <c r="K631">
        <f>'[1]Processed Data'!K1173</f>
        <v>0</v>
      </c>
      <c r="L631">
        <f>'[1]Processed Data'!L1173</f>
        <v>1</v>
      </c>
      <c r="M631">
        <f>'[1]Processed Data'!M1173</f>
        <v>2</v>
      </c>
      <c r="N631">
        <f>'[1]Processed Data'!N1173</f>
        <v>0</v>
      </c>
      <c r="O631">
        <f>'[1]Processed Data'!O1173</f>
        <v>0</v>
      </c>
      <c r="P631">
        <f>'[1]Processed Data'!P1173</f>
        <v>0</v>
      </c>
      <c r="Q631">
        <f>'[1]Processed Data'!Q1173</f>
        <v>1</v>
      </c>
    </row>
    <row r="632" spans="2:17" hidden="1">
      <c r="B632">
        <f>'[1]Processed Data'!B1174</f>
        <v>2014</v>
      </c>
      <c r="C632">
        <f>'[1]Processed Data'!C1174</f>
        <v>154</v>
      </c>
      <c r="D632" t="str">
        <f>'[1]Processed Data'!D1174</f>
        <v>E.J. Manuel</v>
      </c>
      <c r="E632">
        <f>Table1[[#This Row],[Year]]</f>
        <v>2014</v>
      </c>
      <c r="F632">
        <f>'[1]Processed Data'!F1174</f>
        <v>76</v>
      </c>
      <c r="G632">
        <f>'[1]Processed Data'!G1174</f>
        <v>131</v>
      </c>
      <c r="H632">
        <f>'[1]Processed Data'!H1174</f>
        <v>58</v>
      </c>
      <c r="I632">
        <f>'[1]Processed Data'!I1174</f>
        <v>5</v>
      </c>
      <c r="J632">
        <f>'[1]Processed Data'!J1174</f>
        <v>3</v>
      </c>
      <c r="K632">
        <f>'[1]Processed Data'!K1174</f>
        <v>6</v>
      </c>
      <c r="L632">
        <f>'[1]Processed Data'!L1174</f>
        <v>16</v>
      </c>
      <c r="M632">
        <f>'[1]Processed Data'!M1174</f>
        <v>52</v>
      </c>
      <c r="N632">
        <f>'[1]Processed Data'!N1174</f>
        <v>1</v>
      </c>
      <c r="O632">
        <f>'[1]Processed Data'!O1174</f>
        <v>0</v>
      </c>
      <c r="P632">
        <f>'[1]Processed Data'!P1174</f>
        <v>0</v>
      </c>
      <c r="Q632">
        <f>'[1]Processed Data'!Q1174</f>
        <v>5</v>
      </c>
    </row>
    <row r="633" spans="2:17" hidden="1">
      <c r="B633">
        <f>'[1]Processed Data'!B1175</f>
        <v>2014</v>
      </c>
      <c r="C633">
        <f>'[1]Processed Data'!C1175</f>
        <v>155</v>
      </c>
      <c r="D633" t="str">
        <f>'[1]Processed Data'!D1175</f>
        <v>Matt Barkley</v>
      </c>
      <c r="E633">
        <f>Table1[[#This Row],[Year]]</f>
        <v>2014</v>
      </c>
      <c r="F633">
        <f>'[1]Processed Data'!F1175</f>
        <v>0</v>
      </c>
      <c r="G633">
        <f>'[1]Processed Data'!G1175</f>
        <v>1</v>
      </c>
      <c r="H633">
        <f>'[1]Processed Data'!H1175</f>
        <v>0</v>
      </c>
      <c r="I633">
        <f>'[1]Processed Data'!I1175</f>
        <v>0</v>
      </c>
      <c r="J633">
        <f>'[1]Processed Data'!J1175</f>
        <v>0</v>
      </c>
      <c r="K633">
        <f>'[1]Processed Data'!K1175</f>
        <v>0</v>
      </c>
      <c r="L633">
        <f>'[1]Processed Data'!L1175</f>
        <v>3</v>
      </c>
      <c r="M633">
        <f>'[1]Processed Data'!M1175</f>
        <v>0</v>
      </c>
      <c r="N633">
        <f>'[1]Processed Data'!N1175</f>
        <v>0</v>
      </c>
      <c r="O633">
        <f>'[1]Processed Data'!O1175</f>
        <v>0</v>
      </c>
      <c r="P633">
        <f>'[1]Processed Data'!P1175</f>
        <v>0</v>
      </c>
      <c r="Q633">
        <f>'[1]Processed Data'!Q1175</f>
        <v>1</v>
      </c>
    </row>
    <row r="634" spans="2:17" hidden="1">
      <c r="B634">
        <f>'[1]Processed Data'!B1176</f>
        <v>2014</v>
      </c>
      <c r="C634">
        <f>'[1]Processed Data'!C1176</f>
        <v>156</v>
      </c>
      <c r="D634" t="str">
        <f>'[1]Processed Data'!D1176</f>
        <v>Matt McGloin</v>
      </c>
      <c r="E634">
        <f>Table1[[#This Row],[Year]]</f>
        <v>2014</v>
      </c>
      <c r="F634">
        <f>'[1]Processed Data'!F1176</f>
        <v>12</v>
      </c>
      <c r="G634">
        <f>'[1]Processed Data'!G1176</f>
        <v>19</v>
      </c>
      <c r="H634">
        <f>'[1]Processed Data'!H1176</f>
        <v>63.2</v>
      </c>
      <c r="I634">
        <f>'[1]Processed Data'!I1176</f>
        <v>1</v>
      </c>
      <c r="J634">
        <f>'[1]Processed Data'!J1176</f>
        <v>2</v>
      </c>
      <c r="K634">
        <f>'[1]Processed Data'!K1176</f>
        <v>1</v>
      </c>
      <c r="L634">
        <f>'[1]Processed Data'!L1176</f>
        <v>2</v>
      </c>
      <c r="M634">
        <f>'[1]Processed Data'!M1176</f>
        <v>3</v>
      </c>
      <c r="N634">
        <f>'[1]Processed Data'!N1176</f>
        <v>0</v>
      </c>
      <c r="O634">
        <f>'[1]Processed Data'!O1176</f>
        <v>0</v>
      </c>
      <c r="P634">
        <f>'[1]Processed Data'!P1176</f>
        <v>0</v>
      </c>
      <c r="Q634">
        <f>'[1]Processed Data'!Q1176</f>
        <v>1</v>
      </c>
    </row>
    <row r="635" spans="2:17" hidden="1">
      <c r="B635">
        <f>'[1]Processed Data'!B1177</f>
        <v>2014</v>
      </c>
      <c r="C635">
        <f>'[1]Processed Data'!C1177</f>
        <v>157</v>
      </c>
      <c r="D635" t="str">
        <f>'[1]Processed Data'!D1177</f>
        <v>Johnny Manziel</v>
      </c>
      <c r="E635">
        <f>Table1[[#This Row],[Year]]</f>
        <v>2014</v>
      </c>
      <c r="F635">
        <f>'[1]Processed Data'!F1177</f>
        <v>18</v>
      </c>
      <c r="G635">
        <f>'[1]Processed Data'!G1177</f>
        <v>35</v>
      </c>
      <c r="H635">
        <f>'[1]Processed Data'!H1177</f>
        <v>51.4</v>
      </c>
      <c r="I635">
        <f>'[1]Processed Data'!I1177</f>
        <v>0</v>
      </c>
      <c r="J635">
        <f>'[1]Processed Data'!J1177</f>
        <v>2</v>
      </c>
      <c r="K635">
        <f>'[1]Processed Data'!K1177</f>
        <v>3</v>
      </c>
      <c r="L635">
        <f>'[1]Processed Data'!L1177</f>
        <v>9</v>
      </c>
      <c r="M635">
        <f>'[1]Processed Data'!M1177</f>
        <v>29</v>
      </c>
      <c r="N635">
        <f>'[1]Processed Data'!N1177</f>
        <v>1</v>
      </c>
      <c r="O635">
        <f>'[1]Processed Data'!O1177</f>
        <v>0</v>
      </c>
      <c r="P635">
        <f>'[1]Processed Data'!P1177</f>
        <v>0</v>
      </c>
      <c r="Q635">
        <f>'[1]Processed Data'!Q1177</f>
        <v>5</v>
      </c>
    </row>
    <row r="636" spans="2:17" hidden="1">
      <c r="B636">
        <f>'[1]Processed Data'!B1180</f>
        <v>2014</v>
      </c>
      <c r="C636">
        <f>'[1]Processed Data'!C1180</f>
        <v>160</v>
      </c>
      <c r="D636" t="str">
        <f>'[1]Processed Data'!D1180</f>
        <v>Derek Carr</v>
      </c>
      <c r="E636">
        <f>Table1[[#This Row],[Year]]</f>
        <v>2014</v>
      </c>
      <c r="F636">
        <f>'[1]Processed Data'!F1180</f>
        <v>348</v>
      </c>
      <c r="G636">
        <f>'[1]Processed Data'!G1180</f>
        <v>599</v>
      </c>
      <c r="H636">
        <f>'[1]Processed Data'!H1180</f>
        <v>58.1</v>
      </c>
      <c r="I636">
        <f>'[1]Processed Data'!I1180</f>
        <v>21</v>
      </c>
      <c r="J636">
        <f>'[1]Processed Data'!J1180</f>
        <v>12</v>
      </c>
      <c r="K636">
        <f>'[1]Processed Data'!K1180</f>
        <v>24</v>
      </c>
      <c r="L636">
        <f>'[1]Processed Data'!L1180</f>
        <v>29</v>
      </c>
      <c r="M636">
        <f>'[1]Processed Data'!M1180</f>
        <v>92</v>
      </c>
      <c r="N636">
        <f>'[1]Processed Data'!N1180</f>
        <v>0</v>
      </c>
      <c r="O636">
        <f>'[1]Processed Data'!O1180</f>
        <v>4</v>
      </c>
      <c r="P636">
        <f>'[1]Processed Data'!P1180</f>
        <v>0</v>
      </c>
      <c r="Q636">
        <f>'[1]Processed Data'!Q1180</f>
        <v>16</v>
      </c>
    </row>
    <row r="637" spans="2:17" hidden="1">
      <c r="B637">
        <f>'[1]Processed Data'!B1181</f>
        <v>2014</v>
      </c>
      <c r="C637">
        <f>'[1]Processed Data'!C1181</f>
        <v>161</v>
      </c>
      <c r="D637" t="str">
        <f>'[1]Processed Data'!D1181</f>
        <v>Zach Mettenberger</v>
      </c>
      <c r="E637">
        <f>Table1[[#This Row],[Year]]</f>
        <v>2014</v>
      </c>
      <c r="F637">
        <f>'[1]Processed Data'!F1181</f>
        <v>107</v>
      </c>
      <c r="G637">
        <f>'[1]Processed Data'!G1181</f>
        <v>179</v>
      </c>
      <c r="H637">
        <f>'[1]Processed Data'!H1181</f>
        <v>59.8</v>
      </c>
      <c r="I637">
        <f>'[1]Processed Data'!I1181</f>
        <v>8</v>
      </c>
      <c r="J637">
        <f>'[1]Processed Data'!J1181</f>
        <v>7</v>
      </c>
      <c r="K637">
        <f>'[1]Processed Data'!K1181</f>
        <v>18</v>
      </c>
      <c r="L637">
        <f>'[1]Processed Data'!L1181</f>
        <v>5</v>
      </c>
      <c r="M637">
        <f>'[1]Processed Data'!M1181</f>
        <v>4</v>
      </c>
      <c r="N637">
        <f>'[1]Processed Data'!N1181</f>
        <v>0</v>
      </c>
      <c r="O637">
        <f>'[1]Processed Data'!O1181</f>
        <v>2</v>
      </c>
      <c r="P637">
        <f>'[1]Processed Data'!P1181</f>
        <v>0</v>
      </c>
      <c r="Q637">
        <f>'[1]Processed Data'!Q1181</f>
        <v>7</v>
      </c>
    </row>
    <row r="638" spans="2:17" hidden="1">
      <c r="B638">
        <f>'[1]Processed Data'!B1182</f>
        <v>2014</v>
      </c>
      <c r="C638">
        <f>'[1]Processed Data'!C1182</f>
        <v>162</v>
      </c>
      <c r="D638" t="str">
        <f>'[1]Processed Data'!D1182</f>
        <v>Tom Savage</v>
      </c>
      <c r="E638">
        <f>Table1[[#This Row],[Year]]</f>
        <v>2014</v>
      </c>
      <c r="F638">
        <f>'[1]Processed Data'!F1182</f>
        <v>10</v>
      </c>
      <c r="G638">
        <f>'[1]Processed Data'!G1182</f>
        <v>19</v>
      </c>
      <c r="H638">
        <f>'[1]Processed Data'!H1182</f>
        <v>52.6</v>
      </c>
      <c r="I638">
        <f>'[1]Processed Data'!I1182</f>
        <v>0</v>
      </c>
      <c r="J638">
        <f>'[1]Processed Data'!J1182</f>
        <v>1</v>
      </c>
      <c r="K638">
        <f>'[1]Processed Data'!K1182</f>
        <v>1</v>
      </c>
      <c r="L638">
        <f>'[1]Processed Data'!L1182</f>
        <v>6</v>
      </c>
      <c r="M638">
        <f>'[1]Processed Data'!M1182</f>
        <v>-6</v>
      </c>
      <c r="N638">
        <f>'[1]Processed Data'!N1182</f>
        <v>0</v>
      </c>
      <c r="O638">
        <f>'[1]Processed Data'!O1182</f>
        <v>1</v>
      </c>
      <c r="P638">
        <f>'[1]Processed Data'!P1182</f>
        <v>0</v>
      </c>
      <c r="Q638">
        <f>'[1]Processed Data'!Q1182</f>
        <v>2</v>
      </c>
    </row>
    <row r="639" spans="2:17" hidden="1">
      <c r="B639">
        <f>'[1]Processed Data'!B1189</f>
        <v>2014</v>
      </c>
      <c r="C639">
        <f>'[1]Processed Data'!C1189</f>
        <v>169</v>
      </c>
      <c r="D639" t="str">
        <f>'[1]Processed Data'!D1189</f>
        <v>Tyrod Taylor</v>
      </c>
      <c r="E639">
        <f>Table1[[#This Row],[Year]]</f>
        <v>2014</v>
      </c>
      <c r="F639">
        <f>'[1]Processed Data'!F1189</f>
        <v>0</v>
      </c>
      <c r="G639">
        <f>'[1]Processed Data'!G1189</f>
        <v>0</v>
      </c>
      <c r="H639">
        <f>'[1]Processed Data'!H1189</f>
        <v>0</v>
      </c>
      <c r="I639">
        <f>'[1]Processed Data'!I1189</f>
        <v>0</v>
      </c>
      <c r="J639">
        <f>'[1]Processed Data'!J1189</f>
        <v>0</v>
      </c>
      <c r="K639">
        <f>'[1]Processed Data'!K1189</f>
        <v>0</v>
      </c>
      <c r="L639">
        <f>'[1]Processed Data'!L1189</f>
        <v>4</v>
      </c>
      <c r="M639">
        <f>'[1]Processed Data'!M1189</f>
        <v>-3</v>
      </c>
      <c r="N639">
        <f>'[1]Processed Data'!N1189</f>
        <v>0</v>
      </c>
      <c r="O639">
        <f>'[1]Processed Data'!O1189</f>
        <v>0</v>
      </c>
      <c r="P639">
        <f>'[1]Processed Data'!P1189</f>
        <v>-0.3</v>
      </c>
      <c r="Q639">
        <f>'[1]Processed Data'!Q1189</f>
        <v>1</v>
      </c>
    </row>
    <row r="640" spans="2:17" hidden="1">
      <c r="B640">
        <f>'[1]Processed Data'!B1190</f>
        <v>2013</v>
      </c>
      <c r="C640">
        <f>'[1]Processed Data'!C1190</f>
        <v>1</v>
      </c>
      <c r="D640" t="str">
        <f>'[1]Processed Data'!D1190</f>
        <v>Drew Brees</v>
      </c>
      <c r="E640">
        <f>Table1[[#This Row],[Year]]</f>
        <v>2013</v>
      </c>
      <c r="F640">
        <f>'[1]Processed Data'!F1190</f>
        <v>446</v>
      </c>
      <c r="G640">
        <f>'[1]Processed Data'!G1190</f>
        <v>650</v>
      </c>
      <c r="H640">
        <f>'[1]Processed Data'!H1190</f>
        <v>68.599999999999994</v>
      </c>
      <c r="I640">
        <f>'[1]Processed Data'!I1190</f>
        <v>39</v>
      </c>
      <c r="J640">
        <f>'[1]Processed Data'!J1190</f>
        <v>12</v>
      </c>
      <c r="K640">
        <f>'[1]Processed Data'!K1190</f>
        <v>37</v>
      </c>
      <c r="L640">
        <f>'[1]Processed Data'!L1190</f>
        <v>35</v>
      </c>
      <c r="M640">
        <f>'[1]Processed Data'!M1190</f>
        <v>52</v>
      </c>
      <c r="N640">
        <f>'[1]Processed Data'!N1190</f>
        <v>3</v>
      </c>
      <c r="O640">
        <f>'[1]Processed Data'!O1190</f>
        <v>2</v>
      </c>
      <c r="P640">
        <f>'[1]Processed Data'!P1190</f>
        <v>357.6</v>
      </c>
      <c r="Q640">
        <f>'[1]Processed Data'!Q1190</f>
        <v>16</v>
      </c>
    </row>
    <row r="641" spans="2:17" hidden="1">
      <c r="B641">
        <f>'[1]Processed Data'!B1191</f>
        <v>2013</v>
      </c>
      <c r="C641">
        <f>'[1]Processed Data'!C1191</f>
        <v>2</v>
      </c>
      <c r="D641" t="str">
        <f>'[1]Processed Data'!D1191</f>
        <v>Cam Newton</v>
      </c>
      <c r="E641">
        <f>Table1[[#This Row],[Year]]</f>
        <v>2013</v>
      </c>
      <c r="F641">
        <f>'[1]Processed Data'!F1191</f>
        <v>292</v>
      </c>
      <c r="G641">
        <f>'[1]Processed Data'!G1191</f>
        <v>473</v>
      </c>
      <c r="H641">
        <f>'[1]Processed Data'!H1191</f>
        <v>61.7</v>
      </c>
      <c r="I641">
        <f>'[1]Processed Data'!I1191</f>
        <v>24</v>
      </c>
      <c r="J641">
        <f>'[1]Processed Data'!J1191</f>
        <v>13</v>
      </c>
      <c r="K641">
        <f>'[1]Processed Data'!K1191</f>
        <v>43</v>
      </c>
      <c r="L641">
        <f>'[1]Processed Data'!L1191</f>
        <v>111</v>
      </c>
      <c r="M641">
        <f>'[1]Processed Data'!M1191</f>
        <v>585</v>
      </c>
      <c r="N641">
        <f>'[1]Processed Data'!N1191</f>
        <v>6</v>
      </c>
      <c r="O641">
        <f>'[1]Processed Data'!O1191</f>
        <v>1</v>
      </c>
      <c r="P641">
        <f>'[1]Processed Data'!P1191</f>
        <v>297.8</v>
      </c>
      <c r="Q641">
        <f>'[1]Processed Data'!Q1191</f>
        <v>16</v>
      </c>
    </row>
    <row r="642" spans="2:17" hidden="1">
      <c r="B642">
        <f>'[1]Processed Data'!B1192</f>
        <v>2013</v>
      </c>
      <c r="C642">
        <f>'[1]Processed Data'!C1192</f>
        <v>3</v>
      </c>
      <c r="D642" t="str">
        <f>'[1]Processed Data'!D1192</f>
        <v>Andy Dalton</v>
      </c>
      <c r="E642">
        <f>Table1[[#This Row],[Year]]</f>
        <v>2013</v>
      </c>
      <c r="F642">
        <f>'[1]Processed Data'!F1192</f>
        <v>363</v>
      </c>
      <c r="G642">
        <f>'[1]Processed Data'!G1192</f>
        <v>586</v>
      </c>
      <c r="H642">
        <f>'[1]Processed Data'!H1192</f>
        <v>61.9</v>
      </c>
      <c r="I642">
        <f>'[1]Processed Data'!I1192</f>
        <v>33</v>
      </c>
      <c r="J642">
        <f>'[1]Processed Data'!J1192</f>
        <v>20</v>
      </c>
      <c r="K642">
        <f>'[1]Processed Data'!K1192</f>
        <v>29</v>
      </c>
      <c r="L642">
        <f>'[1]Processed Data'!L1192</f>
        <v>61</v>
      </c>
      <c r="M642">
        <f>'[1]Processed Data'!M1192</f>
        <v>183</v>
      </c>
      <c r="N642">
        <f>'[1]Processed Data'!N1192</f>
        <v>2</v>
      </c>
      <c r="O642">
        <f>'[1]Processed Data'!O1192</f>
        <v>3</v>
      </c>
      <c r="P642">
        <f>'[1]Processed Data'!P1192</f>
        <v>288</v>
      </c>
      <c r="Q642">
        <f>'[1]Processed Data'!Q1192</f>
        <v>16</v>
      </c>
    </row>
    <row r="643" spans="2:17" hidden="1">
      <c r="B643">
        <f>'[1]Processed Data'!B1193</f>
        <v>2013</v>
      </c>
      <c r="C643">
        <f>'[1]Processed Data'!C1193</f>
        <v>4</v>
      </c>
      <c r="D643" t="str">
        <f>'[1]Processed Data'!D1193</f>
        <v>Matthew Stafford</v>
      </c>
      <c r="E643">
        <f>Table1[[#This Row],[Year]]</f>
        <v>2013</v>
      </c>
      <c r="F643">
        <f>'[1]Processed Data'!F1193</f>
        <v>371</v>
      </c>
      <c r="G643">
        <f>'[1]Processed Data'!G1193</f>
        <v>634</v>
      </c>
      <c r="H643">
        <f>'[1]Processed Data'!H1193</f>
        <v>58.5</v>
      </c>
      <c r="I643">
        <f>'[1]Processed Data'!I1193</f>
        <v>29</v>
      </c>
      <c r="J643">
        <f>'[1]Processed Data'!J1193</f>
        <v>19</v>
      </c>
      <c r="K643">
        <f>'[1]Processed Data'!K1193</f>
        <v>23</v>
      </c>
      <c r="L643">
        <f>'[1]Processed Data'!L1193</f>
        <v>37</v>
      </c>
      <c r="M643">
        <f>'[1]Processed Data'!M1193</f>
        <v>69</v>
      </c>
      <c r="N643">
        <f>'[1]Processed Data'!N1193</f>
        <v>2</v>
      </c>
      <c r="O643">
        <f>'[1]Processed Data'!O1193</f>
        <v>4</v>
      </c>
      <c r="P643">
        <f>'[1]Processed Data'!P1193</f>
        <v>279</v>
      </c>
      <c r="Q643">
        <f>'[1]Processed Data'!Q1193</f>
        <v>16</v>
      </c>
    </row>
    <row r="644" spans="2:17" hidden="1">
      <c r="B644">
        <f>'[1]Processed Data'!B1194</f>
        <v>2013</v>
      </c>
      <c r="C644">
        <f>'[1]Processed Data'!C1194</f>
        <v>5</v>
      </c>
      <c r="D644" t="str">
        <f>'[1]Processed Data'!D1194</f>
        <v>Russell Wilson</v>
      </c>
      <c r="E644">
        <f>Table1[[#This Row],[Year]]</f>
        <v>2013</v>
      </c>
      <c r="F644">
        <f>'[1]Processed Data'!F1194</f>
        <v>257</v>
      </c>
      <c r="G644">
        <f>'[1]Processed Data'!G1194</f>
        <v>407</v>
      </c>
      <c r="H644">
        <f>'[1]Processed Data'!H1194</f>
        <v>63.1</v>
      </c>
      <c r="I644">
        <f>'[1]Processed Data'!I1194</f>
        <v>26</v>
      </c>
      <c r="J644">
        <f>'[1]Processed Data'!J1194</f>
        <v>9</v>
      </c>
      <c r="K644">
        <f>'[1]Processed Data'!K1194</f>
        <v>44</v>
      </c>
      <c r="L644">
        <f>'[1]Processed Data'!L1194</f>
        <v>96</v>
      </c>
      <c r="M644">
        <f>'[1]Processed Data'!M1194</f>
        <v>539</v>
      </c>
      <c r="N644">
        <f>'[1]Processed Data'!N1194</f>
        <v>1</v>
      </c>
      <c r="O644">
        <f>'[1]Processed Data'!O1194</f>
        <v>5</v>
      </c>
      <c r="P644">
        <f>'[1]Processed Data'!P1194</f>
        <v>270.3</v>
      </c>
      <c r="Q644">
        <f>'[1]Processed Data'!Q1194</f>
        <v>16</v>
      </c>
    </row>
    <row r="645" spans="2:17" hidden="1">
      <c r="B645">
        <f>'[1]Processed Data'!B1195</f>
        <v>2013</v>
      </c>
      <c r="C645">
        <f>'[1]Processed Data'!C1195</f>
        <v>6</v>
      </c>
      <c r="D645" t="str">
        <f>'[1]Processed Data'!D1195</f>
        <v>Nick Foles</v>
      </c>
      <c r="E645">
        <f>Table1[[#This Row],[Year]]</f>
        <v>2013</v>
      </c>
      <c r="F645">
        <f>'[1]Processed Data'!F1195</f>
        <v>203</v>
      </c>
      <c r="G645">
        <f>'[1]Processed Data'!G1195</f>
        <v>317</v>
      </c>
      <c r="H645">
        <f>'[1]Processed Data'!H1195</f>
        <v>64</v>
      </c>
      <c r="I645">
        <f>'[1]Processed Data'!I1195</f>
        <v>27</v>
      </c>
      <c r="J645">
        <f>'[1]Processed Data'!J1195</f>
        <v>2</v>
      </c>
      <c r="K645">
        <f>'[1]Processed Data'!K1195</f>
        <v>28</v>
      </c>
      <c r="L645">
        <f>'[1]Processed Data'!L1195</f>
        <v>57</v>
      </c>
      <c r="M645">
        <f>'[1]Processed Data'!M1195</f>
        <v>221</v>
      </c>
      <c r="N645">
        <f>'[1]Processed Data'!N1195</f>
        <v>3</v>
      </c>
      <c r="O645">
        <f>'[1]Processed Data'!O1195</f>
        <v>2</v>
      </c>
      <c r="P645">
        <f>'[1]Processed Data'!P1195</f>
        <v>259.7</v>
      </c>
      <c r="Q645">
        <f>'[1]Processed Data'!Q1195</f>
        <v>13</v>
      </c>
    </row>
    <row r="646" spans="2:17" hidden="1">
      <c r="B646">
        <f>'[1]Processed Data'!B1196</f>
        <v>2013</v>
      </c>
      <c r="C646">
        <f>'[1]Processed Data'!C1196</f>
        <v>7</v>
      </c>
      <c r="D646" t="str">
        <f>'[1]Processed Data'!D1196</f>
        <v>Ben Roethlisberger</v>
      </c>
      <c r="E646">
        <f>Table1[[#This Row],[Year]]</f>
        <v>2013</v>
      </c>
      <c r="F646">
        <f>'[1]Processed Data'!F1196</f>
        <v>375</v>
      </c>
      <c r="G646">
        <f>'[1]Processed Data'!G1196</f>
        <v>584</v>
      </c>
      <c r="H646">
        <f>'[1]Processed Data'!H1196</f>
        <v>64.2</v>
      </c>
      <c r="I646">
        <f>'[1]Processed Data'!I1196</f>
        <v>28</v>
      </c>
      <c r="J646">
        <f>'[1]Processed Data'!J1196</f>
        <v>14</v>
      </c>
      <c r="K646">
        <f>'[1]Processed Data'!K1196</f>
        <v>42</v>
      </c>
      <c r="L646">
        <f>'[1]Processed Data'!L1196</f>
        <v>27</v>
      </c>
      <c r="M646">
        <f>'[1]Processed Data'!M1196</f>
        <v>99</v>
      </c>
      <c r="N646">
        <f>'[1]Processed Data'!N1196</f>
        <v>1</v>
      </c>
      <c r="O646">
        <f>'[1]Processed Data'!O1196</f>
        <v>6</v>
      </c>
      <c r="P646">
        <f>'[1]Processed Data'!P1196</f>
        <v>258.89999999999998</v>
      </c>
      <c r="Q646">
        <f>'[1]Processed Data'!Q1196</f>
        <v>16</v>
      </c>
    </row>
    <row r="647" spans="2:17" hidden="1">
      <c r="B647">
        <f>'[1]Processed Data'!B1197</f>
        <v>2013</v>
      </c>
      <c r="C647">
        <f>'[1]Processed Data'!C1197</f>
        <v>8</v>
      </c>
      <c r="D647" t="str">
        <f>'[1]Processed Data'!D1197</f>
        <v>Alex Smith</v>
      </c>
      <c r="E647">
        <f>Table1[[#This Row],[Year]]</f>
        <v>2013</v>
      </c>
      <c r="F647">
        <f>'[1]Processed Data'!F1197</f>
        <v>308</v>
      </c>
      <c r="G647">
        <f>'[1]Processed Data'!G1197</f>
        <v>508</v>
      </c>
      <c r="H647">
        <f>'[1]Processed Data'!H1197</f>
        <v>60.6</v>
      </c>
      <c r="I647">
        <f>'[1]Processed Data'!I1197</f>
        <v>23</v>
      </c>
      <c r="J647">
        <f>'[1]Processed Data'!J1197</f>
        <v>7</v>
      </c>
      <c r="K647">
        <f>'[1]Processed Data'!K1197</f>
        <v>39</v>
      </c>
      <c r="L647">
        <f>'[1]Processed Data'!L1197</f>
        <v>76</v>
      </c>
      <c r="M647">
        <f>'[1]Processed Data'!M1197</f>
        <v>431</v>
      </c>
      <c r="N647">
        <f>'[1]Processed Data'!N1197</f>
        <v>1</v>
      </c>
      <c r="O647">
        <f>'[1]Processed Data'!O1197</f>
        <v>3</v>
      </c>
      <c r="P647">
        <f>'[1]Processed Data'!P1197</f>
        <v>253.7</v>
      </c>
      <c r="Q647">
        <f>'[1]Processed Data'!Q1197</f>
        <v>15</v>
      </c>
    </row>
    <row r="648" spans="2:17" hidden="1">
      <c r="B648">
        <f>'[1]Processed Data'!B1198</f>
        <v>2013</v>
      </c>
      <c r="C648">
        <f>'[1]Processed Data'!C1198</f>
        <v>9</v>
      </c>
      <c r="D648" t="str">
        <f>'[1]Processed Data'!D1198</f>
        <v>Tom Brady</v>
      </c>
      <c r="E648">
        <f>Table1[[#This Row],[Year]]</f>
        <v>2013</v>
      </c>
      <c r="F648">
        <f>'[1]Processed Data'!F1198</f>
        <v>380</v>
      </c>
      <c r="G648">
        <f>'[1]Processed Data'!G1198</f>
        <v>628</v>
      </c>
      <c r="H648">
        <f>'[1]Processed Data'!H1198</f>
        <v>60.5</v>
      </c>
      <c r="I648">
        <f>'[1]Processed Data'!I1198</f>
        <v>25</v>
      </c>
      <c r="J648">
        <f>'[1]Processed Data'!J1198</f>
        <v>11</v>
      </c>
      <c r="K648">
        <f>'[1]Processed Data'!K1198</f>
        <v>40</v>
      </c>
      <c r="L648">
        <f>'[1]Processed Data'!L1198</f>
        <v>32</v>
      </c>
      <c r="M648">
        <f>'[1]Processed Data'!M1198</f>
        <v>18</v>
      </c>
      <c r="N648">
        <f>'[1]Processed Data'!N1198</f>
        <v>0</v>
      </c>
      <c r="O648">
        <f>'[1]Processed Data'!O1198</f>
        <v>3</v>
      </c>
      <c r="P648">
        <f>'[1]Processed Data'!P1198</f>
        <v>251.5</v>
      </c>
      <c r="Q648">
        <f>'[1]Processed Data'!Q1198</f>
        <v>16</v>
      </c>
    </row>
    <row r="649" spans="2:17" hidden="1">
      <c r="B649">
        <f>'[1]Processed Data'!B1199</f>
        <v>2013</v>
      </c>
      <c r="C649">
        <f>'[1]Processed Data'!C1199</f>
        <v>10</v>
      </c>
      <c r="D649" t="str">
        <f>'[1]Processed Data'!D1199</f>
        <v>Matt Ryan</v>
      </c>
      <c r="E649">
        <f>Table1[[#This Row],[Year]]</f>
        <v>2013</v>
      </c>
      <c r="F649">
        <f>'[1]Processed Data'!F1199</f>
        <v>439</v>
      </c>
      <c r="G649">
        <f>'[1]Processed Data'!G1199</f>
        <v>651</v>
      </c>
      <c r="H649">
        <f>'[1]Processed Data'!H1199</f>
        <v>67.400000000000006</v>
      </c>
      <c r="I649">
        <f>'[1]Processed Data'!I1199</f>
        <v>26</v>
      </c>
      <c r="J649">
        <f>'[1]Processed Data'!J1199</f>
        <v>17</v>
      </c>
      <c r="K649">
        <f>'[1]Processed Data'!K1199</f>
        <v>44</v>
      </c>
      <c r="L649">
        <f>'[1]Processed Data'!L1199</f>
        <v>17</v>
      </c>
      <c r="M649">
        <f>'[1]Processed Data'!M1199</f>
        <v>55</v>
      </c>
      <c r="N649">
        <f>'[1]Processed Data'!N1199</f>
        <v>0</v>
      </c>
      <c r="O649">
        <f>'[1]Processed Data'!O1199</f>
        <v>4</v>
      </c>
      <c r="P649">
        <f>'[1]Processed Data'!P1199</f>
        <v>248.1</v>
      </c>
      <c r="Q649">
        <f>'[1]Processed Data'!Q1199</f>
        <v>16</v>
      </c>
    </row>
    <row r="650" spans="2:17" hidden="1">
      <c r="B650">
        <f>'[1]Processed Data'!B1200</f>
        <v>2013</v>
      </c>
      <c r="C650">
        <f>'[1]Processed Data'!C1200</f>
        <v>11</v>
      </c>
      <c r="D650" t="str">
        <f>'[1]Processed Data'!D1200</f>
        <v>Ryan Tannehill</v>
      </c>
      <c r="E650">
        <f>Table1[[#This Row],[Year]]</f>
        <v>2013</v>
      </c>
      <c r="F650">
        <f>'[1]Processed Data'!F1200</f>
        <v>355</v>
      </c>
      <c r="G650">
        <f>'[1]Processed Data'!G1200</f>
        <v>588</v>
      </c>
      <c r="H650">
        <f>'[1]Processed Data'!H1200</f>
        <v>60.4</v>
      </c>
      <c r="I650">
        <f>'[1]Processed Data'!I1200</f>
        <v>24</v>
      </c>
      <c r="J650">
        <f>'[1]Processed Data'!J1200</f>
        <v>17</v>
      </c>
      <c r="K650">
        <f>'[1]Processed Data'!K1200</f>
        <v>58</v>
      </c>
      <c r="L650">
        <f>'[1]Processed Data'!L1200</f>
        <v>40</v>
      </c>
      <c r="M650">
        <f>'[1]Processed Data'!M1200</f>
        <v>238</v>
      </c>
      <c r="N650">
        <f>'[1]Processed Data'!N1200</f>
        <v>1</v>
      </c>
      <c r="O650">
        <f>'[1]Processed Data'!O1200</f>
        <v>5</v>
      </c>
      <c r="P650">
        <f>'[1]Processed Data'!P1200</f>
        <v>238.5</v>
      </c>
      <c r="Q650">
        <f>'[1]Processed Data'!Q1200</f>
        <v>16</v>
      </c>
    </row>
    <row r="651" spans="2:17" hidden="1">
      <c r="B651">
        <f>'[1]Processed Data'!B1201</f>
        <v>2013</v>
      </c>
      <c r="C651">
        <f>'[1]Processed Data'!C1201</f>
        <v>12</v>
      </c>
      <c r="D651" t="str">
        <f>'[1]Processed Data'!D1201</f>
        <v>Robert Griffin III</v>
      </c>
      <c r="E651">
        <f>Table1[[#This Row],[Year]]</f>
        <v>2013</v>
      </c>
      <c r="F651">
        <f>'[1]Processed Data'!F1201</f>
        <v>274</v>
      </c>
      <c r="G651">
        <f>'[1]Processed Data'!G1201</f>
        <v>456</v>
      </c>
      <c r="H651">
        <f>'[1]Processed Data'!H1201</f>
        <v>60.1</v>
      </c>
      <c r="I651">
        <f>'[1]Processed Data'!I1201</f>
        <v>16</v>
      </c>
      <c r="J651">
        <f>'[1]Processed Data'!J1201</f>
        <v>12</v>
      </c>
      <c r="K651">
        <f>'[1]Processed Data'!K1201</f>
        <v>38</v>
      </c>
      <c r="L651">
        <f>'[1]Processed Data'!L1201</f>
        <v>86</v>
      </c>
      <c r="M651">
        <f>'[1]Processed Data'!M1201</f>
        <v>489</v>
      </c>
      <c r="N651">
        <f>'[1]Processed Data'!N1201</f>
        <v>0</v>
      </c>
      <c r="O651">
        <f>'[1]Processed Data'!O1201</f>
        <v>4</v>
      </c>
      <c r="P651">
        <f>'[1]Processed Data'!P1201</f>
        <v>213</v>
      </c>
      <c r="Q651">
        <f>'[1]Processed Data'!Q1201</f>
        <v>13</v>
      </c>
    </row>
    <row r="652" spans="2:17" hidden="1">
      <c r="B652">
        <f>'[1]Processed Data'!B1202</f>
        <v>2013</v>
      </c>
      <c r="C652">
        <f>'[1]Processed Data'!C1202</f>
        <v>13</v>
      </c>
      <c r="D652" t="str">
        <f>'[1]Processed Data'!D1202</f>
        <v>Joe Flacco</v>
      </c>
      <c r="E652">
        <f>Table1[[#This Row],[Year]]</f>
        <v>2013</v>
      </c>
      <c r="F652">
        <f>'[1]Processed Data'!F1202</f>
        <v>362</v>
      </c>
      <c r="G652">
        <f>'[1]Processed Data'!G1202</f>
        <v>614</v>
      </c>
      <c r="H652">
        <f>'[1]Processed Data'!H1202</f>
        <v>59</v>
      </c>
      <c r="I652">
        <f>'[1]Processed Data'!I1202</f>
        <v>19</v>
      </c>
      <c r="J652">
        <f>'[1]Processed Data'!J1202</f>
        <v>22</v>
      </c>
      <c r="K652">
        <f>'[1]Processed Data'!K1202</f>
        <v>48</v>
      </c>
      <c r="L652">
        <f>'[1]Processed Data'!L1202</f>
        <v>27</v>
      </c>
      <c r="M652">
        <f>'[1]Processed Data'!M1202</f>
        <v>131</v>
      </c>
      <c r="N652">
        <f>'[1]Processed Data'!N1202</f>
        <v>1</v>
      </c>
      <c r="O652">
        <f>'[1]Processed Data'!O1202</f>
        <v>2</v>
      </c>
      <c r="P652">
        <f>'[1]Processed Data'!P1202</f>
        <v>207.6</v>
      </c>
      <c r="Q652">
        <f>'[1]Processed Data'!Q1202</f>
        <v>16</v>
      </c>
    </row>
    <row r="653" spans="2:17" hidden="1">
      <c r="B653">
        <f>'[1]Processed Data'!B1203</f>
        <v>2013</v>
      </c>
      <c r="C653">
        <f>'[1]Processed Data'!C1203</f>
        <v>14</v>
      </c>
      <c r="D653" t="str">
        <f>'[1]Processed Data'!D1203</f>
        <v>Geno Smith</v>
      </c>
      <c r="E653">
        <f>Table1[[#This Row],[Year]]</f>
        <v>2013</v>
      </c>
      <c r="F653">
        <f>'[1]Processed Data'!F1203</f>
        <v>247</v>
      </c>
      <c r="G653">
        <f>'[1]Processed Data'!G1203</f>
        <v>443</v>
      </c>
      <c r="H653">
        <f>'[1]Processed Data'!H1203</f>
        <v>55.8</v>
      </c>
      <c r="I653">
        <f>'[1]Processed Data'!I1203</f>
        <v>12</v>
      </c>
      <c r="J653">
        <f>'[1]Processed Data'!J1203</f>
        <v>21</v>
      </c>
      <c r="K653">
        <f>'[1]Processed Data'!K1203</f>
        <v>43</v>
      </c>
      <c r="L653">
        <f>'[1]Processed Data'!L1203</f>
        <v>72</v>
      </c>
      <c r="M653">
        <f>'[1]Processed Data'!M1203</f>
        <v>366</v>
      </c>
      <c r="N653">
        <f>'[1]Processed Data'!N1203</f>
        <v>6</v>
      </c>
      <c r="O653">
        <f>'[1]Processed Data'!O1203</f>
        <v>4</v>
      </c>
      <c r="P653">
        <f>'[1]Processed Data'!P1203</f>
        <v>194.4</v>
      </c>
      <c r="Q653">
        <f>'[1]Processed Data'!Q1203</f>
        <v>16</v>
      </c>
    </row>
    <row r="654" spans="2:17" hidden="1">
      <c r="B654">
        <f>'[1]Processed Data'!B1204</f>
        <v>2013</v>
      </c>
      <c r="C654">
        <f>'[1]Processed Data'!C1204</f>
        <v>15</v>
      </c>
      <c r="D654" t="str">
        <f>'[1]Processed Data'!D1204</f>
        <v>Aaron Rodgers</v>
      </c>
      <c r="E654">
        <f>Table1[[#This Row],[Year]]</f>
        <v>2013</v>
      </c>
      <c r="F654">
        <f>'[1]Processed Data'!F1204</f>
        <v>193</v>
      </c>
      <c r="G654">
        <f>'[1]Processed Data'!G1204</f>
        <v>290</v>
      </c>
      <c r="H654">
        <f>'[1]Processed Data'!H1204</f>
        <v>66.599999999999994</v>
      </c>
      <c r="I654">
        <f>'[1]Processed Data'!I1204</f>
        <v>17</v>
      </c>
      <c r="J654">
        <f>'[1]Processed Data'!J1204</f>
        <v>6</v>
      </c>
      <c r="K654">
        <f>'[1]Processed Data'!K1204</f>
        <v>21</v>
      </c>
      <c r="L654">
        <f>'[1]Processed Data'!L1204</f>
        <v>30</v>
      </c>
      <c r="M654">
        <f>'[1]Processed Data'!M1204</f>
        <v>120</v>
      </c>
      <c r="N654">
        <f>'[1]Processed Data'!N1204</f>
        <v>0</v>
      </c>
      <c r="O654">
        <f>'[1]Processed Data'!O1204</f>
        <v>0</v>
      </c>
      <c r="P654">
        <f>'[1]Processed Data'!P1204</f>
        <v>169.5</v>
      </c>
      <c r="Q654">
        <f>'[1]Processed Data'!Q1204</f>
        <v>9</v>
      </c>
    </row>
    <row r="655" spans="2:17" hidden="1">
      <c r="B655">
        <f>'[1]Processed Data'!B1205</f>
        <v>2013</v>
      </c>
      <c r="C655">
        <f>'[1]Processed Data'!C1205</f>
        <v>16</v>
      </c>
      <c r="D655" t="str">
        <f>'[1]Processed Data'!D1205</f>
        <v>Ryan Fitzpatrick</v>
      </c>
      <c r="E655">
        <f>Table1[[#This Row],[Year]]</f>
        <v>2013</v>
      </c>
      <c r="F655">
        <f>'[1]Processed Data'!F1205</f>
        <v>217</v>
      </c>
      <c r="G655">
        <f>'[1]Processed Data'!G1205</f>
        <v>350</v>
      </c>
      <c r="H655">
        <f>'[1]Processed Data'!H1205</f>
        <v>62</v>
      </c>
      <c r="I655">
        <f>'[1]Processed Data'!I1205</f>
        <v>14</v>
      </c>
      <c r="J655">
        <f>'[1]Processed Data'!J1205</f>
        <v>12</v>
      </c>
      <c r="K655">
        <f>'[1]Processed Data'!K1205</f>
        <v>21</v>
      </c>
      <c r="L655">
        <f>'[1]Processed Data'!L1205</f>
        <v>43</v>
      </c>
      <c r="M655">
        <f>'[1]Processed Data'!M1205</f>
        <v>225</v>
      </c>
      <c r="N655">
        <f>'[1]Processed Data'!N1205</f>
        <v>3</v>
      </c>
      <c r="O655">
        <f>'[1]Processed Data'!O1205</f>
        <v>2</v>
      </c>
      <c r="P655">
        <f>'[1]Processed Data'!P1205</f>
        <v>167.1</v>
      </c>
      <c r="Q655">
        <f>'[1]Processed Data'!Q1205</f>
        <v>11</v>
      </c>
    </row>
    <row r="656" spans="2:17" hidden="1">
      <c r="B656">
        <f>'[1]Processed Data'!B1206</f>
        <v>2013</v>
      </c>
      <c r="C656">
        <f>'[1]Processed Data'!C1206</f>
        <v>17</v>
      </c>
      <c r="D656" t="str">
        <f>'[1]Processed Data'!D1206</f>
        <v>Chad Henne</v>
      </c>
      <c r="E656">
        <f>Table1[[#This Row],[Year]]</f>
        <v>2013</v>
      </c>
      <c r="F656">
        <f>'[1]Processed Data'!F1206</f>
        <v>305</v>
      </c>
      <c r="G656">
        <f>'[1]Processed Data'!G1206</f>
        <v>503</v>
      </c>
      <c r="H656">
        <f>'[1]Processed Data'!H1206</f>
        <v>60.6</v>
      </c>
      <c r="I656">
        <f>'[1]Processed Data'!I1206</f>
        <v>13</v>
      </c>
      <c r="J656">
        <f>'[1]Processed Data'!J1206</f>
        <v>14</v>
      </c>
      <c r="K656">
        <f>'[1]Processed Data'!K1206</f>
        <v>38</v>
      </c>
      <c r="L656">
        <f>'[1]Processed Data'!L1206</f>
        <v>27</v>
      </c>
      <c r="M656">
        <f>'[1]Processed Data'!M1206</f>
        <v>77</v>
      </c>
      <c r="N656">
        <f>'[1]Processed Data'!N1206</f>
        <v>0</v>
      </c>
      <c r="O656">
        <f>'[1]Processed Data'!O1206</f>
        <v>0</v>
      </c>
      <c r="P656">
        <f>'[1]Processed Data'!P1206</f>
        <v>161.30000000000001</v>
      </c>
      <c r="Q656">
        <f>'[1]Processed Data'!Q1206</f>
        <v>15</v>
      </c>
    </row>
    <row r="657" spans="2:17" hidden="1">
      <c r="B657">
        <f>'[1]Processed Data'!B1207</f>
        <v>2013</v>
      </c>
      <c r="C657">
        <f>'[1]Processed Data'!C1207</f>
        <v>18</v>
      </c>
      <c r="D657" t="str">
        <f>'[1]Processed Data'!D1207</f>
        <v>Mike Glennon</v>
      </c>
      <c r="E657">
        <f>Table1[[#This Row],[Year]]</f>
        <v>2013</v>
      </c>
      <c r="F657">
        <f>'[1]Processed Data'!F1207</f>
        <v>247</v>
      </c>
      <c r="G657">
        <f>'[1]Processed Data'!G1207</f>
        <v>416</v>
      </c>
      <c r="H657">
        <f>'[1]Processed Data'!H1207</f>
        <v>59.4</v>
      </c>
      <c r="I657">
        <f>'[1]Processed Data'!I1207</f>
        <v>19</v>
      </c>
      <c r="J657">
        <f>'[1]Processed Data'!J1207</f>
        <v>9</v>
      </c>
      <c r="K657">
        <f>'[1]Processed Data'!K1207</f>
        <v>40</v>
      </c>
      <c r="L657">
        <f>'[1]Processed Data'!L1207</f>
        <v>27</v>
      </c>
      <c r="M657">
        <f>'[1]Processed Data'!M1207</f>
        <v>37</v>
      </c>
      <c r="N657">
        <f>'[1]Processed Data'!N1207</f>
        <v>0</v>
      </c>
      <c r="O657">
        <f>'[1]Processed Data'!O1207</f>
        <v>4</v>
      </c>
      <c r="P657">
        <f>'[1]Processed Data'!P1207</f>
        <v>158</v>
      </c>
      <c r="Q657">
        <f>'[1]Processed Data'!Q1207</f>
        <v>13</v>
      </c>
    </row>
    <row r="658" spans="2:17" hidden="1">
      <c r="B658">
        <f>'[1]Processed Data'!B1208</f>
        <v>2013</v>
      </c>
      <c r="C658">
        <f>'[1]Processed Data'!C1208</f>
        <v>19</v>
      </c>
      <c r="D658" t="str">
        <f>'[1]Processed Data'!D1208</f>
        <v>Josh McCown</v>
      </c>
      <c r="E658">
        <f>Table1[[#This Row],[Year]]</f>
        <v>2013</v>
      </c>
      <c r="F658">
        <f>'[1]Processed Data'!F1208</f>
        <v>149</v>
      </c>
      <c r="G658">
        <f>'[1]Processed Data'!G1208</f>
        <v>224</v>
      </c>
      <c r="H658">
        <f>'[1]Processed Data'!H1208</f>
        <v>66.5</v>
      </c>
      <c r="I658">
        <f>'[1]Processed Data'!I1208</f>
        <v>13</v>
      </c>
      <c r="J658">
        <f>'[1]Processed Data'!J1208</f>
        <v>1</v>
      </c>
      <c r="K658">
        <f>'[1]Processed Data'!K1208</f>
        <v>11</v>
      </c>
      <c r="L658">
        <f>'[1]Processed Data'!L1208</f>
        <v>13</v>
      </c>
      <c r="M658">
        <f>'[1]Processed Data'!M1208</f>
        <v>69</v>
      </c>
      <c r="N658">
        <f>'[1]Processed Data'!N1208</f>
        <v>1</v>
      </c>
      <c r="O658">
        <f>'[1]Processed Data'!O1208</f>
        <v>1</v>
      </c>
      <c r="P658">
        <f>'[1]Processed Data'!P1208</f>
        <v>136.1</v>
      </c>
      <c r="Q658">
        <f>'[1]Processed Data'!Q1208</f>
        <v>8</v>
      </c>
    </row>
    <row r="659" spans="2:17" hidden="1">
      <c r="B659">
        <f>'[1]Processed Data'!B1209</f>
        <v>2013</v>
      </c>
      <c r="C659">
        <f>'[1]Processed Data'!C1209</f>
        <v>20</v>
      </c>
      <c r="D659" t="str">
        <f>'[1]Processed Data'!D1209</f>
        <v>Matt Schaub</v>
      </c>
      <c r="E659">
        <f>Table1[[#This Row],[Year]]</f>
        <v>2013</v>
      </c>
      <c r="F659">
        <f>'[1]Processed Data'!F1209</f>
        <v>219</v>
      </c>
      <c r="G659">
        <f>'[1]Processed Data'!G1209</f>
        <v>358</v>
      </c>
      <c r="H659">
        <f>'[1]Processed Data'!H1209</f>
        <v>61.2</v>
      </c>
      <c r="I659">
        <f>'[1]Processed Data'!I1209</f>
        <v>10</v>
      </c>
      <c r="J659">
        <f>'[1]Processed Data'!J1209</f>
        <v>14</v>
      </c>
      <c r="K659">
        <f>'[1]Processed Data'!K1209</f>
        <v>21</v>
      </c>
      <c r="L659">
        <f>'[1]Processed Data'!L1209</f>
        <v>5</v>
      </c>
      <c r="M659">
        <f>'[1]Processed Data'!M1209</f>
        <v>24</v>
      </c>
      <c r="N659">
        <f>'[1]Processed Data'!N1209</f>
        <v>0</v>
      </c>
      <c r="O659">
        <f>'[1]Processed Data'!O1209</f>
        <v>1</v>
      </c>
      <c r="P659">
        <f>'[1]Processed Data'!P1209</f>
        <v>104.7</v>
      </c>
      <c r="Q659">
        <f>'[1]Processed Data'!Q1209</f>
        <v>10</v>
      </c>
    </row>
    <row r="660" spans="2:17" hidden="1">
      <c r="B660">
        <f>'[1]Processed Data'!B1210</f>
        <v>2013</v>
      </c>
      <c r="C660">
        <f>'[1]Processed Data'!C1210</f>
        <v>21</v>
      </c>
      <c r="D660" t="str">
        <f>'[1]Processed Data'!D1210</f>
        <v>Case Keenum</v>
      </c>
      <c r="E660">
        <f>Table1[[#This Row],[Year]]</f>
        <v>2013</v>
      </c>
      <c r="F660">
        <f>'[1]Processed Data'!F1210</f>
        <v>137</v>
      </c>
      <c r="G660">
        <f>'[1]Processed Data'!G1210</f>
        <v>253</v>
      </c>
      <c r="H660">
        <f>'[1]Processed Data'!H1210</f>
        <v>54.2</v>
      </c>
      <c r="I660">
        <f>'[1]Processed Data'!I1210</f>
        <v>9</v>
      </c>
      <c r="J660">
        <f>'[1]Processed Data'!J1210</f>
        <v>6</v>
      </c>
      <c r="K660">
        <f>'[1]Processed Data'!K1210</f>
        <v>19</v>
      </c>
      <c r="L660">
        <f>'[1]Processed Data'!L1210</f>
        <v>14</v>
      </c>
      <c r="M660">
        <f>'[1]Processed Data'!M1210</f>
        <v>72</v>
      </c>
      <c r="N660">
        <f>'[1]Processed Data'!N1210</f>
        <v>1</v>
      </c>
      <c r="O660">
        <f>'[1]Processed Data'!O1210</f>
        <v>2</v>
      </c>
      <c r="P660">
        <f>'[1]Processed Data'!P1210</f>
        <v>103.6</v>
      </c>
      <c r="Q660">
        <f>'[1]Processed Data'!Q1210</f>
        <v>8</v>
      </c>
    </row>
    <row r="661" spans="2:17" hidden="1">
      <c r="B661">
        <f>'[1]Processed Data'!B1211</f>
        <v>2013</v>
      </c>
      <c r="C661">
        <f>'[1]Processed Data'!C1211</f>
        <v>22</v>
      </c>
      <c r="D661" t="str">
        <f>'[1]Processed Data'!D1211</f>
        <v>Brian Hoyer</v>
      </c>
      <c r="E661">
        <f>Table1[[#This Row],[Year]]</f>
        <v>2013</v>
      </c>
      <c r="F661">
        <f>'[1]Processed Data'!F1211</f>
        <v>57</v>
      </c>
      <c r="G661">
        <f>'[1]Processed Data'!G1211</f>
        <v>96</v>
      </c>
      <c r="H661">
        <f>'[1]Processed Data'!H1211</f>
        <v>59.4</v>
      </c>
      <c r="I661">
        <f>'[1]Processed Data'!I1211</f>
        <v>5</v>
      </c>
      <c r="J661">
        <f>'[1]Processed Data'!J1211</f>
        <v>3</v>
      </c>
      <c r="K661">
        <f>'[1]Processed Data'!K1211</f>
        <v>6</v>
      </c>
      <c r="L661">
        <f>'[1]Processed Data'!L1211</f>
        <v>6</v>
      </c>
      <c r="M661">
        <f>'[1]Processed Data'!M1211</f>
        <v>16</v>
      </c>
      <c r="N661">
        <f>'[1]Processed Data'!N1211</f>
        <v>0</v>
      </c>
      <c r="O661">
        <f>'[1]Processed Data'!O1211</f>
        <v>0</v>
      </c>
      <c r="P661">
        <f>'[1]Processed Data'!P1211</f>
        <v>40.200000000000003</v>
      </c>
      <c r="Q661">
        <f>'[1]Processed Data'!Q1211</f>
        <v>3</v>
      </c>
    </row>
    <row r="662" spans="2:17" hidden="1">
      <c r="B662">
        <f>'[1]Processed Data'!B1212</f>
        <v>2013</v>
      </c>
      <c r="C662">
        <f>'[1]Processed Data'!C1212</f>
        <v>23</v>
      </c>
      <c r="D662" t="str">
        <f>'[1]Processed Data'!D1212</f>
        <v>Kirk Cousins</v>
      </c>
      <c r="E662">
        <f>Table1[[#This Row],[Year]]</f>
        <v>2013</v>
      </c>
      <c r="F662">
        <f>'[1]Processed Data'!F1212</f>
        <v>81</v>
      </c>
      <c r="G662">
        <f>'[1]Processed Data'!G1212</f>
        <v>155</v>
      </c>
      <c r="H662">
        <f>'[1]Processed Data'!H1212</f>
        <v>52.3</v>
      </c>
      <c r="I662">
        <f>'[1]Processed Data'!I1212</f>
        <v>4</v>
      </c>
      <c r="J662">
        <f>'[1]Processed Data'!J1212</f>
        <v>7</v>
      </c>
      <c r="K662">
        <f>'[1]Processed Data'!K1212</f>
        <v>5</v>
      </c>
      <c r="L662">
        <f>'[1]Processed Data'!L1212</f>
        <v>4</v>
      </c>
      <c r="M662">
        <f>'[1]Processed Data'!M1212</f>
        <v>14</v>
      </c>
      <c r="N662">
        <f>'[1]Processed Data'!N1212</f>
        <v>0</v>
      </c>
      <c r="O662">
        <f>'[1]Processed Data'!O1212</f>
        <v>2</v>
      </c>
      <c r="P662">
        <f>'[1]Processed Data'!P1212</f>
        <v>33.6</v>
      </c>
      <c r="Q662">
        <f>'[1]Processed Data'!Q1212</f>
        <v>5</v>
      </c>
    </row>
    <row r="663" spans="2:17" hidden="1">
      <c r="B663">
        <f>'[1]Processed Data'!B1213</f>
        <v>2013</v>
      </c>
      <c r="C663">
        <f>'[1]Processed Data'!C1213</f>
        <v>24</v>
      </c>
      <c r="D663" t="str">
        <f>'[1]Processed Data'!D1213</f>
        <v>Chase Daniel</v>
      </c>
      <c r="E663">
        <f>Table1[[#This Row],[Year]]</f>
        <v>2013</v>
      </c>
      <c r="F663">
        <f>'[1]Processed Data'!F1213</f>
        <v>25</v>
      </c>
      <c r="G663">
        <f>'[1]Processed Data'!G1213</f>
        <v>38</v>
      </c>
      <c r="H663">
        <f>'[1]Processed Data'!H1213</f>
        <v>65.8</v>
      </c>
      <c r="I663">
        <f>'[1]Processed Data'!I1213</f>
        <v>1</v>
      </c>
      <c r="J663">
        <f>'[1]Processed Data'!J1213</f>
        <v>1</v>
      </c>
      <c r="K663">
        <f>'[1]Processed Data'!K1213</f>
        <v>2</v>
      </c>
      <c r="L663">
        <f>'[1]Processed Data'!L1213</f>
        <v>14</v>
      </c>
      <c r="M663">
        <f>'[1]Processed Data'!M1213</f>
        <v>52</v>
      </c>
      <c r="N663">
        <f>'[1]Processed Data'!N1213</f>
        <v>0</v>
      </c>
      <c r="O663">
        <f>'[1]Processed Data'!O1213</f>
        <v>0</v>
      </c>
      <c r="P663">
        <f>'[1]Processed Data'!P1213</f>
        <v>17.100000000000001</v>
      </c>
      <c r="Q663">
        <f>'[1]Processed Data'!Q1213</f>
        <v>5</v>
      </c>
    </row>
    <row r="664" spans="2:17" hidden="1">
      <c r="B664">
        <f>'[1]Processed Data'!B1214</f>
        <v>2013</v>
      </c>
      <c r="C664">
        <f>'[1]Processed Data'!C1214</f>
        <v>25</v>
      </c>
      <c r="D664" t="str">
        <f>'[1]Processed Data'!D1214</f>
        <v>Blaine Gabbert</v>
      </c>
      <c r="E664">
        <f>Table1[[#This Row],[Year]]</f>
        <v>2013</v>
      </c>
      <c r="F664">
        <f>'[1]Processed Data'!F1214</f>
        <v>42</v>
      </c>
      <c r="G664">
        <f>'[1]Processed Data'!G1214</f>
        <v>86</v>
      </c>
      <c r="H664">
        <f>'[1]Processed Data'!H1214</f>
        <v>48.8</v>
      </c>
      <c r="I664">
        <f>'[1]Processed Data'!I1214</f>
        <v>1</v>
      </c>
      <c r="J664">
        <f>'[1]Processed Data'!J1214</f>
        <v>7</v>
      </c>
      <c r="K664">
        <f>'[1]Processed Data'!K1214</f>
        <v>12</v>
      </c>
      <c r="L664">
        <f>'[1]Processed Data'!L1214</f>
        <v>9</v>
      </c>
      <c r="M664">
        <f>'[1]Processed Data'!M1214</f>
        <v>32</v>
      </c>
      <c r="N664">
        <f>'[1]Processed Data'!N1214</f>
        <v>0</v>
      </c>
      <c r="O664">
        <f>'[1]Processed Data'!O1214</f>
        <v>0</v>
      </c>
      <c r="P664">
        <f>'[1]Processed Data'!P1214</f>
        <v>12.4</v>
      </c>
      <c r="Q664">
        <f>'[1]Processed Data'!Q1214</f>
        <v>3</v>
      </c>
    </row>
    <row r="665" spans="2:17" hidden="1">
      <c r="B665">
        <f>'[1]Processed Data'!B1215</f>
        <v>2013</v>
      </c>
      <c r="C665">
        <f>'[1]Processed Data'!C1215</f>
        <v>26</v>
      </c>
      <c r="D665" t="str">
        <f>'[1]Processed Data'!D1215</f>
        <v>Joe Webb III</v>
      </c>
      <c r="E665">
        <f>Table1[[#This Row],[Year]]</f>
        <v>2013</v>
      </c>
      <c r="F665">
        <f>'[1]Processed Data'!F1215</f>
        <v>0</v>
      </c>
      <c r="G665">
        <f>'[1]Processed Data'!G1215</f>
        <v>0</v>
      </c>
      <c r="H665">
        <f>'[1]Processed Data'!H1215</f>
        <v>0</v>
      </c>
      <c r="I665">
        <f>'[1]Processed Data'!I1215</f>
        <v>0</v>
      </c>
      <c r="J665">
        <f>'[1]Processed Data'!J1215</f>
        <v>0</v>
      </c>
      <c r="K665">
        <f>'[1]Processed Data'!K1215</f>
        <v>0</v>
      </c>
      <c r="L665">
        <f>'[1]Processed Data'!L1215</f>
        <v>0</v>
      </c>
      <c r="M665">
        <f>'[1]Processed Data'!M1215</f>
        <v>0</v>
      </c>
      <c r="N665">
        <f>'[1]Processed Data'!N1215</f>
        <v>0</v>
      </c>
      <c r="O665">
        <f>'[1]Processed Data'!O1215</f>
        <v>0</v>
      </c>
      <c r="P665">
        <f>'[1]Processed Data'!P1215</f>
        <v>5.8</v>
      </c>
      <c r="Q665">
        <f>'[1]Processed Data'!Q1215</f>
        <v>16</v>
      </c>
    </row>
    <row r="666" spans="2:17" hidden="1">
      <c r="B666">
        <f>'[1]Processed Data'!B1216</f>
        <v>2013</v>
      </c>
      <c r="C666">
        <f>'[1]Processed Data'!C1216</f>
        <v>27</v>
      </c>
      <c r="D666" t="str">
        <f>'[1]Processed Data'!D1216</f>
        <v>Tyrod Taylor</v>
      </c>
      <c r="E666">
        <f>Table1[[#This Row],[Year]]</f>
        <v>2013</v>
      </c>
      <c r="F666">
        <f>'[1]Processed Data'!F1216</f>
        <v>1</v>
      </c>
      <c r="G666">
        <f>'[1]Processed Data'!G1216</f>
        <v>5</v>
      </c>
      <c r="H666">
        <f>'[1]Processed Data'!H1216</f>
        <v>20</v>
      </c>
      <c r="I666">
        <f>'[1]Processed Data'!I1216</f>
        <v>0</v>
      </c>
      <c r="J666">
        <f>'[1]Processed Data'!J1216</f>
        <v>1</v>
      </c>
      <c r="K666">
        <f>'[1]Processed Data'!K1216</f>
        <v>0</v>
      </c>
      <c r="L666">
        <f>'[1]Processed Data'!L1216</f>
        <v>8</v>
      </c>
      <c r="M666">
        <f>'[1]Processed Data'!M1216</f>
        <v>64</v>
      </c>
      <c r="N666">
        <f>'[1]Processed Data'!N1216</f>
        <v>0</v>
      </c>
      <c r="O666">
        <f>'[1]Processed Data'!O1216</f>
        <v>0</v>
      </c>
      <c r="P666">
        <f>'[1]Processed Data'!P1216</f>
        <v>5.6</v>
      </c>
      <c r="Q666">
        <f>'[1]Processed Data'!Q1216</f>
        <v>3</v>
      </c>
    </row>
    <row r="667" spans="2:17" hidden="1">
      <c r="B667">
        <f>'[1]Processed Data'!B1217</f>
        <v>2013</v>
      </c>
      <c r="C667">
        <f>'[1]Processed Data'!C1217</f>
        <v>28</v>
      </c>
      <c r="D667" t="str">
        <f>'[1]Processed Data'!D1217</f>
        <v>Josh Johnson</v>
      </c>
      <c r="E667">
        <f>Table1[[#This Row],[Year]]</f>
        <v>2013</v>
      </c>
      <c r="F667">
        <f>'[1]Processed Data'!F1217</f>
        <v>0</v>
      </c>
      <c r="G667">
        <f>'[1]Processed Data'!G1217</f>
        <v>0</v>
      </c>
      <c r="H667">
        <f>'[1]Processed Data'!H1217</f>
        <v>0</v>
      </c>
      <c r="I667">
        <f>'[1]Processed Data'!I1217</f>
        <v>0</v>
      </c>
      <c r="J667">
        <f>'[1]Processed Data'!J1217</f>
        <v>0</v>
      </c>
      <c r="K667">
        <f>'[1]Processed Data'!K1217</f>
        <v>0</v>
      </c>
      <c r="L667">
        <f>'[1]Processed Data'!L1217</f>
        <v>7</v>
      </c>
      <c r="M667">
        <f>'[1]Processed Data'!M1217</f>
        <v>20</v>
      </c>
      <c r="N667">
        <f>'[1]Processed Data'!N1217</f>
        <v>0</v>
      </c>
      <c r="O667">
        <f>'[1]Processed Data'!O1217</f>
        <v>0</v>
      </c>
      <c r="P667">
        <f>'[1]Processed Data'!P1217</f>
        <v>2</v>
      </c>
      <c r="Q667">
        <f>'[1]Processed Data'!Q1217</f>
        <v>2</v>
      </c>
    </row>
    <row r="668" spans="2:17" hidden="1">
      <c r="B668">
        <f>'[1]Processed Data'!B1218</f>
        <v>2013</v>
      </c>
      <c r="C668">
        <f>'[1]Processed Data'!C1218</f>
        <v>29</v>
      </c>
      <c r="D668" t="str">
        <f>'[1]Processed Data'!D1218</f>
        <v>Matt Barkley</v>
      </c>
      <c r="E668">
        <f>Table1[[#This Row],[Year]]</f>
        <v>2013</v>
      </c>
      <c r="F668">
        <f>'[1]Processed Data'!F1218</f>
        <v>30</v>
      </c>
      <c r="G668">
        <f>'[1]Processed Data'!G1218</f>
        <v>49</v>
      </c>
      <c r="H668">
        <f>'[1]Processed Data'!H1218</f>
        <v>61.2</v>
      </c>
      <c r="I668">
        <f>'[1]Processed Data'!I1218</f>
        <v>0</v>
      </c>
      <c r="J668">
        <f>'[1]Processed Data'!J1218</f>
        <v>4</v>
      </c>
      <c r="K668">
        <f>'[1]Processed Data'!K1218</f>
        <v>3</v>
      </c>
      <c r="L668">
        <f>'[1]Processed Data'!L1218</f>
        <v>2</v>
      </c>
      <c r="M668">
        <f>'[1]Processed Data'!M1218</f>
        <v>-2</v>
      </c>
      <c r="N668">
        <f>'[1]Processed Data'!N1218</f>
        <v>0</v>
      </c>
      <c r="O668">
        <f>'[1]Processed Data'!O1218</f>
        <v>1</v>
      </c>
      <c r="P668">
        <f>'[1]Processed Data'!P1218</f>
        <v>1.8</v>
      </c>
      <c r="Q668">
        <f>'[1]Processed Data'!Q1218</f>
        <v>3</v>
      </c>
    </row>
    <row r="669" spans="2:17" hidden="1">
      <c r="B669">
        <f>'[1]Processed Data'!B1270</f>
        <v>2013</v>
      </c>
      <c r="C669">
        <f>'[1]Processed Data'!C1270</f>
        <v>81</v>
      </c>
      <c r="D669" t="str">
        <f>'[1]Processed Data'!D1270</f>
        <v>Christian Ponder</v>
      </c>
      <c r="E669">
        <f>Table1[[#This Row],[Year]]</f>
        <v>2013</v>
      </c>
      <c r="F669">
        <f>'[1]Processed Data'!F1270</f>
        <v>152</v>
      </c>
      <c r="G669">
        <f>'[1]Processed Data'!G1270</f>
        <v>239</v>
      </c>
      <c r="H669">
        <f>'[1]Processed Data'!H1270</f>
        <v>63.6</v>
      </c>
      <c r="I669">
        <f>'[1]Processed Data'!I1270</f>
        <v>7</v>
      </c>
      <c r="J669">
        <f>'[1]Processed Data'!J1270</f>
        <v>9</v>
      </c>
      <c r="K669">
        <f>'[1]Processed Data'!K1270</f>
        <v>27</v>
      </c>
      <c r="L669">
        <f>'[1]Processed Data'!L1270</f>
        <v>34</v>
      </c>
      <c r="M669">
        <f>'[1]Processed Data'!M1270</f>
        <v>151</v>
      </c>
      <c r="N669">
        <f>'[1]Processed Data'!N1270</f>
        <v>4</v>
      </c>
      <c r="O669">
        <f>'[1]Processed Data'!O1270</f>
        <v>4</v>
      </c>
      <c r="P669">
        <f>'[1]Processed Data'!P1270</f>
        <v>0</v>
      </c>
      <c r="Q669">
        <f>'[1]Processed Data'!Q1270</f>
        <v>9</v>
      </c>
    </row>
    <row r="670" spans="2:17" hidden="1">
      <c r="B670">
        <f>'[1]Processed Data'!B1271</f>
        <v>2013</v>
      </c>
      <c r="C670">
        <f>'[1]Processed Data'!C1271</f>
        <v>82</v>
      </c>
      <c r="D670" t="str">
        <f>'[1]Processed Data'!D1271</f>
        <v>Jake Locker</v>
      </c>
      <c r="E670">
        <f>Table1[[#This Row],[Year]]</f>
        <v>2013</v>
      </c>
      <c r="F670">
        <f>'[1]Processed Data'!F1271</f>
        <v>111</v>
      </c>
      <c r="G670">
        <f>'[1]Processed Data'!G1271</f>
        <v>183</v>
      </c>
      <c r="H670">
        <f>'[1]Processed Data'!H1271</f>
        <v>60.7</v>
      </c>
      <c r="I670">
        <f>'[1]Processed Data'!I1271</f>
        <v>8</v>
      </c>
      <c r="J670">
        <f>'[1]Processed Data'!J1271</f>
        <v>4</v>
      </c>
      <c r="K670">
        <f>'[1]Processed Data'!K1271</f>
        <v>16</v>
      </c>
      <c r="L670">
        <f>'[1]Processed Data'!L1271</f>
        <v>24</v>
      </c>
      <c r="M670">
        <f>'[1]Processed Data'!M1271</f>
        <v>155</v>
      </c>
      <c r="N670">
        <f>'[1]Processed Data'!N1271</f>
        <v>2</v>
      </c>
      <c r="O670">
        <f>'[1]Processed Data'!O1271</f>
        <v>1</v>
      </c>
      <c r="P670">
        <f>'[1]Processed Data'!P1271</f>
        <v>0</v>
      </c>
      <c r="Q670">
        <f>'[1]Processed Data'!Q1271</f>
        <v>7</v>
      </c>
    </row>
    <row r="671" spans="2:17" hidden="1">
      <c r="B671">
        <f>'[1]Processed Data'!B1272</f>
        <v>2013</v>
      </c>
      <c r="C671">
        <f>'[1]Processed Data'!C1272</f>
        <v>83</v>
      </c>
      <c r="D671" t="str">
        <f>'[1]Processed Data'!D1272</f>
        <v>Colin Kaepernick</v>
      </c>
      <c r="E671">
        <f>Table1[[#This Row],[Year]]</f>
        <v>2013</v>
      </c>
      <c r="F671">
        <f>'[1]Processed Data'!F1272</f>
        <v>243</v>
      </c>
      <c r="G671">
        <f>'[1]Processed Data'!G1272</f>
        <v>416</v>
      </c>
      <c r="H671">
        <f>'[1]Processed Data'!H1272</f>
        <v>58.4</v>
      </c>
      <c r="I671">
        <f>'[1]Processed Data'!I1272</f>
        <v>21</v>
      </c>
      <c r="J671">
        <f>'[1]Processed Data'!J1272</f>
        <v>8</v>
      </c>
      <c r="K671">
        <f>'[1]Processed Data'!K1272</f>
        <v>39</v>
      </c>
      <c r="L671">
        <f>'[1]Processed Data'!L1272</f>
        <v>92</v>
      </c>
      <c r="M671">
        <f>'[1]Processed Data'!M1272</f>
        <v>524</v>
      </c>
      <c r="N671">
        <f>'[1]Processed Data'!N1272</f>
        <v>4</v>
      </c>
      <c r="O671">
        <f>'[1]Processed Data'!O1272</f>
        <v>4</v>
      </c>
      <c r="P671">
        <f>'[1]Processed Data'!P1272</f>
        <v>0</v>
      </c>
      <c r="Q671">
        <f>'[1]Processed Data'!Q1272</f>
        <v>16</v>
      </c>
    </row>
    <row r="672" spans="2:17" hidden="1">
      <c r="B672">
        <f>'[1]Processed Data'!B1273</f>
        <v>2013</v>
      </c>
      <c r="C672">
        <f>'[1]Processed Data'!C1273</f>
        <v>84</v>
      </c>
      <c r="D672" t="str">
        <f>'[1]Processed Data'!D1273</f>
        <v>T.J. Yates</v>
      </c>
      <c r="E672">
        <f>Table1[[#This Row],[Year]]</f>
        <v>2013</v>
      </c>
      <c r="F672">
        <f>'[1]Processed Data'!F1273</f>
        <v>15</v>
      </c>
      <c r="G672">
        <f>'[1]Processed Data'!G1273</f>
        <v>22</v>
      </c>
      <c r="H672">
        <f>'[1]Processed Data'!H1273</f>
        <v>68.2</v>
      </c>
      <c r="I672">
        <f>'[1]Processed Data'!I1273</f>
        <v>0</v>
      </c>
      <c r="J672">
        <f>'[1]Processed Data'!J1273</f>
        <v>2</v>
      </c>
      <c r="K672">
        <f>'[1]Processed Data'!K1273</f>
        <v>2</v>
      </c>
      <c r="L672">
        <f>'[1]Processed Data'!L1273</f>
        <v>1</v>
      </c>
      <c r="M672">
        <f>'[1]Processed Data'!M1273</f>
        <v>0</v>
      </c>
      <c r="N672">
        <f>'[1]Processed Data'!N1273</f>
        <v>0</v>
      </c>
      <c r="O672">
        <f>'[1]Processed Data'!O1273</f>
        <v>0</v>
      </c>
      <c r="P672">
        <f>'[1]Processed Data'!P1273</f>
        <v>0</v>
      </c>
      <c r="Q672">
        <f>'[1]Processed Data'!Q1273</f>
        <v>3</v>
      </c>
    </row>
    <row r="673" spans="2:17" hidden="1">
      <c r="B673">
        <f>'[1]Processed Data'!B1279</f>
        <v>2013</v>
      </c>
      <c r="C673">
        <f>'[1]Processed Data'!C1279</f>
        <v>90</v>
      </c>
      <c r="D673" t="str">
        <f>'[1]Processed Data'!D1279</f>
        <v>Levi Brown</v>
      </c>
      <c r="E673">
        <f>Table1[[#This Row],[Year]]</f>
        <v>2013</v>
      </c>
      <c r="F673">
        <f>'[1]Processed Data'!F1279</f>
        <v>0</v>
      </c>
      <c r="G673">
        <f>'[1]Processed Data'!G1279</f>
        <v>0</v>
      </c>
      <c r="H673">
        <f>'[1]Processed Data'!H1279</f>
        <v>0</v>
      </c>
      <c r="I673">
        <f>'[1]Processed Data'!I1279</f>
        <v>0</v>
      </c>
      <c r="J673">
        <f>'[1]Processed Data'!J1279</f>
        <v>0</v>
      </c>
      <c r="K673">
        <f>'[1]Processed Data'!K1279</f>
        <v>0</v>
      </c>
      <c r="L673">
        <f>'[1]Processed Data'!L1279</f>
        <v>0</v>
      </c>
      <c r="M673">
        <f>'[1]Processed Data'!M1279</f>
        <v>0</v>
      </c>
      <c r="N673">
        <f>'[1]Processed Data'!N1279</f>
        <v>0</v>
      </c>
      <c r="O673">
        <f>'[1]Processed Data'!O1279</f>
        <v>0</v>
      </c>
      <c r="P673">
        <f>'[1]Processed Data'!P1279</f>
        <v>0</v>
      </c>
      <c r="Q673">
        <f>'[1]Processed Data'!Q1279</f>
        <v>4</v>
      </c>
    </row>
    <row r="674" spans="2:17" hidden="1">
      <c r="B674">
        <f>'[1]Processed Data'!B1280</f>
        <v>2013</v>
      </c>
      <c r="C674">
        <f>'[1]Processed Data'!C1280</f>
        <v>91</v>
      </c>
      <c r="D674" t="str">
        <f>'[1]Processed Data'!D1280</f>
        <v>Jeff Tuel</v>
      </c>
      <c r="E674">
        <f>Table1[[#This Row],[Year]]</f>
        <v>2013</v>
      </c>
      <c r="F674">
        <f>'[1]Processed Data'!F1280</f>
        <v>26</v>
      </c>
      <c r="G674">
        <f>'[1]Processed Data'!G1280</f>
        <v>59</v>
      </c>
      <c r="H674">
        <f>'[1]Processed Data'!H1280</f>
        <v>44.1</v>
      </c>
      <c r="I674">
        <f>'[1]Processed Data'!I1280</f>
        <v>1</v>
      </c>
      <c r="J674">
        <f>'[1]Processed Data'!J1280</f>
        <v>3</v>
      </c>
      <c r="K674">
        <f>'[1]Processed Data'!K1280</f>
        <v>2</v>
      </c>
      <c r="L674">
        <f>'[1]Processed Data'!L1280</f>
        <v>3</v>
      </c>
      <c r="M674">
        <f>'[1]Processed Data'!M1280</f>
        <v>17</v>
      </c>
      <c r="N674">
        <f>'[1]Processed Data'!N1280</f>
        <v>0</v>
      </c>
      <c r="O674">
        <f>'[1]Processed Data'!O1280</f>
        <v>0</v>
      </c>
      <c r="P674">
        <f>'[1]Processed Data'!P1280</f>
        <v>0</v>
      </c>
      <c r="Q674">
        <f>'[1]Processed Data'!Q1280</f>
        <v>2</v>
      </c>
    </row>
    <row r="675" spans="2:17" hidden="1">
      <c r="B675">
        <f>'[1]Processed Data'!B1281</f>
        <v>2013</v>
      </c>
      <c r="C675">
        <f>'[1]Processed Data'!C1281</f>
        <v>92</v>
      </c>
      <c r="D675" t="str">
        <f>'[1]Processed Data'!D1281</f>
        <v>Brandon Weeden</v>
      </c>
      <c r="E675">
        <f>Table1[[#This Row],[Year]]</f>
        <v>2013</v>
      </c>
      <c r="F675">
        <f>'[1]Processed Data'!F1281</f>
        <v>141</v>
      </c>
      <c r="G675">
        <f>'[1]Processed Data'!G1281</f>
        <v>267</v>
      </c>
      <c r="H675">
        <f>'[1]Processed Data'!H1281</f>
        <v>52.8</v>
      </c>
      <c r="I675">
        <f>'[1]Processed Data'!I1281</f>
        <v>9</v>
      </c>
      <c r="J675">
        <f>'[1]Processed Data'!J1281</f>
        <v>9</v>
      </c>
      <c r="K675">
        <f>'[1]Processed Data'!K1281</f>
        <v>27</v>
      </c>
      <c r="L675">
        <f>'[1]Processed Data'!L1281</f>
        <v>12</v>
      </c>
      <c r="M675">
        <f>'[1]Processed Data'!M1281</f>
        <v>44</v>
      </c>
      <c r="N675">
        <f>'[1]Processed Data'!N1281</f>
        <v>0</v>
      </c>
      <c r="O675">
        <f>'[1]Processed Data'!O1281</f>
        <v>2</v>
      </c>
      <c r="P675">
        <f>'[1]Processed Data'!P1281</f>
        <v>0</v>
      </c>
      <c r="Q675">
        <f>'[1]Processed Data'!Q1281</f>
        <v>8</v>
      </c>
    </row>
    <row r="676" spans="2:17" hidden="1">
      <c r="B676">
        <f>'[1]Processed Data'!B1282</f>
        <v>2013</v>
      </c>
      <c r="C676">
        <f>'[1]Processed Data'!C1282</f>
        <v>93</v>
      </c>
      <c r="D676" t="str">
        <f>'[1]Processed Data'!D1282</f>
        <v>Thaddeus Lewis</v>
      </c>
      <c r="E676">
        <f>Table1[[#This Row],[Year]]</f>
        <v>2013</v>
      </c>
      <c r="F676">
        <f>'[1]Processed Data'!F1282</f>
        <v>93</v>
      </c>
      <c r="G676">
        <f>'[1]Processed Data'!G1282</f>
        <v>157</v>
      </c>
      <c r="H676">
        <f>'[1]Processed Data'!H1282</f>
        <v>59.2</v>
      </c>
      <c r="I676">
        <f>'[1]Processed Data'!I1282</f>
        <v>4</v>
      </c>
      <c r="J676">
        <f>'[1]Processed Data'!J1282</f>
        <v>3</v>
      </c>
      <c r="K676">
        <f>'[1]Processed Data'!K1282</f>
        <v>18</v>
      </c>
      <c r="L676">
        <f>'[1]Processed Data'!L1282</f>
        <v>24</v>
      </c>
      <c r="M676">
        <f>'[1]Processed Data'!M1282</f>
        <v>52</v>
      </c>
      <c r="N676">
        <f>'[1]Processed Data'!N1282</f>
        <v>1</v>
      </c>
      <c r="O676">
        <f>'[1]Processed Data'!O1282</f>
        <v>3</v>
      </c>
      <c r="P676">
        <f>'[1]Processed Data'!P1282</f>
        <v>0</v>
      </c>
      <c r="Q676">
        <f>'[1]Processed Data'!Q1282</f>
        <v>6</v>
      </c>
    </row>
    <row r="677" spans="2:17" hidden="1">
      <c r="B677">
        <f>'[1]Processed Data'!B1283</f>
        <v>2013</v>
      </c>
      <c r="C677">
        <f>'[1]Processed Data'!C1283</f>
        <v>94</v>
      </c>
      <c r="D677" t="str">
        <f>'[1]Processed Data'!D1283</f>
        <v>Scott Tolzien</v>
      </c>
      <c r="E677">
        <f>Table1[[#This Row],[Year]]</f>
        <v>2013</v>
      </c>
      <c r="F677">
        <f>'[1]Processed Data'!F1283</f>
        <v>55</v>
      </c>
      <c r="G677">
        <f>'[1]Processed Data'!G1283</f>
        <v>90</v>
      </c>
      <c r="H677">
        <f>'[1]Processed Data'!H1283</f>
        <v>61.1</v>
      </c>
      <c r="I677">
        <f>'[1]Processed Data'!I1283</f>
        <v>1</v>
      </c>
      <c r="J677">
        <f>'[1]Processed Data'!J1283</f>
        <v>5</v>
      </c>
      <c r="K677">
        <f>'[1]Processed Data'!K1283</f>
        <v>3</v>
      </c>
      <c r="L677">
        <f>'[1]Processed Data'!L1283</f>
        <v>5</v>
      </c>
      <c r="M677">
        <f>'[1]Processed Data'!M1283</f>
        <v>55</v>
      </c>
      <c r="N677">
        <f>'[1]Processed Data'!N1283</f>
        <v>1</v>
      </c>
      <c r="O677">
        <f>'[1]Processed Data'!O1283</f>
        <v>0</v>
      </c>
      <c r="P677">
        <f>'[1]Processed Data'!P1283</f>
        <v>0</v>
      </c>
      <c r="Q677">
        <f>'[1]Processed Data'!Q1283</f>
        <v>3</v>
      </c>
    </row>
    <row r="678" spans="2:17" hidden="1">
      <c r="B678">
        <f>'[1]Processed Data'!B1284</f>
        <v>2013</v>
      </c>
      <c r="C678">
        <f>'[1]Processed Data'!C1284</f>
        <v>95</v>
      </c>
      <c r="D678" t="str">
        <f>'[1]Processed Data'!D1284</f>
        <v>Andrew Luck</v>
      </c>
      <c r="E678">
        <f>Table1[[#This Row],[Year]]</f>
        <v>2013</v>
      </c>
      <c r="F678">
        <f>'[1]Processed Data'!F1284</f>
        <v>343</v>
      </c>
      <c r="G678">
        <f>'[1]Processed Data'!G1284</f>
        <v>570</v>
      </c>
      <c r="H678">
        <f>'[1]Processed Data'!H1284</f>
        <v>60.2</v>
      </c>
      <c r="I678">
        <f>'[1]Processed Data'!I1284</f>
        <v>23</v>
      </c>
      <c r="J678">
        <f>'[1]Processed Data'!J1284</f>
        <v>9</v>
      </c>
      <c r="K678">
        <f>'[1]Processed Data'!K1284</f>
        <v>32</v>
      </c>
      <c r="L678">
        <f>'[1]Processed Data'!L1284</f>
        <v>63</v>
      </c>
      <c r="M678">
        <f>'[1]Processed Data'!M1284</f>
        <v>377</v>
      </c>
      <c r="N678">
        <f>'[1]Processed Data'!N1284</f>
        <v>4</v>
      </c>
      <c r="O678">
        <f>'[1]Processed Data'!O1284</f>
        <v>2</v>
      </c>
      <c r="P678">
        <f>'[1]Processed Data'!P1284</f>
        <v>0</v>
      </c>
      <c r="Q678">
        <f>'[1]Processed Data'!Q1284</f>
        <v>16</v>
      </c>
    </row>
    <row r="679" spans="2:17" hidden="1">
      <c r="B679">
        <f>'[1]Processed Data'!B1285</f>
        <v>2013</v>
      </c>
      <c r="C679">
        <f>'[1]Processed Data'!C1285</f>
        <v>96</v>
      </c>
      <c r="D679" t="str">
        <f>'[1]Processed Data'!D1285</f>
        <v>Brock Osweiler</v>
      </c>
      <c r="E679">
        <f>Table1[[#This Row],[Year]]</f>
        <v>2013</v>
      </c>
      <c r="F679">
        <f>'[1]Processed Data'!F1285</f>
        <v>11</v>
      </c>
      <c r="G679">
        <f>'[1]Processed Data'!G1285</f>
        <v>16</v>
      </c>
      <c r="H679">
        <f>'[1]Processed Data'!H1285</f>
        <v>68.8</v>
      </c>
      <c r="I679">
        <f>'[1]Processed Data'!I1285</f>
        <v>0</v>
      </c>
      <c r="J679">
        <f>'[1]Processed Data'!J1285</f>
        <v>0</v>
      </c>
      <c r="K679">
        <f>'[1]Processed Data'!K1285</f>
        <v>2</v>
      </c>
      <c r="L679">
        <f>'[1]Processed Data'!L1285</f>
        <v>3</v>
      </c>
      <c r="M679">
        <f>'[1]Processed Data'!M1285</f>
        <v>2</v>
      </c>
      <c r="N679">
        <f>'[1]Processed Data'!N1285</f>
        <v>0</v>
      </c>
      <c r="O679">
        <f>'[1]Processed Data'!O1285</f>
        <v>0</v>
      </c>
      <c r="P679">
        <f>'[1]Processed Data'!P1285</f>
        <v>0</v>
      </c>
      <c r="Q679">
        <f>'[1]Processed Data'!Q1285</f>
        <v>4</v>
      </c>
    </row>
    <row r="680" spans="2:17" hidden="1">
      <c r="B680">
        <f>'[1]Processed Data'!B1286</f>
        <v>2013</v>
      </c>
      <c r="C680">
        <f>'[1]Processed Data'!C1286</f>
        <v>97</v>
      </c>
      <c r="D680" t="str">
        <f>'[1]Processed Data'!D1286</f>
        <v>Dominique Davis</v>
      </c>
      <c r="E680">
        <f>Table1[[#This Row],[Year]]</f>
        <v>2013</v>
      </c>
      <c r="F680">
        <f>'[1]Processed Data'!F1286</f>
        <v>5</v>
      </c>
      <c r="G680">
        <f>'[1]Processed Data'!G1286</f>
        <v>7</v>
      </c>
      <c r="H680">
        <f>'[1]Processed Data'!H1286</f>
        <v>71.400000000000006</v>
      </c>
      <c r="I680">
        <f>'[1]Processed Data'!I1286</f>
        <v>0</v>
      </c>
      <c r="J680">
        <f>'[1]Processed Data'!J1286</f>
        <v>0</v>
      </c>
      <c r="K680">
        <f>'[1]Processed Data'!K1286</f>
        <v>0</v>
      </c>
      <c r="L680">
        <f>'[1]Processed Data'!L1286</f>
        <v>0</v>
      </c>
      <c r="M680">
        <f>'[1]Processed Data'!M1286</f>
        <v>0</v>
      </c>
      <c r="N680">
        <f>'[1]Processed Data'!N1286</f>
        <v>0</v>
      </c>
      <c r="O680">
        <f>'[1]Processed Data'!O1286</f>
        <v>0</v>
      </c>
      <c r="P680">
        <f>'[1]Processed Data'!P1286</f>
        <v>0</v>
      </c>
      <c r="Q680">
        <f>'[1]Processed Data'!Q1286</f>
        <v>1</v>
      </c>
    </row>
    <row r="681" spans="2:17" hidden="1">
      <c r="B681">
        <f>'[1]Processed Data'!B1288</f>
        <v>2013</v>
      </c>
      <c r="C681">
        <f>'[1]Processed Data'!C1288</f>
        <v>99</v>
      </c>
      <c r="D681" t="str">
        <f>'[1]Processed Data'!D1288</f>
        <v>Eli Manning</v>
      </c>
      <c r="E681">
        <f>Table1[[#This Row],[Year]]</f>
        <v>2013</v>
      </c>
      <c r="F681">
        <f>'[1]Processed Data'!F1288</f>
        <v>317</v>
      </c>
      <c r="G681">
        <f>'[1]Processed Data'!G1288</f>
        <v>551</v>
      </c>
      <c r="H681">
        <f>'[1]Processed Data'!H1288</f>
        <v>57.5</v>
      </c>
      <c r="I681">
        <f>'[1]Processed Data'!I1288</f>
        <v>18</v>
      </c>
      <c r="J681">
        <f>'[1]Processed Data'!J1288</f>
        <v>27</v>
      </c>
      <c r="K681">
        <f>'[1]Processed Data'!K1288</f>
        <v>39</v>
      </c>
      <c r="L681">
        <f>'[1]Processed Data'!L1288</f>
        <v>18</v>
      </c>
      <c r="M681">
        <f>'[1]Processed Data'!M1288</f>
        <v>36</v>
      </c>
      <c r="N681">
        <f>'[1]Processed Data'!N1288</f>
        <v>0</v>
      </c>
      <c r="O681">
        <f>'[1]Processed Data'!O1288</f>
        <v>2</v>
      </c>
      <c r="P681">
        <f>'[1]Processed Data'!P1288</f>
        <v>0</v>
      </c>
      <c r="Q681">
        <f>'[1]Processed Data'!Q1288</f>
        <v>16</v>
      </c>
    </row>
    <row r="682" spans="2:17" hidden="1">
      <c r="B682">
        <f>'[1]Processed Data'!B1289</f>
        <v>2013</v>
      </c>
      <c r="C682">
        <f>'[1]Processed Data'!C1289</f>
        <v>100</v>
      </c>
      <c r="D682" t="str">
        <f>'[1]Processed Data'!D1289</f>
        <v>Derek Anderson</v>
      </c>
      <c r="E682">
        <f>Table1[[#This Row],[Year]]</f>
        <v>2013</v>
      </c>
      <c r="F682">
        <f>'[1]Processed Data'!F1289</f>
        <v>0</v>
      </c>
      <c r="G682">
        <f>'[1]Processed Data'!G1289</f>
        <v>0</v>
      </c>
      <c r="H682">
        <f>'[1]Processed Data'!H1289</f>
        <v>0</v>
      </c>
      <c r="I682">
        <f>'[1]Processed Data'!I1289</f>
        <v>0</v>
      </c>
      <c r="J682">
        <f>'[1]Processed Data'!J1289</f>
        <v>0</v>
      </c>
      <c r="K682">
        <f>'[1]Processed Data'!K1289</f>
        <v>0</v>
      </c>
      <c r="L682">
        <f>'[1]Processed Data'!L1289</f>
        <v>5</v>
      </c>
      <c r="M682">
        <f>'[1]Processed Data'!M1289</f>
        <v>0</v>
      </c>
      <c r="N682">
        <f>'[1]Processed Data'!N1289</f>
        <v>0</v>
      </c>
      <c r="O682">
        <f>'[1]Processed Data'!O1289</f>
        <v>0</v>
      </c>
      <c r="P682">
        <f>'[1]Processed Data'!P1289</f>
        <v>0</v>
      </c>
      <c r="Q682">
        <f>'[1]Processed Data'!Q1289</f>
        <v>4</v>
      </c>
    </row>
    <row r="683" spans="2:17" hidden="1">
      <c r="B683">
        <f>'[1]Processed Data'!B1290</f>
        <v>2013</v>
      </c>
      <c r="C683">
        <f>'[1]Processed Data'!C1290</f>
        <v>101</v>
      </c>
      <c r="D683" t="str">
        <f>'[1]Processed Data'!D1290</f>
        <v>Curtis Painter</v>
      </c>
      <c r="E683">
        <f>Table1[[#This Row],[Year]]</f>
        <v>2013</v>
      </c>
      <c r="F683">
        <f>'[1]Processed Data'!F1290</f>
        <v>8</v>
      </c>
      <c r="G683">
        <f>'[1]Processed Data'!G1290</f>
        <v>16</v>
      </c>
      <c r="H683">
        <f>'[1]Processed Data'!H1290</f>
        <v>50</v>
      </c>
      <c r="I683">
        <f>'[1]Processed Data'!I1290</f>
        <v>0</v>
      </c>
      <c r="J683">
        <f>'[1]Processed Data'!J1290</f>
        <v>2</v>
      </c>
      <c r="K683">
        <f>'[1]Processed Data'!K1290</f>
        <v>1</v>
      </c>
      <c r="L683">
        <f>'[1]Processed Data'!L1290</f>
        <v>3</v>
      </c>
      <c r="M683">
        <f>'[1]Processed Data'!M1290</f>
        <v>-2</v>
      </c>
      <c r="N683">
        <f>'[1]Processed Data'!N1290</f>
        <v>0</v>
      </c>
      <c r="O683">
        <f>'[1]Processed Data'!O1290</f>
        <v>0</v>
      </c>
      <c r="P683">
        <f>'[1]Processed Data'!P1290</f>
        <v>0</v>
      </c>
      <c r="Q683">
        <f>'[1]Processed Data'!Q1290</f>
        <v>3</v>
      </c>
    </row>
    <row r="684" spans="2:17" hidden="1">
      <c r="B684">
        <f>'[1]Processed Data'!B1291</f>
        <v>2013</v>
      </c>
      <c r="C684">
        <f>'[1]Processed Data'!C1291</f>
        <v>102</v>
      </c>
      <c r="D684" t="str">
        <f>'[1]Processed Data'!D1291</f>
        <v>Jason Campbell</v>
      </c>
      <c r="E684">
        <f>Table1[[#This Row],[Year]]</f>
        <v>2013</v>
      </c>
      <c r="F684">
        <f>'[1]Processed Data'!F1291</f>
        <v>180</v>
      </c>
      <c r="G684">
        <f>'[1]Processed Data'!G1291</f>
        <v>317</v>
      </c>
      <c r="H684">
        <f>'[1]Processed Data'!H1291</f>
        <v>56.8</v>
      </c>
      <c r="I684">
        <f>'[1]Processed Data'!I1291</f>
        <v>11</v>
      </c>
      <c r="J684">
        <f>'[1]Processed Data'!J1291</f>
        <v>8</v>
      </c>
      <c r="K684">
        <f>'[1]Processed Data'!K1291</f>
        <v>16</v>
      </c>
      <c r="L684">
        <f>'[1]Processed Data'!L1291</f>
        <v>14</v>
      </c>
      <c r="M684">
        <f>'[1]Processed Data'!M1291</f>
        <v>107</v>
      </c>
      <c r="N684">
        <f>'[1]Processed Data'!N1291</f>
        <v>0</v>
      </c>
      <c r="O684">
        <f>'[1]Processed Data'!O1291</f>
        <v>2</v>
      </c>
      <c r="P684">
        <f>'[1]Processed Data'!P1291</f>
        <v>0</v>
      </c>
      <c r="Q684">
        <f>'[1]Processed Data'!Q1291</f>
        <v>9</v>
      </c>
    </row>
    <row r="685" spans="2:17" hidden="1">
      <c r="B685">
        <f>'[1]Processed Data'!B1292</f>
        <v>2013</v>
      </c>
      <c r="C685">
        <f>'[1]Processed Data'!C1292</f>
        <v>103</v>
      </c>
      <c r="D685" t="str">
        <f>'[1]Processed Data'!D1292</f>
        <v>Jay Cutler</v>
      </c>
      <c r="E685">
        <f>Table1[[#This Row],[Year]]</f>
        <v>2013</v>
      </c>
      <c r="F685">
        <f>'[1]Processed Data'!F1292</f>
        <v>224</v>
      </c>
      <c r="G685">
        <f>'[1]Processed Data'!G1292</f>
        <v>355</v>
      </c>
      <c r="H685">
        <f>'[1]Processed Data'!H1292</f>
        <v>63.1</v>
      </c>
      <c r="I685">
        <f>'[1]Processed Data'!I1292</f>
        <v>19</v>
      </c>
      <c r="J685">
        <f>'[1]Processed Data'!J1292</f>
        <v>12</v>
      </c>
      <c r="K685">
        <f>'[1]Processed Data'!K1292</f>
        <v>19</v>
      </c>
      <c r="L685">
        <f>'[1]Processed Data'!L1292</f>
        <v>23</v>
      </c>
      <c r="M685">
        <f>'[1]Processed Data'!M1292</f>
        <v>118</v>
      </c>
      <c r="N685">
        <f>'[1]Processed Data'!N1292</f>
        <v>0</v>
      </c>
      <c r="O685">
        <f>'[1]Processed Data'!O1292</f>
        <v>3</v>
      </c>
      <c r="P685">
        <f>'[1]Processed Data'!P1292</f>
        <v>0</v>
      </c>
      <c r="Q685">
        <f>'[1]Processed Data'!Q1292</f>
        <v>11</v>
      </c>
    </row>
    <row r="686" spans="2:17" hidden="1">
      <c r="B686">
        <f>'[1]Processed Data'!B1296</f>
        <v>2013</v>
      </c>
      <c r="C686">
        <f>'[1]Processed Data'!C1296</f>
        <v>107</v>
      </c>
      <c r="D686" t="str">
        <f>'[1]Processed Data'!D1296</f>
        <v>Carson Palmer</v>
      </c>
      <c r="E686">
        <f>Table1[[#This Row],[Year]]</f>
        <v>2013</v>
      </c>
      <c r="F686">
        <f>'[1]Processed Data'!F1296</f>
        <v>362</v>
      </c>
      <c r="G686">
        <f>'[1]Processed Data'!G1296</f>
        <v>572</v>
      </c>
      <c r="H686">
        <f>'[1]Processed Data'!H1296</f>
        <v>63.3</v>
      </c>
      <c r="I686">
        <f>'[1]Processed Data'!I1296</f>
        <v>24</v>
      </c>
      <c r="J686">
        <f>'[1]Processed Data'!J1296</f>
        <v>22</v>
      </c>
      <c r="K686">
        <f>'[1]Processed Data'!K1296</f>
        <v>41</v>
      </c>
      <c r="L686">
        <f>'[1]Processed Data'!L1296</f>
        <v>27</v>
      </c>
      <c r="M686">
        <f>'[1]Processed Data'!M1296</f>
        <v>3</v>
      </c>
      <c r="N686">
        <f>'[1]Processed Data'!N1296</f>
        <v>0</v>
      </c>
      <c r="O686">
        <f>'[1]Processed Data'!O1296</f>
        <v>3</v>
      </c>
      <c r="P686">
        <f>'[1]Processed Data'!P1296</f>
        <v>0</v>
      </c>
      <c r="Q686">
        <f>'[1]Processed Data'!Q1296</f>
        <v>16</v>
      </c>
    </row>
    <row r="687" spans="2:17" hidden="1">
      <c r="B687">
        <f>'[1]Processed Data'!B1297</f>
        <v>2013</v>
      </c>
      <c r="C687">
        <f>'[1]Processed Data'!C1297</f>
        <v>108</v>
      </c>
      <c r="D687" t="str">
        <f>'[1]Processed Data'!D1297</f>
        <v>Josh Freeman</v>
      </c>
      <c r="E687">
        <f>Table1[[#This Row],[Year]]</f>
        <v>2013</v>
      </c>
      <c r="F687">
        <f>'[1]Processed Data'!F1297</f>
        <v>63</v>
      </c>
      <c r="G687">
        <f>'[1]Processed Data'!G1297</f>
        <v>147</v>
      </c>
      <c r="H687">
        <f>'[1]Processed Data'!H1297</f>
        <v>42.9</v>
      </c>
      <c r="I687">
        <f>'[1]Processed Data'!I1297</f>
        <v>2</v>
      </c>
      <c r="J687">
        <f>'[1]Processed Data'!J1297</f>
        <v>4</v>
      </c>
      <c r="K687">
        <f>'[1]Processed Data'!K1297</f>
        <v>8</v>
      </c>
      <c r="L687">
        <f>'[1]Processed Data'!L1297</f>
        <v>5</v>
      </c>
      <c r="M687">
        <f>'[1]Processed Data'!M1297</f>
        <v>20</v>
      </c>
      <c r="N687">
        <f>'[1]Processed Data'!N1297</f>
        <v>0</v>
      </c>
      <c r="O687">
        <f>'[1]Processed Data'!O1297</f>
        <v>1</v>
      </c>
      <c r="P687">
        <f>'[1]Processed Data'!P1297</f>
        <v>0</v>
      </c>
      <c r="Q687">
        <f>'[1]Processed Data'!Q1297</f>
        <v>4</v>
      </c>
    </row>
    <row r="688" spans="2:17" hidden="1">
      <c r="B688">
        <f>'[1]Processed Data'!B1298</f>
        <v>2013</v>
      </c>
      <c r="C688">
        <f>'[1]Processed Data'!C1298</f>
        <v>109</v>
      </c>
      <c r="D688" t="str">
        <f>'[1]Processed Data'!D1298</f>
        <v>Kellen Clemens</v>
      </c>
      <c r="E688">
        <f>Table1[[#This Row],[Year]]</f>
        <v>2013</v>
      </c>
      <c r="F688">
        <f>'[1]Processed Data'!F1298</f>
        <v>142</v>
      </c>
      <c r="G688">
        <f>'[1]Processed Data'!G1298</f>
        <v>242</v>
      </c>
      <c r="H688">
        <f>'[1]Processed Data'!H1298</f>
        <v>58.7</v>
      </c>
      <c r="I688">
        <f>'[1]Processed Data'!I1298</f>
        <v>8</v>
      </c>
      <c r="J688">
        <f>'[1]Processed Data'!J1298</f>
        <v>7</v>
      </c>
      <c r="K688">
        <f>'[1]Processed Data'!K1298</f>
        <v>21</v>
      </c>
      <c r="L688">
        <f>'[1]Processed Data'!L1298</f>
        <v>23</v>
      </c>
      <c r="M688">
        <f>'[1]Processed Data'!M1298</f>
        <v>64</v>
      </c>
      <c r="N688">
        <f>'[1]Processed Data'!N1298</f>
        <v>0</v>
      </c>
      <c r="O688">
        <f>'[1]Processed Data'!O1298</f>
        <v>4</v>
      </c>
      <c r="P688">
        <f>'[1]Processed Data'!P1298</f>
        <v>0</v>
      </c>
      <c r="Q688">
        <f>'[1]Processed Data'!Q1298</f>
        <v>10</v>
      </c>
    </row>
    <row r="689" spans="2:17" hidden="1">
      <c r="B689">
        <f>'[1]Processed Data'!B1299</f>
        <v>2013</v>
      </c>
      <c r="C689">
        <f>'[1]Processed Data'!C1299</f>
        <v>110</v>
      </c>
      <c r="D689" t="str">
        <f>'[1]Processed Data'!D1299</f>
        <v>Dan Orlovsky</v>
      </c>
      <c r="E689">
        <f>Table1[[#This Row],[Year]]</f>
        <v>2013</v>
      </c>
      <c r="F689">
        <f>'[1]Processed Data'!F1299</f>
        <v>0</v>
      </c>
      <c r="G689">
        <f>'[1]Processed Data'!G1299</f>
        <v>0</v>
      </c>
      <c r="H689">
        <f>'[1]Processed Data'!H1299</f>
        <v>0</v>
      </c>
      <c r="I689">
        <f>'[1]Processed Data'!I1299</f>
        <v>0</v>
      </c>
      <c r="J689">
        <f>'[1]Processed Data'!J1299</f>
        <v>0</v>
      </c>
      <c r="K689">
        <f>'[1]Processed Data'!K1299</f>
        <v>0</v>
      </c>
      <c r="L689">
        <f>'[1]Processed Data'!L1299</f>
        <v>0</v>
      </c>
      <c r="M689">
        <f>'[1]Processed Data'!M1299</f>
        <v>0</v>
      </c>
      <c r="N689">
        <f>'[1]Processed Data'!N1299</f>
        <v>0</v>
      </c>
      <c r="O689">
        <f>'[1]Processed Data'!O1299</f>
        <v>0</v>
      </c>
      <c r="P689">
        <f>'[1]Processed Data'!P1299</f>
        <v>0</v>
      </c>
      <c r="Q689">
        <f>'[1]Processed Data'!Q1299</f>
        <v>2</v>
      </c>
    </row>
    <row r="690" spans="2:17" hidden="1">
      <c r="B690">
        <f>'[1]Processed Data'!B1300</f>
        <v>2013</v>
      </c>
      <c r="C690">
        <f>'[1]Processed Data'!C1300</f>
        <v>111</v>
      </c>
      <c r="D690" t="str">
        <f>'[1]Processed Data'!D1300</f>
        <v>Tarvaris Jackson</v>
      </c>
      <c r="E690">
        <f>Table1[[#This Row],[Year]]</f>
        <v>2013</v>
      </c>
      <c r="F690">
        <f>'[1]Processed Data'!F1300</f>
        <v>10</v>
      </c>
      <c r="G690">
        <f>'[1]Processed Data'!G1300</f>
        <v>13</v>
      </c>
      <c r="H690">
        <f>'[1]Processed Data'!H1300</f>
        <v>76.900000000000006</v>
      </c>
      <c r="I690">
        <f>'[1]Processed Data'!I1300</f>
        <v>1</v>
      </c>
      <c r="J690">
        <f>'[1]Processed Data'!J1300</f>
        <v>0</v>
      </c>
      <c r="K690">
        <f>'[1]Processed Data'!K1300</f>
        <v>0</v>
      </c>
      <c r="L690">
        <f>'[1]Processed Data'!L1300</f>
        <v>4</v>
      </c>
      <c r="M690">
        <f>'[1]Processed Data'!M1300</f>
        <v>1</v>
      </c>
      <c r="N690">
        <f>'[1]Processed Data'!N1300</f>
        <v>1</v>
      </c>
      <c r="O690">
        <f>'[1]Processed Data'!O1300</f>
        <v>0</v>
      </c>
      <c r="P690">
        <f>'[1]Processed Data'!P1300</f>
        <v>0</v>
      </c>
      <c r="Q690">
        <f>'[1]Processed Data'!Q1300</f>
        <v>3</v>
      </c>
    </row>
    <row r="691" spans="2:17" hidden="1">
      <c r="B691">
        <f>'[1]Processed Data'!B1301</f>
        <v>2013</v>
      </c>
      <c r="C691">
        <f>'[1]Processed Data'!C1301</f>
        <v>112</v>
      </c>
      <c r="D691" t="str">
        <f>'[1]Processed Data'!D1301</f>
        <v>Tony Romo</v>
      </c>
      <c r="E691">
        <f>Table1[[#This Row],[Year]]</f>
        <v>2013</v>
      </c>
      <c r="F691">
        <f>'[1]Processed Data'!F1301</f>
        <v>342</v>
      </c>
      <c r="G691">
        <f>'[1]Processed Data'!G1301</f>
        <v>535</v>
      </c>
      <c r="H691">
        <f>'[1]Processed Data'!H1301</f>
        <v>63.9</v>
      </c>
      <c r="I691">
        <f>'[1]Processed Data'!I1301</f>
        <v>31</v>
      </c>
      <c r="J691">
        <f>'[1]Processed Data'!J1301</f>
        <v>10</v>
      </c>
      <c r="K691">
        <f>'[1]Processed Data'!K1301</f>
        <v>35</v>
      </c>
      <c r="L691">
        <f>'[1]Processed Data'!L1301</f>
        <v>20</v>
      </c>
      <c r="M691">
        <f>'[1]Processed Data'!M1301</f>
        <v>38</v>
      </c>
      <c r="N691">
        <f>'[1]Processed Data'!N1301</f>
        <v>0</v>
      </c>
      <c r="O691">
        <f>'[1]Processed Data'!O1301</f>
        <v>1</v>
      </c>
      <c r="P691">
        <f>'[1]Processed Data'!P1301</f>
        <v>0</v>
      </c>
      <c r="Q691">
        <f>'[1]Processed Data'!Q1301</f>
        <v>15</v>
      </c>
    </row>
    <row r="692" spans="2:17" hidden="1">
      <c r="B692">
        <f>'[1]Processed Data'!B1302</f>
        <v>2013</v>
      </c>
      <c r="C692">
        <f>'[1]Processed Data'!C1302</f>
        <v>113</v>
      </c>
      <c r="D692" t="str">
        <f>'[1]Processed Data'!D1302</f>
        <v>Sam Bradford</v>
      </c>
      <c r="E692">
        <f>Table1[[#This Row],[Year]]</f>
        <v>2013</v>
      </c>
      <c r="F692">
        <f>'[1]Processed Data'!F1302</f>
        <v>159</v>
      </c>
      <c r="G692">
        <f>'[1]Processed Data'!G1302</f>
        <v>262</v>
      </c>
      <c r="H692">
        <f>'[1]Processed Data'!H1302</f>
        <v>60.7</v>
      </c>
      <c r="I692">
        <f>'[1]Processed Data'!I1302</f>
        <v>14</v>
      </c>
      <c r="J692">
        <f>'[1]Processed Data'!J1302</f>
        <v>4</v>
      </c>
      <c r="K692">
        <f>'[1]Processed Data'!K1302</f>
        <v>15</v>
      </c>
      <c r="L692">
        <f>'[1]Processed Data'!L1302</f>
        <v>15</v>
      </c>
      <c r="M692">
        <f>'[1]Processed Data'!M1302</f>
        <v>31</v>
      </c>
      <c r="N692">
        <f>'[1]Processed Data'!N1302</f>
        <v>0</v>
      </c>
      <c r="O692">
        <f>'[1]Processed Data'!O1302</f>
        <v>1</v>
      </c>
      <c r="P692">
        <f>'[1]Processed Data'!P1302</f>
        <v>0</v>
      </c>
      <c r="Q692">
        <f>'[1]Processed Data'!Q1302</f>
        <v>7</v>
      </c>
    </row>
    <row r="693" spans="2:17" hidden="1">
      <c r="B693">
        <f>'[1]Processed Data'!B1303</f>
        <v>2013</v>
      </c>
      <c r="C693">
        <f>'[1]Processed Data'!C1303</f>
        <v>114</v>
      </c>
      <c r="D693" t="str">
        <f>'[1]Processed Data'!D1303</f>
        <v>Seneca Wallace</v>
      </c>
      <c r="E693">
        <f>Table1[[#This Row],[Year]]</f>
        <v>2013</v>
      </c>
      <c r="F693">
        <f>'[1]Processed Data'!F1303</f>
        <v>16</v>
      </c>
      <c r="G693">
        <f>'[1]Processed Data'!G1303</f>
        <v>24</v>
      </c>
      <c r="H693">
        <f>'[1]Processed Data'!H1303</f>
        <v>66.7</v>
      </c>
      <c r="I693">
        <f>'[1]Processed Data'!I1303</f>
        <v>0</v>
      </c>
      <c r="J693">
        <f>'[1]Processed Data'!J1303</f>
        <v>1</v>
      </c>
      <c r="K693">
        <f>'[1]Processed Data'!K1303</f>
        <v>4</v>
      </c>
      <c r="L693">
        <f>'[1]Processed Data'!L1303</f>
        <v>0</v>
      </c>
      <c r="M693">
        <f>'[1]Processed Data'!M1303</f>
        <v>0</v>
      </c>
      <c r="N693">
        <f>'[1]Processed Data'!N1303</f>
        <v>0</v>
      </c>
      <c r="O693">
        <f>'[1]Processed Data'!O1303</f>
        <v>0</v>
      </c>
      <c r="P693">
        <f>'[1]Processed Data'!P1303</f>
        <v>0</v>
      </c>
      <c r="Q693">
        <f>'[1]Processed Data'!Q1303</f>
        <v>2</v>
      </c>
    </row>
    <row r="694" spans="2:17" hidden="1">
      <c r="B694">
        <f>'[1]Processed Data'!B1304</f>
        <v>2013</v>
      </c>
      <c r="C694">
        <f>'[1]Processed Data'!C1304</f>
        <v>115</v>
      </c>
      <c r="D694" t="str">
        <f>'[1]Processed Data'!D1304</f>
        <v>Charlie Whitehurst</v>
      </c>
      <c r="E694">
        <f>Table1[[#This Row],[Year]]</f>
        <v>2013</v>
      </c>
      <c r="F694">
        <f>'[1]Processed Data'!F1304</f>
        <v>0</v>
      </c>
      <c r="G694">
        <f>'[1]Processed Data'!G1304</f>
        <v>0</v>
      </c>
      <c r="H694">
        <f>'[1]Processed Data'!H1304</f>
        <v>0</v>
      </c>
      <c r="I694">
        <f>'[1]Processed Data'!I1304</f>
        <v>0</v>
      </c>
      <c r="J694">
        <f>'[1]Processed Data'!J1304</f>
        <v>0</v>
      </c>
      <c r="K694">
        <f>'[1]Processed Data'!K1304</f>
        <v>0</v>
      </c>
      <c r="L694">
        <f>'[1]Processed Data'!L1304</f>
        <v>6</v>
      </c>
      <c r="M694">
        <f>'[1]Processed Data'!M1304</f>
        <v>-5</v>
      </c>
      <c r="N694">
        <f>'[1]Processed Data'!N1304</f>
        <v>0</v>
      </c>
      <c r="O694">
        <f>'[1]Processed Data'!O1304</f>
        <v>0</v>
      </c>
      <c r="P694">
        <f>'[1]Processed Data'!P1304</f>
        <v>0</v>
      </c>
      <c r="Q694">
        <f>'[1]Processed Data'!Q1304</f>
        <v>2</v>
      </c>
    </row>
    <row r="695" spans="2:17" hidden="1">
      <c r="B695">
        <f>'[1]Processed Data'!B1305</f>
        <v>2013</v>
      </c>
      <c r="C695">
        <f>'[1]Processed Data'!C1305</f>
        <v>116</v>
      </c>
      <c r="D695" t="str">
        <f>'[1]Processed Data'!D1305</f>
        <v>Shaun Hill</v>
      </c>
      <c r="E695">
        <f>Table1[[#This Row],[Year]]</f>
        <v>2013</v>
      </c>
      <c r="F695">
        <f>'[1]Processed Data'!F1305</f>
        <v>0</v>
      </c>
      <c r="G695">
        <f>'[1]Processed Data'!G1305</f>
        <v>0</v>
      </c>
      <c r="H695">
        <f>'[1]Processed Data'!H1305</f>
        <v>0</v>
      </c>
      <c r="I695">
        <f>'[1]Processed Data'!I1305</f>
        <v>0</v>
      </c>
      <c r="J695">
        <f>'[1]Processed Data'!J1305</f>
        <v>0</v>
      </c>
      <c r="K695">
        <f>'[1]Processed Data'!K1305</f>
        <v>0</v>
      </c>
      <c r="L695">
        <f>'[1]Processed Data'!L1305</f>
        <v>2</v>
      </c>
      <c r="M695">
        <f>'[1]Processed Data'!M1305</f>
        <v>-2</v>
      </c>
      <c r="N695">
        <f>'[1]Processed Data'!N1305</f>
        <v>0</v>
      </c>
      <c r="O695">
        <f>'[1]Processed Data'!O1305</f>
        <v>0</v>
      </c>
      <c r="P695">
        <f>'[1]Processed Data'!P1305</f>
        <v>0</v>
      </c>
      <c r="Q695">
        <f>'[1]Processed Data'!Q1305</f>
        <v>1</v>
      </c>
    </row>
    <row r="696" spans="2:17" hidden="1">
      <c r="B696">
        <f>'[1]Processed Data'!B1306</f>
        <v>2013</v>
      </c>
      <c r="C696">
        <f>'[1]Processed Data'!C1306</f>
        <v>117</v>
      </c>
      <c r="D696" t="str">
        <f>'[1]Processed Data'!D1306</f>
        <v>Kyle Orton</v>
      </c>
      <c r="E696">
        <f>Table1[[#This Row],[Year]]</f>
        <v>2013</v>
      </c>
      <c r="F696">
        <f>'[1]Processed Data'!F1306</f>
        <v>33</v>
      </c>
      <c r="G696">
        <f>'[1]Processed Data'!G1306</f>
        <v>51</v>
      </c>
      <c r="H696">
        <f>'[1]Processed Data'!H1306</f>
        <v>64.7</v>
      </c>
      <c r="I696">
        <f>'[1]Processed Data'!I1306</f>
        <v>2</v>
      </c>
      <c r="J696">
        <f>'[1]Processed Data'!J1306</f>
        <v>2</v>
      </c>
      <c r="K696">
        <f>'[1]Processed Data'!K1306</f>
        <v>0</v>
      </c>
      <c r="L696">
        <f>'[1]Processed Data'!L1306</f>
        <v>1</v>
      </c>
      <c r="M696">
        <f>'[1]Processed Data'!M1306</f>
        <v>8</v>
      </c>
      <c r="N696">
        <f>'[1]Processed Data'!N1306</f>
        <v>0</v>
      </c>
      <c r="O696">
        <f>'[1]Processed Data'!O1306</f>
        <v>0</v>
      </c>
      <c r="P696">
        <f>'[1]Processed Data'!P1306</f>
        <v>0</v>
      </c>
      <c r="Q696">
        <f>'[1]Processed Data'!Q1306</f>
        <v>3</v>
      </c>
    </row>
    <row r="697" spans="2:17" hidden="1">
      <c r="B697">
        <f>'[1]Processed Data'!B1307</f>
        <v>2013</v>
      </c>
      <c r="C697">
        <f>'[1]Processed Data'!C1307</f>
        <v>118</v>
      </c>
      <c r="D697" t="str">
        <f>'[1]Processed Data'!D1307</f>
        <v>Matt Cassel</v>
      </c>
      <c r="E697">
        <f>Table1[[#This Row],[Year]]</f>
        <v>2013</v>
      </c>
      <c r="F697">
        <f>'[1]Processed Data'!F1307</f>
        <v>153</v>
      </c>
      <c r="G697">
        <f>'[1]Processed Data'!G1307</f>
        <v>254</v>
      </c>
      <c r="H697">
        <f>'[1]Processed Data'!H1307</f>
        <v>60.2</v>
      </c>
      <c r="I697">
        <f>'[1]Processed Data'!I1307</f>
        <v>11</v>
      </c>
      <c r="J697">
        <f>'[1]Processed Data'!J1307</f>
        <v>9</v>
      </c>
      <c r="K697">
        <f>'[1]Processed Data'!K1307</f>
        <v>16</v>
      </c>
      <c r="L697">
        <f>'[1]Processed Data'!L1307</f>
        <v>18</v>
      </c>
      <c r="M697">
        <f>'[1]Processed Data'!M1307</f>
        <v>57</v>
      </c>
      <c r="N697">
        <f>'[1]Processed Data'!N1307</f>
        <v>1</v>
      </c>
      <c r="O697">
        <f>'[1]Processed Data'!O1307</f>
        <v>1</v>
      </c>
      <c r="P697">
        <f>'[1]Processed Data'!P1307</f>
        <v>0</v>
      </c>
      <c r="Q697">
        <f>'[1]Processed Data'!Q1307</f>
        <v>9</v>
      </c>
    </row>
    <row r="698" spans="2:17" hidden="1">
      <c r="B698">
        <f>'[1]Processed Data'!B1308</f>
        <v>2013</v>
      </c>
      <c r="C698">
        <f>'[1]Processed Data'!C1308</f>
        <v>119</v>
      </c>
      <c r="D698" t="str">
        <f>'[1]Processed Data'!D1308</f>
        <v>Philip Rivers</v>
      </c>
      <c r="E698">
        <f>Table1[[#This Row],[Year]]</f>
        <v>2013</v>
      </c>
      <c r="F698">
        <f>'[1]Processed Data'!F1308</f>
        <v>378</v>
      </c>
      <c r="G698">
        <f>'[1]Processed Data'!G1308</f>
        <v>544</v>
      </c>
      <c r="H698">
        <f>'[1]Processed Data'!H1308</f>
        <v>69.5</v>
      </c>
      <c r="I698">
        <f>'[1]Processed Data'!I1308</f>
        <v>32</v>
      </c>
      <c r="J698">
        <f>'[1]Processed Data'!J1308</f>
        <v>11</v>
      </c>
      <c r="K698">
        <f>'[1]Processed Data'!K1308</f>
        <v>30</v>
      </c>
      <c r="L698">
        <f>'[1]Processed Data'!L1308</f>
        <v>28</v>
      </c>
      <c r="M698">
        <f>'[1]Processed Data'!M1308</f>
        <v>72</v>
      </c>
      <c r="N698">
        <f>'[1]Processed Data'!N1308</f>
        <v>0</v>
      </c>
      <c r="O698">
        <f>'[1]Processed Data'!O1308</f>
        <v>2</v>
      </c>
      <c r="P698">
        <f>'[1]Processed Data'!P1308</f>
        <v>0</v>
      </c>
      <c r="Q698">
        <f>'[1]Processed Data'!Q1308</f>
        <v>16</v>
      </c>
    </row>
    <row r="699" spans="2:17" hidden="1">
      <c r="B699">
        <f>'[1]Processed Data'!B1309</f>
        <v>2013</v>
      </c>
      <c r="C699">
        <f>'[1]Processed Data'!C1309</f>
        <v>120</v>
      </c>
      <c r="D699" t="str">
        <f>'[1]Processed Data'!D1309</f>
        <v>Matt Flynn</v>
      </c>
      <c r="E699">
        <f>Table1[[#This Row],[Year]]</f>
        <v>2013</v>
      </c>
      <c r="F699">
        <f>'[1]Processed Data'!F1309</f>
        <v>124</v>
      </c>
      <c r="G699">
        <f>'[1]Processed Data'!G1309</f>
        <v>200</v>
      </c>
      <c r="H699">
        <f>'[1]Processed Data'!H1309</f>
        <v>62</v>
      </c>
      <c r="I699">
        <f>'[1]Processed Data'!I1309</f>
        <v>8</v>
      </c>
      <c r="J699">
        <f>'[1]Processed Data'!J1309</f>
        <v>5</v>
      </c>
      <c r="K699">
        <f>'[1]Processed Data'!K1309</f>
        <v>24</v>
      </c>
      <c r="L699">
        <f>'[1]Processed Data'!L1309</f>
        <v>20</v>
      </c>
      <c r="M699">
        <f>'[1]Processed Data'!M1309</f>
        <v>65</v>
      </c>
      <c r="N699">
        <f>'[1]Processed Data'!N1309</f>
        <v>0</v>
      </c>
      <c r="O699">
        <f>'[1]Processed Data'!O1309</f>
        <v>6</v>
      </c>
      <c r="P699">
        <f>'[1]Processed Data'!P1309</f>
        <v>0</v>
      </c>
      <c r="Q699">
        <f>'[1]Processed Data'!Q1309</f>
        <v>7</v>
      </c>
    </row>
    <row r="700" spans="2:17" hidden="1">
      <c r="B700">
        <f>'[1]Processed Data'!B1310</f>
        <v>2013</v>
      </c>
      <c r="C700">
        <f>'[1]Processed Data'!C1310</f>
        <v>121</v>
      </c>
      <c r="D700" t="str">
        <f>'[1]Processed Data'!D1310</f>
        <v>Matt Hasselbeck</v>
      </c>
      <c r="E700">
        <f>Table1[[#This Row],[Year]]</f>
        <v>2013</v>
      </c>
      <c r="F700">
        <f>'[1]Processed Data'!F1310</f>
        <v>7</v>
      </c>
      <c r="G700">
        <f>'[1]Processed Data'!G1310</f>
        <v>12</v>
      </c>
      <c r="H700">
        <f>'[1]Processed Data'!H1310</f>
        <v>58.3</v>
      </c>
      <c r="I700">
        <f>'[1]Processed Data'!I1310</f>
        <v>0</v>
      </c>
      <c r="J700">
        <f>'[1]Processed Data'!J1310</f>
        <v>1</v>
      </c>
      <c r="K700">
        <f>'[1]Processed Data'!K1310</f>
        <v>0</v>
      </c>
      <c r="L700">
        <f>'[1]Processed Data'!L1310</f>
        <v>2</v>
      </c>
      <c r="M700">
        <f>'[1]Processed Data'!M1310</f>
        <v>-2</v>
      </c>
      <c r="N700">
        <f>'[1]Processed Data'!N1310</f>
        <v>0</v>
      </c>
      <c r="O700">
        <f>'[1]Processed Data'!O1310</f>
        <v>0</v>
      </c>
      <c r="P700">
        <f>'[1]Processed Data'!P1310</f>
        <v>0</v>
      </c>
      <c r="Q700">
        <f>'[1]Processed Data'!Q1310</f>
        <v>3</v>
      </c>
    </row>
    <row r="701" spans="2:17" hidden="1">
      <c r="B701">
        <f>'[1]Processed Data'!B1311</f>
        <v>2013</v>
      </c>
      <c r="C701">
        <f>'[1]Processed Data'!C1311</f>
        <v>122</v>
      </c>
      <c r="D701" t="str">
        <f>'[1]Processed Data'!D1311</f>
        <v>Michael Vick</v>
      </c>
      <c r="E701">
        <f>Table1[[#This Row],[Year]]</f>
        <v>2013</v>
      </c>
      <c r="F701">
        <f>'[1]Processed Data'!F1311</f>
        <v>77</v>
      </c>
      <c r="G701">
        <f>'[1]Processed Data'!G1311</f>
        <v>141</v>
      </c>
      <c r="H701">
        <f>'[1]Processed Data'!H1311</f>
        <v>54.6</v>
      </c>
      <c r="I701">
        <f>'[1]Processed Data'!I1311</f>
        <v>5</v>
      </c>
      <c r="J701">
        <f>'[1]Processed Data'!J1311</f>
        <v>3</v>
      </c>
      <c r="K701">
        <f>'[1]Processed Data'!K1311</f>
        <v>15</v>
      </c>
      <c r="L701">
        <f>'[1]Processed Data'!L1311</f>
        <v>36</v>
      </c>
      <c r="M701">
        <f>'[1]Processed Data'!M1311</f>
        <v>306</v>
      </c>
      <c r="N701">
        <f>'[1]Processed Data'!N1311</f>
        <v>2</v>
      </c>
      <c r="O701">
        <f>'[1]Processed Data'!O1311</f>
        <v>2</v>
      </c>
      <c r="P701">
        <f>'[1]Processed Data'!P1311</f>
        <v>0</v>
      </c>
      <c r="Q701">
        <f>'[1]Processed Data'!Q1311</f>
        <v>7</v>
      </c>
    </row>
    <row r="702" spans="2:17" hidden="1">
      <c r="B702">
        <f>'[1]Processed Data'!B1312</f>
        <v>2013</v>
      </c>
      <c r="C702">
        <f>'[1]Processed Data'!C1312</f>
        <v>123</v>
      </c>
      <c r="D702" t="str">
        <f>'[1]Processed Data'!D1312</f>
        <v>Peyton Manning</v>
      </c>
      <c r="E702">
        <f>Table1[[#This Row],[Year]]</f>
        <v>2013</v>
      </c>
      <c r="F702">
        <f>'[1]Processed Data'!F1312</f>
        <v>450</v>
      </c>
      <c r="G702">
        <f>'[1]Processed Data'!G1312</f>
        <v>659</v>
      </c>
      <c r="H702">
        <f>'[1]Processed Data'!H1312</f>
        <v>68.3</v>
      </c>
      <c r="I702">
        <f>'[1]Processed Data'!I1312</f>
        <v>55</v>
      </c>
      <c r="J702">
        <f>'[1]Processed Data'!J1312</f>
        <v>10</v>
      </c>
      <c r="K702">
        <f>'[1]Processed Data'!K1312</f>
        <v>18</v>
      </c>
      <c r="L702">
        <f>'[1]Processed Data'!L1312</f>
        <v>32</v>
      </c>
      <c r="M702">
        <f>'[1]Processed Data'!M1312</f>
        <v>-31</v>
      </c>
      <c r="N702">
        <f>'[1]Processed Data'!N1312</f>
        <v>1</v>
      </c>
      <c r="O702">
        <f>'[1]Processed Data'!O1312</f>
        <v>6</v>
      </c>
      <c r="P702">
        <f>'[1]Processed Data'!P1312</f>
        <v>0</v>
      </c>
      <c r="Q702">
        <f>'[1]Processed Data'!Q1312</f>
        <v>16</v>
      </c>
    </row>
    <row r="703" spans="2:17" hidden="1">
      <c r="B703">
        <f>'[1]Processed Data'!B1323</f>
        <v>2013</v>
      </c>
      <c r="C703">
        <f>'[1]Processed Data'!C1323</f>
        <v>134</v>
      </c>
      <c r="D703" t="str">
        <f>'[1]Processed Data'!D1323</f>
        <v>E.J. Manuel</v>
      </c>
      <c r="E703">
        <f>Table1[[#This Row],[Year]]</f>
        <v>2013</v>
      </c>
      <c r="F703">
        <f>'[1]Processed Data'!F1323</f>
        <v>180</v>
      </c>
      <c r="G703">
        <f>'[1]Processed Data'!G1323</f>
        <v>306</v>
      </c>
      <c r="H703">
        <f>'[1]Processed Data'!H1323</f>
        <v>58.8</v>
      </c>
      <c r="I703">
        <f>'[1]Processed Data'!I1323</f>
        <v>11</v>
      </c>
      <c r="J703">
        <f>'[1]Processed Data'!J1323</f>
        <v>9</v>
      </c>
      <c r="K703">
        <f>'[1]Processed Data'!K1323</f>
        <v>28</v>
      </c>
      <c r="L703">
        <f>'[1]Processed Data'!L1323</f>
        <v>53</v>
      </c>
      <c r="M703">
        <f>'[1]Processed Data'!M1323</f>
        <v>186</v>
      </c>
      <c r="N703">
        <f>'[1]Processed Data'!N1323</f>
        <v>2</v>
      </c>
      <c r="O703">
        <f>'[1]Processed Data'!O1323</f>
        <v>3</v>
      </c>
      <c r="P703">
        <f>'[1]Processed Data'!P1323</f>
        <v>0</v>
      </c>
      <c r="Q703">
        <f>'[1]Processed Data'!Q1323</f>
        <v>10</v>
      </c>
    </row>
    <row r="704" spans="2:17" hidden="1">
      <c r="B704">
        <f>'[1]Processed Data'!B1340</f>
        <v>2013</v>
      </c>
      <c r="C704">
        <f>'[1]Processed Data'!C1340</f>
        <v>151</v>
      </c>
      <c r="D704" t="str">
        <f>'[1]Processed Data'!D1340</f>
        <v>Matt McGloin</v>
      </c>
      <c r="E704">
        <f>Table1[[#This Row],[Year]]</f>
        <v>2013</v>
      </c>
      <c r="F704">
        <f>'[1]Processed Data'!F1340</f>
        <v>118</v>
      </c>
      <c r="G704">
        <f>'[1]Processed Data'!G1340</f>
        <v>211</v>
      </c>
      <c r="H704">
        <f>'[1]Processed Data'!H1340</f>
        <v>55.9</v>
      </c>
      <c r="I704">
        <f>'[1]Processed Data'!I1340</f>
        <v>8</v>
      </c>
      <c r="J704">
        <f>'[1]Processed Data'!J1340</f>
        <v>8</v>
      </c>
      <c r="K704">
        <f>'[1]Processed Data'!K1340</f>
        <v>6</v>
      </c>
      <c r="L704">
        <f>'[1]Processed Data'!L1340</f>
        <v>11</v>
      </c>
      <c r="M704">
        <f>'[1]Processed Data'!M1340</f>
        <v>27</v>
      </c>
      <c r="N704">
        <f>'[1]Processed Data'!N1340</f>
        <v>0</v>
      </c>
      <c r="O704">
        <f>'[1]Processed Data'!O1340</f>
        <v>1</v>
      </c>
      <c r="P704">
        <f>'[1]Processed Data'!P1340</f>
        <v>0</v>
      </c>
      <c r="Q704">
        <f>'[1]Processed Data'!Q1340</f>
        <v>7</v>
      </c>
    </row>
    <row r="705" spans="2:17" hidden="1">
      <c r="B705">
        <f>'[1]Processed Data'!B1341</f>
        <v>2013</v>
      </c>
      <c r="C705">
        <f>'[1]Processed Data'!C1341</f>
        <v>152</v>
      </c>
      <c r="D705" t="str">
        <f>'[1]Processed Data'!D1341</f>
        <v>Matt Simms</v>
      </c>
      <c r="E705">
        <f>Table1[[#This Row],[Year]]</f>
        <v>2013</v>
      </c>
      <c r="F705">
        <f>'[1]Processed Data'!F1341</f>
        <v>16</v>
      </c>
      <c r="G705">
        <f>'[1]Processed Data'!G1341</f>
        <v>31</v>
      </c>
      <c r="H705">
        <f>'[1]Processed Data'!H1341</f>
        <v>51.6</v>
      </c>
      <c r="I705">
        <f>'[1]Processed Data'!I1341</f>
        <v>1</v>
      </c>
      <c r="J705">
        <f>'[1]Processed Data'!J1341</f>
        <v>1</v>
      </c>
      <c r="K705">
        <f>'[1]Processed Data'!K1341</f>
        <v>4</v>
      </c>
      <c r="L705">
        <f>'[1]Processed Data'!L1341</f>
        <v>5</v>
      </c>
      <c r="M705">
        <f>'[1]Processed Data'!M1341</f>
        <v>37</v>
      </c>
      <c r="N705">
        <f>'[1]Processed Data'!N1341</f>
        <v>0</v>
      </c>
      <c r="O705">
        <f>'[1]Processed Data'!O1341</f>
        <v>1</v>
      </c>
      <c r="P705">
        <f>'[1]Processed Data'!P1341</f>
        <v>0</v>
      </c>
      <c r="Q705">
        <f>'[1]Processed Data'!Q1341</f>
        <v>3</v>
      </c>
    </row>
    <row r="706" spans="2:17" hidden="1">
      <c r="B706">
        <f>'[1]Processed Data'!B1353</f>
        <v>2013</v>
      </c>
      <c r="C706">
        <f>'[1]Processed Data'!C1353</f>
        <v>164</v>
      </c>
      <c r="D706" t="str">
        <f>'[1]Processed Data'!D1353</f>
        <v>Colt McCoy</v>
      </c>
      <c r="E706">
        <f>Table1[[#This Row],[Year]]</f>
        <v>2013</v>
      </c>
      <c r="F706">
        <f>'[1]Processed Data'!F1353</f>
        <v>1</v>
      </c>
      <c r="G706">
        <f>'[1]Processed Data'!G1353</f>
        <v>1</v>
      </c>
      <c r="H706">
        <f>'[1]Processed Data'!H1353</f>
        <v>100</v>
      </c>
      <c r="I706">
        <f>'[1]Processed Data'!I1353</f>
        <v>0</v>
      </c>
      <c r="J706">
        <f>'[1]Processed Data'!J1353</f>
        <v>0</v>
      </c>
      <c r="K706">
        <f>'[1]Processed Data'!K1353</f>
        <v>0</v>
      </c>
      <c r="L706">
        <f>'[1]Processed Data'!L1353</f>
        <v>6</v>
      </c>
      <c r="M706">
        <f>'[1]Processed Data'!M1353</f>
        <v>-6</v>
      </c>
      <c r="N706">
        <f>'[1]Processed Data'!N1353</f>
        <v>0</v>
      </c>
      <c r="O706">
        <f>'[1]Processed Data'!O1353</f>
        <v>0</v>
      </c>
      <c r="P706">
        <f>'[1]Processed Data'!P1353</f>
        <v>-0.1</v>
      </c>
      <c r="Q706">
        <f>'[1]Processed Data'!Q1353</f>
        <v>4</v>
      </c>
    </row>
    <row r="707" spans="2:17" hidden="1">
      <c r="B707">
        <f>'[1]Processed Data'!B1354</f>
        <v>2013</v>
      </c>
      <c r="C707">
        <f>'[1]Processed Data'!C1354</f>
        <v>165</v>
      </c>
      <c r="D707" t="str">
        <f>'[1]Processed Data'!D1354</f>
        <v>Luke McCown</v>
      </c>
      <c r="E707">
        <f>Table1[[#This Row],[Year]]</f>
        <v>2013</v>
      </c>
      <c r="F707">
        <f>'[1]Processed Data'!F1354</f>
        <v>0</v>
      </c>
      <c r="G707">
        <f>'[1]Processed Data'!G1354</f>
        <v>1</v>
      </c>
      <c r="H707">
        <f>'[1]Processed Data'!H1354</f>
        <v>0</v>
      </c>
      <c r="I707">
        <f>'[1]Processed Data'!I1354</f>
        <v>0</v>
      </c>
      <c r="J707">
        <f>'[1]Processed Data'!J1354</f>
        <v>0</v>
      </c>
      <c r="K707">
        <f>'[1]Processed Data'!K1354</f>
        <v>0</v>
      </c>
      <c r="L707">
        <f>'[1]Processed Data'!L1354</f>
        <v>3</v>
      </c>
      <c r="M707">
        <f>'[1]Processed Data'!M1354</f>
        <v>-4</v>
      </c>
      <c r="N707">
        <f>'[1]Processed Data'!N1354</f>
        <v>0</v>
      </c>
      <c r="O707">
        <f>'[1]Processed Data'!O1354</f>
        <v>0</v>
      </c>
      <c r="P707">
        <f>'[1]Processed Data'!P1354</f>
        <v>-0.4</v>
      </c>
      <c r="Q707">
        <f>'[1]Processed Data'!Q1354</f>
        <v>16</v>
      </c>
    </row>
    <row r="708" spans="2:17" hidden="1">
      <c r="B708">
        <f>'[1]Processed Data'!B1355</f>
        <v>2013</v>
      </c>
      <c r="C708">
        <f>'[1]Processed Data'!C1355</f>
        <v>166</v>
      </c>
      <c r="D708" t="str">
        <f>'[1]Processed Data'!D1355</f>
        <v>Matt Moore</v>
      </c>
      <c r="E708">
        <f>Table1[[#This Row],[Year]]</f>
        <v>2013</v>
      </c>
      <c r="F708">
        <f>'[1]Processed Data'!F1355</f>
        <v>2</v>
      </c>
      <c r="G708">
        <f>'[1]Processed Data'!G1355</f>
        <v>6</v>
      </c>
      <c r="H708">
        <f>'[1]Processed Data'!H1355</f>
        <v>33.299999999999997</v>
      </c>
      <c r="I708">
        <f>'[1]Processed Data'!I1355</f>
        <v>0</v>
      </c>
      <c r="J708">
        <f>'[1]Processed Data'!J1355</f>
        <v>2</v>
      </c>
      <c r="K708">
        <f>'[1]Processed Data'!K1355</f>
        <v>0</v>
      </c>
      <c r="L708">
        <f>'[1]Processed Data'!L1355</f>
        <v>0</v>
      </c>
      <c r="M708">
        <f>'[1]Processed Data'!M1355</f>
        <v>0</v>
      </c>
      <c r="N708">
        <f>'[1]Processed Data'!N1355</f>
        <v>0</v>
      </c>
      <c r="O708">
        <f>'[1]Processed Data'!O1355</f>
        <v>0</v>
      </c>
      <c r="P708">
        <f>'[1]Processed Data'!P1355</f>
        <v>-1.9</v>
      </c>
      <c r="Q708">
        <f>'[1]Processed Data'!Q1355</f>
        <v>1</v>
      </c>
    </row>
    <row r="709" spans="2:17" hidden="1">
      <c r="B709">
        <f>'[1]Processed Data'!B1356</f>
        <v>2012</v>
      </c>
      <c r="C709">
        <f>'[1]Processed Data'!C1356</f>
        <v>1</v>
      </c>
      <c r="D709" t="str">
        <f>'[1]Processed Data'!D1356</f>
        <v>Drew Brees</v>
      </c>
      <c r="E709">
        <f>Table1[[#This Row],[Year]]</f>
        <v>2012</v>
      </c>
      <c r="F709">
        <f>'[1]Processed Data'!F1356</f>
        <v>422</v>
      </c>
      <c r="G709">
        <f>'[1]Processed Data'!G1356</f>
        <v>670</v>
      </c>
      <c r="H709">
        <f>'[1]Processed Data'!H1356</f>
        <v>63</v>
      </c>
      <c r="I709">
        <f>'[1]Processed Data'!I1356</f>
        <v>43</v>
      </c>
      <c r="J709">
        <f>'[1]Processed Data'!J1356</f>
        <v>19</v>
      </c>
      <c r="K709">
        <f>'[1]Processed Data'!K1356</f>
        <v>26</v>
      </c>
      <c r="L709">
        <f>'[1]Processed Data'!L1356</f>
        <v>15</v>
      </c>
      <c r="M709">
        <f>'[1]Processed Data'!M1356</f>
        <v>5</v>
      </c>
      <c r="N709">
        <f>'[1]Processed Data'!N1356</f>
        <v>1</v>
      </c>
      <c r="O709">
        <f>'[1]Processed Data'!O1356</f>
        <v>1</v>
      </c>
      <c r="P709">
        <f>'[1]Processed Data'!P1356</f>
        <v>345.6</v>
      </c>
      <c r="Q709">
        <f>'[1]Processed Data'!Q1356</f>
        <v>16</v>
      </c>
    </row>
    <row r="710" spans="2:17" hidden="1">
      <c r="B710">
        <f>'[1]Processed Data'!B1357</f>
        <v>2012</v>
      </c>
      <c r="C710">
        <f>'[1]Processed Data'!C1357</f>
        <v>2</v>
      </c>
      <c r="D710" t="str">
        <f>'[1]Processed Data'!D1357</f>
        <v>Aaron Rodgers</v>
      </c>
      <c r="E710">
        <f>Table1[[#This Row],[Year]]</f>
        <v>2012</v>
      </c>
      <c r="F710">
        <f>'[1]Processed Data'!F1357</f>
        <v>371</v>
      </c>
      <c r="G710">
        <f>'[1]Processed Data'!G1357</f>
        <v>552</v>
      </c>
      <c r="H710">
        <f>'[1]Processed Data'!H1357</f>
        <v>67.2</v>
      </c>
      <c r="I710">
        <f>'[1]Processed Data'!I1357</f>
        <v>39</v>
      </c>
      <c r="J710">
        <f>'[1]Processed Data'!J1357</f>
        <v>8</v>
      </c>
      <c r="K710">
        <f>'[1]Processed Data'!K1357</f>
        <v>51</v>
      </c>
      <c r="L710">
        <f>'[1]Processed Data'!L1357</f>
        <v>54</v>
      </c>
      <c r="M710">
        <f>'[1]Processed Data'!M1357</f>
        <v>259</v>
      </c>
      <c r="N710">
        <f>'[1]Processed Data'!N1357</f>
        <v>2</v>
      </c>
      <c r="O710">
        <f>'[1]Processed Data'!O1357</f>
        <v>4</v>
      </c>
      <c r="P710">
        <f>'[1]Processed Data'!P1357</f>
        <v>344</v>
      </c>
      <c r="Q710">
        <f>'[1]Processed Data'!Q1357</f>
        <v>16</v>
      </c>
    </row>
    <row r="711" spans="2:17" hidden="1">
      <c r="B711">
        <f>'[1]Processed Data'!B1358</f>
        <v>2012</v>
      </c>
      <c r="C711">
        <f>'[1]Processed Data'!C1358</f>
        <v>3</v>
      </c>
      <c r="D711" t="str">
        <f>'[1]Processed Data'!D1358</f>
        <v>Tom Brady</v>
      </c>
      <c r="E711">
        <f>Table1[[#This Row],[Year]]</f>
        <v>2012</v>
      </c>
      <c r="F711">
        <f>'[1]Processed Data'!F1358</f>
        <v>401</v>
      </c>
      <c r="G711">
        <f>'[1]Processed Data'!G1358</f>
        <v>637</v>
      </c>
      <c r="H711">
        <f>'[1]Processed Data'!H1358</f>
        <v>63</v>
      </c>
      <c r="I711">
        <f>'[1]Processed Data'!I1358</f>
        <v>34</v>
      </c>
      <c r="J711">
        <f>'[1]Processed Data'!J1358</f>
        <v>8</v>
      </c>
      <c r="K711">
        <f>'[1]Processed Data'!K1358</f>
        <v>27</v>
      </c>
      <c r="L711">
        <f>'[1]Processed Data'!L1358</f>
        <v>23</v>
      </c>
      <c r="M711">
        <f>'[1]Processed Data'!M1358</f>
        <v>32</v>
      </c>
      <c r="N711">
        <f>'[1]Processed Data'!N1358</f>
        <v>4</v>
      </c>
      <c r="O711">
        <f>'[1]Processed Data'!O1358</f>
        <v>0</v>
      </c>
      <c r="P711">
        <f>'[1]Processed Data'!P1358</f>
        <v>340.2</v>
      </c>
      <c r="Q711">
        <f>'[1]Processed Data'!Q1358</f>
        <v>16</v>
      </c>
    </row>
    <row r="712" spans="2:17" hidden="1">
      <c r="B712">
        <f>'[1]Processed Data'!B1359</f>
        <v>2012</v>
      </c>
      <c r="C712">
        <f>'[1]Processed Data'!C1359</f>
        <v>4</v>
      </c>
      <c r="D712" t="str">
        <f>'[1]Processed Data'!D1359</f>
        <v>Cam Newton</v>
      </c>
      <c r="E712">
        <f>Table1[[#This Row],[Year]]</f>
        <v>2012</v>
      </c>
      <c r="F712">
        <f>'[1]Processed Data'!F1359</f>
        <v>280</v>
      </c>
      <c r="G712">
        <f>'[1]Processed Data'!G1359</f>
        <v>485</v>
      </c>
      <c r="H712">
        <f>'[1]Processed Data'!H1359</f>
        <v>57.7</v>
      </c>
      <c r="I712">
        <f>'[1]Processed Data'!I1359</f>
        <v>19</v>
      </c>
      <c r="J712">
        <f>'[1]Processed Data'!J1359</f>
        <v>12</v>
      </c>
      <c r="K712">
        <f>'[1]Processed Data'!K1359</f>
        <v>36</v>
      </c>
      <c r="L712">
        <f>'[1]Processed Data'!L1359</f>
        <v>127</v>
      </c>
      <c r="M712">
        <f>'[1]Processed Data'!M1359</f>
        <v>741</v>
      </c>
      <c r="N712">
        <f>'[1]Processed Data'!N1359</f>
        <v>8</v>
      </c>
      <c r="O712">
        <f>'[1]Processed Data'!O1359</f>
        <v>3</v>
      </c>
      <c r="P712">
        <f>'[1]Processed Data'!P1359</f>
        <v>323.3</v>
      </c>
      <c r="Q712">
        <f>'[1]Processed Data'!Q1359</f>
        <v>16</v>
      </c>
    </row>
    <row r="713" spans="2:17" hidden="1">
      <c r="B713">
        <f>'[1]Processed Data'!B1360</f>
        <v>2012</v>
      </c>
      <c r="C713">
        <f>'[1]Processed Data'!C1360</f>
        <v>5</v>
      </c>
      <c r="D713" t="str">
        <f>'[1]Processed Data'!D1360</f>
        <v>Robert Griffin III</v>
      </c>
      <c r="E713">
        <f>Table1[[#This Row],[Year]]</f>
        <v>2012</v>
      </c>
      <c r="F713">
        <f>'[1]Processed Data'!F1360</f>
        <v>258</v>
      </c>
      <c r="G713">
        <f>'[1]Processed Data'!G1360</f>
        <v>393</v>
      </c>
      <c r="H713">
        <f>'[1]Processed Data'!H1360</f>
        <v>65.599999999999994</v>
      </c>
      <c r="I713">
        <f>'[1]Processed Data'!I1360</f>
        <v>20</v>
      </c>
      <c r="J713">
        <f>'[1]Processed Data'!J1360</f>
        <v>5</v>
      </c>
      <c r="K713">
        <f>'[1]Processed Data'!K1360</f>
        <v>30</v>
      </c>
      <c r="L713">
        <f>'[1]Processed Data'!L1360</f>
        <v>120</v>
      </c>
      <c r="M713">
        <f>'[1]Processed Data'!M1360</f>
        <v>815</v>
      </c>
      <c r="N713">
        <f>'[1]Processed Data'!N1360</f>
        <v>7</v>
      </c>
      <c r="O713">
        <f>'[1]Processed Data'!O1360</f>
        <v>2</v>
      </c>
      <c r="P713">
        <f>'[1]Processed Data'!P1360</f>
        <v>317.39999999999998</v>
      </c>
      <c r="Q713">
        <f>'[1]Processed Data'!Q1360</f>
        <v>15</v>
      </c>
    </row>
    <row r="714" spans="2:17" hidden="1">
      <c r="B714">
        <f>'[1]Processed Data'!B1361</f>
        <v>2012</v>
      </c>
      <c r="C714">
        <f>'[1]Processed Data'!C1361</f>
        <v>6</v>
      </c>
      <c r="D714" t="str">
        <f>'[1]Processed Data'!D1361</f>
        <v>Matt Ryan</v>
      </c>
      <c r="E714">
        <f>Table1[[#This Row],[Year]]</f>
        <v>2012</v>
      </c>
      <c r="F714">
        <f>'[1]Processed Data'!F1361</f>
        <v>422</v>
      </c>
      <c r="G714">
        <f>'[1]Processed Data'!G1361</f>
        <v>615</v>
      </c>
      <c r="H714">
        <f>'[1]Processed Data'!H1361</f>
        <v>68.599999999999994</v>
      </c>
      <c r="I714">
        <f>'[1]Processed Data'!I1361</f>
        <v>32</v>
      </c>
      <c r="J714">
        <f>'[1]Processed Data'!J1361</f>
        <v>14</v>
      </c>
      <c r="K714">
        <f>'[1]Processed Data'!K1361</f>
        <v>28</v>
      </c>
      <c r="L714">
        <f>'[1]Processed Data'!L1361</f>
        <v>34</v>
      </c>
      <c r="M714">
        <f>'[1]Processed Data'!M1361</f>
        <v>141</v>
      </c>
      <c r="N714">
        <f>'[1]Processed Data'!N1361</f>
        <v>1</v>
      </c>
      <c r="O714">
        <f>'[1]Processed Data'!O1361</f>
        <v>2</v>
      </c>
      <c r="P714">
        <f>'[1]Processed Data'!P1361</f>
        <v>305</v>
      </c>
      <c r="Q714">
        <f>'[1]Processed Data'!Q1361</f>
        <v>16</v>
      </c>
    </row>
    <row r="715" spans="2:17" hidden="1">
      <c r="B715">
        <f>'[1]Processed Data'!B1362</f>
        <v>2012</v>
      </c>
      <c r="C715">
        <f>'[1]Processed Data'!C1362</f>
        <v>7</v>
      </c>
      <c r="D715" t="str">
        <f>'[1]Processed Data'!D1362</f>
        <v>Matthew Stafford</v>
      </c>
      <c r="E715">
        <f>Table1[[#This Row],[Year]]</f>
        <v>2012</v>
      </c>
      <c r="F715">
        <f>'[1]Processed Data'!F1362</f>
        <v>435</v>
      </c>
      <c r="G715">
        <f>'[1]Processed Data'!G1362</f>
        <v>727</v>
      </c>
      <c r="H715">
        <f>'[1]Processed Data'!H1362</f>
        <v>59.8</v>
      </c>
      <c r="I715">
        <f>'[1]Processed Data'!I1362</f>
        <v>20</v>
      </c>
      <c r="J715">
        <f>'[1]Processed Data'!J1362</f>
        <v>17</v>
      </c>
      <c r="K715">
        <f>'[1]Processed Data'!K1362</f>
        <v>29</v>
      </c>
      <c r="L715">
        <f>'[1]Processed Data'!L1362</f>
        <v>35</v>
      </c>
      <c r="M715">
        <f>'[1]Processed Data'!M1362</f>
        <v>126</v>
      </c>
      <c r="N715">
        <f>'[1]Processed Data'!N1362</f>
        <v>4</v>
      </c>
      <c r="O715">
        <f>'[1]Processed Data'!O1362</f>
        <v>4</v>
      </c>
      <c r="P715">
        <f>'[1]Processed Data'!P1362</f>
        <v>276</v>
      </c>
      <c r="Q715">
        <f>'[1]Processed Data'!Q1362</f>
        <v>16</v>
      </c>
    </row>
    <row r="716" spans="2:17" hidden="1">
      <c r="B716">
        <f>'[1]Processed Data'!B1363</f>
        <v>2012</v>
      </c>
      <c r="C716">
        <f>'[1]Processed Data'!C1363</f>
        <v>8</v>
      </c>
      <c r="D716" t="str">
        <f>'[1]Processed Data'!D1363</f>
        <v>Russell Wilson</v>
      </c>
      <c r="E716">
        <f>Table1[[#This Row],[Year]]</f>
        <v>2012</v>
      </c>
      <c r="F716">
        <f>'[1]Processed Data'!F1363</f>
        <v>252</v>
      </c>
      <c r="G716">
        <f>'[1]Processed Data'!G1363</f>
        <v>393</v>
      </c>
      <c r="H716">
        <f>'[1]Processed Data'!H1363</f>
        <v>64.099999999999994</v>
      </c>
      <c r="I716">
        <f>'[1]Processed Data'!I1363</f>
        <v>26</v>
      </c>
      <c r="J716">
        <f>'[1]Processed Data'!J1363</f>
        <v>10</v>
      </c>
      <c r="K716">
        <f>'[1]Processed Data'!K1363</f>
        <v>33</v>
      </c>
      <c r="L716">
        <f>'[1]Processed Data'!L1363</f>
        <v>94</v>
      </c>
      <c r="M716">
        <f>'[1]Processed Data'!M1363</f>
        <v>489</v>
      </c>
      <c r="N716">
        <f>'[1]Processed Data'!N1363</f>
        <v>4</v>
      </c>
      <c r="O716">
        <f>'[1]Processed Data'!O1363</f>
        <v>3</v>
      </c>
      <c r="P716">
        <f>'[1]Processed Data'!P1363</f>
        <v>275.39999999999998</v>
      </c>
      <c r="Q716">
        <f>'[1]Processed Data'!Q1363</f>
        <v>16</v>
      </c>
    </row>
    <row r="717" spans="2:17" hidden="1">
      <c r="B717">
        <f>'[1]Processed Data'!B1364</f>
        <v>2012</v>
      </c>
      <c r="C717">
        <f>'[1]Processed Data'!C1364</f>
        <v>9</v>
      </c>
      <c r="D717" t="str">
        <f>'[1]Processed Data'!D1364</f>
        <v>Andy Dalton</v>
      </c>
      <c r="E717">
        <f>Table1[[#This Row],[Year]]</f>
        <v>2012</v>
      </c>
      <c r="F717">
        <f>'[1]Processed Data'!F1364</f>
        <v>329</v>
      </c>
      <c r="G717">
        <f>'[1]Processed Data'!G1364</f>
        <v>528</v>
      </c>
      <c r="H717">
        <f>'[1]Processed Data'!H1364</f>
        <v>62.3</v>
      </c>
      <c r="I717">
        <f>'[1]Processed Data'!I1364</f>
        <v>27</v>
      </c>
      <c r="J717">
        <f>'[1]Processed Data'!J1364</f>
        <v>16</v>
      </c>
      <c r="K717">
        <f>'[1]Processed Data'!K1364</f>
        <v>46</v>
      </c>
      <c r="L717">
        <f>'[1]Processed Data'!L1364</f>
        <v>47</v>
      </c>
      <c r="M717">
        <f>'[1]Processed Data'!M1364</f>
        <v>120</v>
      </c>
      <c r="N717">
        <f>'[1]Processed Data'!N1364</f>
        <v>4</v>
      </c>
      <c r="O717">
        <f>'[1]Processed Data'!O1364</f>
        <v>4</v>
      </c>
      <c r="P717">
        <f>'[1]Processed Data'!P1364</f>
        <v>250.7</v>
      </c>
      <c r="Q717">
        <f>'[1]Processed Data'!Q1364</f>
        <v>16</v>
      </c>
    </row>
    <row r="718" spans="2:17" hidden="1">
      <c r="B718">
        <f>'[1]Processed Data'!B1365</f>
        <v>2012</v>
      </c>
      <c r="C718">
        <f>'[1]Processed Data'!C1365</f>
        <v>10</v>
      </c>
      <c r="D718" t="str">
        <f>'[1]Processed Data'!D1365</f>
        <v>Joe Flacco</v>
      </c>
      <c r="E718">
        <f>Table1[[#This Row],[Year]]</f>
        <v>2012</v>
      </c>
      <c r="F718">
        <f>'[1]Processed Data'!F1365</f>
        <v>317</v>
      </c>
      <c r="G718">
        <f>'[1]Processed Data'!G1365</f>
        <v>531</v>
      </c>
      <c r="H718">
        <f>'[1]Processed Data'!H1365</f>
        <v>59.7</v>
      </c>
      <c r="I718">
        <f>'[1]Processed Data'!I1365</f>
        <v>22</v>
      </c>
      <c r="J718">
        <f>'[1]Processed Data'!J1365</f>
        <v>10</v>
      </c>
      <c r="K718">
        <f>'[1]Processed Data'!K1365</f>
        <v>35</v>
      </c>
      <c r="L718">
        <f>'[1]Processed Data'!L1365</f>
        <v>32</v>
      </c>
      <c r="M718">
        <f>'[1]Processed Data'!M1365</f>
        <v>22</v>
      </c>
      <c r="N718">
        <f>'[1]Processed Data'!N1365</f>
        <v>3</v>
      </c>
      <c r="O718">
        <f>'[1]Processed Data'!O1365</f>
        <v>4</v>
      </c>
      <c r="P718">
        <f>'[1]Processed Data'!P1365</f>
        <v>235.1</v>
      </c>
      <c r="Q718">
        <f>'[1]Processed Data'!Q1365</f>
        <v>16</v>
      </c>
    </row>
    <row r="719" spans="2:17" hidden="1">
      <c r="B719">
        <f>'[1]Processed Data'!B1366</f>
        <v>2012</v>
      </c>
      <c r="C719">
        <f>'[1]Processed Data'!C1366</f>
        <v>11</v>
      </c>
      <c r="D719" t="str">
        <f>'[1]Processed Data'!D1366</f>
        <v>Ben Roethlisberger</v>
      </c>
      <c r="E719">
        <f>Table1[[#This Row],[Year]]</f>
        <v>2012</v>
      </c>
      <c r="F719">
        <f>'[1]Processed Data'!F1366</f>
        <v>284</v>
      </c>
      <c r="G719">
        <f>'[1]Processed Data'!G1366</f>
        <v>449</v>
      </c>
      <c r="H719">
        <f>'[1]Processed Data'!H1366</f>
        <v>63.3</v>
      </c>
      <c r="I719">
        <f>'[1]Processed Data'!I1366</f>
        <v>26</v>
      </c>
      <c r="J719">
        <f>'[1]Processed Data'!J1366</f>
        <v>8</v>
      </c>
      <c r="K719">
        <f>'[1]Processed Data'!K1366</f>
        <v>30</v>
      </c>
      <c r="L719">
        <f>'[1]Processed Data'!L1366</f>
        <v>26</v>
      </c>
      <c r="M719">
        <f>'[1]Processed Data'!M1366</f>
        <v>92</v>
      </c>
      <c r="N719">
        <f>'[1]Processed Data'!N1366</f>
        <v>0</v>
      </c>
      <c r="O719">
        <f>'[1]Processed Data'!O1366</f>
        <v>3</v>
      </c>
      <c r="P719">
        <f>'[1]Processed Data'!P1366</f>
        <v>223.9</v>
      </c>
      <c r="Q719">
        <f>'[1]Processed Data'!Q1366</f>
        <v>13</v>
      </c>
    </row>
    <row r="720" spans="2:17" hidden="1">
      <c r="B720">
        <f>'[1]Processed Data'!B1367</f>
        <v>2012</v>
      </c>
      <c r="C720">
        <f>'[1]Processed Data'!C1367</f>
        <v>12</v>
      </c>
      <c r="D720" t="str">
        <f>'[1]Processed Data'!D1367</f>
        <v>Matt Schaub</v>
      </c>
      <c r="E720">
        <f>Table1[[#This Row],[Year]]</f>
        <v>2012</v>
      </c>
      <c r="F720">
        <f>'[1]Processed Data'!F1367</f>
        <v>350</v>
      </c>
      <c r="G720">
        <f>'[1]Processed Data'!G1367</f>
        <v>544</v>
      </c>
      <c r="H720">
        <f>'[1]Processed Data'!H1367</f>
        <v>64.3</v>
      </c>
      <c r="I720">
        <f>'[1]Processed Data'!I1367</f>
        <v>22</v>
      </c>
      <c r="J720">
        <f>'[1]Processed Data'!J1367</f>
        <v>12</v>
      </c>
      <c r="K720">
        <f>'[1]Processed Data'!K1367</f>
        <v>27</v>
      </c>
      <c r="L720">
        <f>'[1]Processed Data'!L1367</f>
        <v>21</v>
      </c>
      <c r="M720">
        <f>'[1]Processed Data'!M1367</f>
        <v>-9</v>
      </c>
      <c r="N720">
        <f>'[1]Processed Data'!N1367</f>
        <v>0</v>
      </c>
      <c r="O720">
        <f>'[1]Processed Data'!O1367</f>
        <v>0</v>
      </c>
      <c r="P720">
        <f>'[1]Processed Data'!P1367</f>
        <v>223.3</v>
      </c>
      <c r="Q720">
        <f>'[1]Processed Data'!Q1367</f>
        <v>16</v>
      </c>
    </row>
    <row r="721" spans="2:17" hidden="1">
      <c r="B721">
        <f>'[1]Processed Data'!B1368</f>
        <v>2012</v>
      </c>
      <c r="C721">
        <f>'[1]Processed Data'!C1368</f>
        <v>13</v>
      </c>
      <c r="D721" t="str">
        <f>'[1]Processed Data'!D1368</f>
        <v>Ryan Fitzpatrick</v>
      </c>
      <c r="E721">
        <f>Table1[[#This Row],[Year]]</f>
        <v>2012</v>
      </c>
      <c r="F721">
        <f>'[1]Processed Data'!F1368</f>
        <v>306</v>
      </c>
      <c r="G721">
        <f>'[1]Processed Data'!G1368</f>
        <v>505</v>
      </c>
      <c r="H721">
        <f>'[1]Processed Data'!H1368</f>
        <v>60.6</v>
      </c>
      <c r="I721">
        <f>'[1]Processed Data'!I1368</f>
        <v>24</v>
      </c>
      <c r="J721">
        <f>'[1]Processed Data'!J1368</f>
        <v>16</v>
      </c>
      <c r="K721">
        <f>'[1]Processed Data'!K1368</f>
        <v>30</v>
      </c>
      <c r="L721">
        <f>'[1]Processed Data'!L1368</f>
        <v>48</v>
      </c>
      <c r="M721">
        <f>'[1]Processed Data'!M1368</f>
        <v>197</v>
      </c>
      <c r="N721">
        <f>'[1]Processed Data'!N1368</f>
        <v>1</v>
      </c>
      <c r="O721">
        <f>'[1]Processed Data'!O1368</f>
        <v>6</v>
      </c>
      <c r="P721">
        <f>'[1]Processed Data'!P1368</f>
        <v>213.7</v>
      </c>
      <c r="Q721">
        <f>'[1]Processed Data'!Q1368</f>
        <v>16</v>
      </c>
    </row>
    <row r="722" spans="2:17" hidden="1">
      <c r="B722">
        <f>'[1]Processed Data'!B1369</f>
        <v>2012</v>
      </c>
      <c r="C722">
        <f>'[1]Processed Data'!C1369</f>
        <v>14</v>
      </c>
      <c r="D722" t="str">
        <f>'[1]Processed Data'!D1369</f>
        <v>Ryan Tannehill</v>
      </c>
      <c r="E722">
        <f>Table1[[#This Row],[Year]]</f>
        <v>2012</v>
      </c>
      <c r="F722">
        <f>'[1]Processed Data'!F1369</f>
        <v>282</v>
      </c>
      <c r="G722">
        <f>'[1]Processed Data'!G1369</f>
        <v>484</v>
      </c>
      <c r="H722">
        <f>'[1]Processed Data'!H1369</f>
        <v>58.3</v>
      </c>
      <c r="I722">
        <f>'[1]Processed Data'!I1369</f>
        <v>12</v>
      </c>
      <c r="J722">
        <f>'[1]Processed Data'!J1369</f>
        <v>13</v>
      </c>
      <c r="K722">
        <f>'[1]Processed Data'!K1369</f>
        <v>35</v>
      </c>
      <c r="L722">
        <f>'[1]Processed Data'!L1369</f>
        <v>49</v>
      </c>
      <c r="M722">
        <f>'[1]Processed Data'!M1369</f>
        <v>211</v>
      </c>
      <c r="N722">
        <f>'[1]Processed Data'!N1369</f>
        <v>2</v>
      </c>
      <c r="O722">
        <f>'[1]Processed Data'!O1369</f>
        <v>4</v>
      </c>
      <c r="P722">
        <f>'[1]Processed Data'!P1369</f>
        <v>182.7</v>
      </c>
      <c r="Q722">
        <f>'[1]Processed Data'!Q1369</f>
        <v>16</v>
      </c>
    </row>
    <row r="723" spans="2:17" hidden="1">
      <c r="B723">
        <f>'[1]Processed Data'!B1370</f>
        <v>2012</v>
      </c>
      <c r="C723">
        <f>'[1]Processed Data'!C1370</f>
        <v>15</v>
      </c>
      <c r="D723" t="str">
        <f>'[1]Processed Data'!D1370</f>
        <v>Alex Smith</v>
      </c>
      <c r="E723">
        <f>Table1[[#This Row],[Year]]</f>
        <v>2012</v>
      </c>
      <c r="F723">
        <f>'[1]Processed Data'!F1370</f>
        <v>153</v>
      </c>
      <c r="G723">
        <f>'[1]Processed Data'!G1370</f>
        <v>218</v>
      </c>
      <c r="H723">
        <f>'[1]Processed Data'!H1370</f>
        <v>70.2</v>
      </c>
      <c r="I723">
        <f>'[1]Processed Data'!I1370</f>
        <v>13</v>
      </c>
      <c r="J723">
        <f>'[1]Processed Data'!J1370</f>
        <v>5</v>
      </c>
      <c r="K723">
        <f>'[1]Processed Data'!K1370</f>
        <v>24</v>
      </c>
      <c r="L723">
        <f>'[1]Processed Data'!L1370</f>
        <v>31</v>
      </c>
      <c r="M723">
        <f>'[1]Processed Data'!M1370</f>
        <v>132</v>
      </c>
      <c r="N723">
        <f>'[1]Processed Data'!N1370</f>
        <v>0</v>
      </c>
      <c r="O723">
        <f>'[1]Processed Data'!O1370</f>
        <v>1</v>
      </c>
      <c r="P723">
        <f>'[1]Processed Data'!P1370</f>
        <v>122.6</v>
      </c>
      <c r="Q723">
        <f>'[1]Processed Data'!Q1370</f>
        <v>10</v>
      </c>
    </row>
    <row r="724" spans="2:17" hidden="1">
      <c r="B724">
        <f>'[1]Processed Data'!B1371</f>
        <v>2012</v>
      </c>
      <c r="C724">
        <f>'[1]Processed Data'!C1371</f>
        <v>16</v>
      </c>
      <c r="D724" t="str">
        <f>'[1]Processed Data'!D1371</f>
        <v>Chad Henne</v>
      </c>
      <c r="E724">
        <f>Table1[[#This Row],[Year]]</f>
        <v>2012</v>
      </c>
      <c r="F724">
        <f>'[1]Processed Data'!F1371</f>
        <v>166</v>
      </c>
      <c r="G724">
        <f>'[1]Processed Data'!G1371</f>
        <v>308</v>
      </c>
      <c r="H724">
        <f>'[1]Processed Data'!H1371</f>
        <v>53.9</v>
      </c>
      <c r="I724">
        <f>'[1]Processed Data'!I1371</f>
        <v>11</v>
      </c>
      <c r="J724">
        <f>'[1]Processed Data'!J1371</f>
        <v>11</v>
      </c>
      <c r="K724">
        <f>'[1]Processed Data'!K1371</f>
        <v>28</v>
      </c>
      <c r="L724">
        <f>'[1]Processed Data'!L1371</f>
        <v>19</v>
      </c>
      <c r="M724">
        <f>'[1]Processed Data'!M1371</f>
        <v>64</v>
      </c>
      <c r="N724">
        <f>'[1]Processed Data'!N1371</f>
        <v>1</v>
      </c>
      <c r="O724">
        <f>'[1]Processed Data'!O1371</f>
        <v>2</v>
      </c>
      <c r="P724">
        <f>'[1]Processed Data'!P1371</f>
        <v>113.5</v>
      </c>
      <c r="Q724">
        <f>'[1]Processed Data'!Q1371</f>
        <v>10</v>
      </c>
    </row>
    <row r="725" spans="2:17" hidden="1">
      <c r="B725">
        <f>'[1]Processed Data'!B1372</f>
        <v>2012</v>
      </c>
      <c r="C725">
        <f>'[1]Processed Data'!C1372</f>
        <v>17</v>
      </c>
      <c r="D725" t="str">
        <f>'[1]Processed Data'!D1372</f>
        <v>Blaine Gabbert</v>
      </c>
      <c r="E725">
        <f>Table1[[#This Row],[Year]]</f>
        <v>2012</v>
      </c>
      <c r="F725">
        <f>'[1]Processed Data'!F1372</f>
        <v>162</v>
      </c>
      <c r="G725">
        <f>'[1]Processed Data'!G1372</f>
        <v>278</v>
      </c>
      <c r="H725">
        <f>'[1]Processed Data'!H1372</f>
        <v>58.3</v>
      </c>
      <c r="I725">
        <f>'[1]Processed Data'!I1372</f>
        <v>9</v>
      </c>
      <c r="J725">
        <f>'[1]Processed Data'!J1372</f>
        <v>6</v>
      </c>
      <c r="K725">
        <f>'[1]Processed Data'!K1372</f>
        <v>22</v>
      </c>
      <c r="L725">
        <f>'[1]Processed Data'!L1372</f>
        <v>18</v>
      </c>
      <c r="M725">
        <f>'[1]Processed Data'!M1372</f>
        <v>56</v>
      </c>
      <c r="N725">
        <f>'[1]Processed Data'!N1372</f>
        <v>0</v>
      </c>
      <c r="O725">
        <f>'[1]Processed Data'!O1372</f>
        <v>3</v>
      </c>
      <c r="P725">
        <f>'[1]Processed Data'!P1372</f>
        <v>94.1</v>
      </c>
      <c r="Q725">
        <f>'[1]Processed Data'!Q1372</f>
        <v>10</v>
      </c>
    </row>
    <row r="726" spans="2:17" hidden="1">
      <c r="B726">
        <f>'[1]Processed Data'!B1373</f>
        <v>2012</v>
      </c>
      <c r="C726">
        <f>'[1]Processed Data'!C1373</f>
        <v>18</v>
      </c>
      <c r="D726" t="str">
        <f>'[1]Processed Data'!D1373</f>
        <v>Nick Foles</v>
      </c>
      <c r="E726">
        <f>Table1[[#This Row],[Year]]</f>
        <v>2012</v>
      </c>
      <c r="F726">
        <f>'[1]Processed Data'!F1373</f>
        <v>161</v>
      </c>
      <c r="G726">
        <f>'[1]Processed Data'!G1373</f>
        <v>265</v>
      </c>
      <c r="H726">
        <f>'[1]Processed Data'!H1373</f>
        <v>60.8</v>
      </c>
      <c r="I726">
        <f>'[1]Processed Data'!I1373</f>
        <v>6</v>
      </c>
      <c r="J726">
        <f>'[1]Processed Data'!J1373</f>
        <v>5</v>
      </c>
      <c r="K726">
        <f>'[1]Processed Data'!K1373</f>
        <v>20</v>
      </c>
      <c r="L726">
        <f>'[1]Processed Data'!L1373</f>
        <v>11</v>
      </c>
      <c r="M726">
        <f>'[1]Processed Data'!M1373</f>
        <v>42</v>
      </c>
      <c r="N726">
        <f>'[1]Processed Data'!N1373</f>
        <v>1</v>
      </c>
      <c r="O726">
        <f>'[1]Processed Data'!O1373</f>
        <v>3</v>
      </c>
      <c r="P726">
        <f>'[1]Processed Data'!P1373</f>
        <v>86.2</v>
      </c>
      <c r="Q726">
        <f>'[1]Processed Data'!Q1373</f>
        <v>7</v>
      </c>
    </row>
    <row r="727" spans="2:17" hidden="1">
      <c r="B727">
        <f>'[1]Processed Data'!B1374</f>
        <v>2012</v>
      </c>
      <c r="C727">
        <f>'[1]Processed Data'!C1374</f>
        <v>19</v>
      </c>
      <c r="D727" t="str">
        <f>'[1]Processed Data'!D1374</f>
        <v>Kirk Cousins</v>
      </c>
      <c r="E727">
        <f>Table1[[#This Row],[Year]]</f>
        <v>2012</v>
      </c>
      <c r="F727">
        <f>'[1]Processed Data'!F1374</f>
        <v>33</v>
      </c>
      <c r="G727">
        <f>'[1]Processed Data'!G1374</f>
        <v>48</v>
      </c>
      <c r="H727">
        <f>'[1]Processed Data'!H1374</f>
        <v>68.8</v>
      </c>
      <c r="I727">
        <f>'[1]Processed Data'!I1374</f>
        <v>4</v>
      </c>
      <c r="J727">
        <f>'[1]Processed Data'!J1374</f>
        <v>3</v>
      </c>
      <c r="K727">
        <f>'[1]Processed Data'!K1374</f>
        <v>3</v>
      </c>
      <c r="L727">
        <f>'[1]Processed Data'!L1374</f>
        <v>3</v>
      </c>
      <c r="M727">
        <f>'[1]Processed Data'!M1374</f>
        <v>22</v>
      </c>
      <c r="N727">
        <f>'[1]Processed Data'!N1374</f>
        <v>0</v>
      </c>
      <c r="O727">
        <f>'[1]Processed Data'!O1374</f>
        <v>0</v>
      </c>
      <c r="P727">
        <f>'[1]Processed Data'!P1374</f>
        <v>32.799999999999997</v>
      </c>
      <c r="Q727">
        <f>'[1]Processed Data'!Q1374</f>
        <v>3</v>
      </c>
    </row>
    <row r="728" spans="2:17" hidden="1">
      <c r="B728">
        <f>'[1]Processed Data'!B1375</f>
        <v>2012</v>
      </c>
      <c r="C728">
        <f>'[1]Processed Data'!C1375</f>
        <v>20</v>
      </c>
      <c r="D728" t="str">
        <f>'[1]Processed Data'!D1375</f>
        <v>Tyrod Taylor</v>
      </c>
      <c r="E728">
        <f>Table1[[#This Row],[Year]]</f>
        <v>2012</v>
      </c>
      <c r="F728">
        <f>'[1]Processed Data'!F1375</f>
        <v>17</v>
      </c>
      <c r="G728">
        <f>'[1]Processed Data'!G1375</f>
        <v>29</v>
      </c>
      <c r="H728">
        <f>'[1]Processed Data'!H1375</f>
        <v>58.6</v>
      </c>
      <c r="I728">
        <f>'[1]Processed Data'!I1375</f>
        <v>0</v>
      </c>
      <c r="J728">
        <f>'[1]Processed Data'!J1375</f>
        <v>1</v>
      </c>
      <c r="K728">
        <f>'[1]Processed Data'!K1375</f>
        <v>3</v>
      </c>
      <c r="L728">
        <f>'[1]Processed Data'!L1375</f>
        <v>14</v>
      </c>
      <c r="M728">
        <f>'[1]Processed Data'!M1375</f>
        <v>73</v>
      </c>
      <c r="N728">
        <f>'[1]Processed Data'!N1375</f>
        <v>1</v>
      </c>
      <c r="O728">
        <f>'[1]Processed Data'!O1375</f>
        <v>0</v>
      </c>
      <c r="P728">
        <f>'[1]Processed Data'!P1375</f>
        <v>18.5</v>
      </c>
      <c r="Q728">
        <f>'[1]Processed Data'!Q1375</f>
        <v>7</v>
      </c>
    </row>
    <row r="729" spans="2:17" hidden="1">
      <c r="B729">
        <f>'[1]Processed Data'!B1376</f>
        <v>2012</v>
      </c>
      <c r="C729">
        <f>'[1]Processed Data'!C1376</f>
        <v>21</v>
      </c>
      <c r="D729" t="str">
        <f>'[1]Processed Data'!D1376</f>
        <v>Brian Hoyer</v>
      </c>
      <c r="E729">
        <f>Table1[[#This Row],[Year]]</f>
        <v>2012</v>
      </c>
      <c r="F729">
        <f>'[1]Processed Data'!F1376</f>
        <v>30</v>
      </c>
      <c r="G729">
        <f>'[1]Processed Data'!G1376</f>
        <v>53</v>
      </c>
      <c r="H729">
        <f>'[1]Processed Data'!H1376</f>
        <v>56.6</v>
      </c>
      <c r="I729">
        <f>'[1]Processed Data'!I1376</f>
        <v>1</v>
      </c>
      <c r="J729">
        <f>'[1]Processed Data'!J1376</f>
        <v>2</v>
      </c>
      <c r="K729">
        <f>'[1]Processed Data'!K1376</f>
        <v>4</v>
      </c>
      <c r="L729">
        <f>'[1]Processed Data'!L1376</f>
        <v>1</v>
      </c>
      <c r="M729">
        <f>'[1]Processed Data'!M1376</f>
        <v>6</v>
      </c>
      <c r="N729">
        <f>'[1]Processed Data'!N1376</f>
        <v>0</v>
      </c>
      <c r="O729">
        <f>'[1]Processed Data'!O1376</f>
        <v>0</v>
      </c>
      <c r="P729">
        <f>'[1]Processed Data'!P1376</f>
        <v>13.8</v>
      </c>
      <c r="Q729">
        <f>'[1]Processed Data'!Q1376</f>
        <v>2</v>
      </c>
    </row>
    <row r="730" spans="2:17" hidden="1">
      <c r="B730">
        <f>'[1]Processed Data'!B1377</f>
        <v>2012</v>
      </c>
      <c r="C730">
        <f>'[1]Processed Data'!C1377</f>
        <v>22</v>
      </c>
      <c r="D730" t="str">
        <f>'[1]Processed Data'!D1377</f>
        <v>Matt Moore</v>
      </c>
      <c r="E730">
        <f>Table1[[#This Row],[Year]]</f>
        <v>2012</v>
      </c>
      <c r="F730">
        <f>'[1]Processed Data'!F1377</f>
        <v>11</v>
      </c>
      <c r="G730">
        <f>'[1]Processed Data'!G1377</f>
        <v>19</v>
      </c>
      <c r="H730">
        <f>'[1]Processed Data'!H1377</f>
        <v>57.9</v>
      </c>
      <c r="I730">
        <f>'[1]Processed Data'!I1377</f>
        <v>1</v>
      </c>
      <c r="J730">
        <f>'[1]Processed Data'!J1377</f>
        <v>0</v>
      </c>
      <c r="K730">
        <f>'[1]Processed Data'!K1377</f>
        <v>2</v>
      </c>
      <c r="L730">
        <f>'[1]Processed Data'!L1377</f>
        <v>5</v>
      </c>
      <c r="M730">
        <f>'[1]Processed Data'!M1377</f>
        <v>-3</v>
      </c>
      <c r="N730">
        <f>'[1]Processed Data'!N1377</f>
        <v>0</v>
      </c>
      <c r="O730">
        <f>'[1]Processed Data'!O1377</f>
        <v>0</v>
      </c>
      <c r="P730">
        <f>'[1]Processed Data'!P1377</f>
        <v>8.9</v>
      </c>
      <c r="Q730">
        <f>'[1]Processed Data'!Q1377</f>
        <v>2</v>
      </c>
    </row>
    <row r="731" spans="2:17" hidden="1">
      <c r="B731">
        <f>'[1]Processed Data'!B1378</f>
        <v>2012</v>
      </c>
      <c r="C731">
        <f>'[1]Processed Data'!C1378</f>
        <v>23</v>
      </c>
      <c r="D731" t="str">
        <f>'[1]Processed Data'!D1378</f>
        <v>Colt McCoy</v>
      </c>
      <c r="E731">
        <f>Table1[[#This Row],[Year]]</f>
        <v>2012</v>
      </c>
      <c r="F731">
        <f>'[1]Processed Data'!F1378</f>
        <v>9</v>
      </c>
      <c r="G731">
        <f>'[1]Processed Data'!G1378</f>
        <v>17</v>
      </c>
      <c r="H731">
        <f>'[1]Processed Data'!H1378</f>
        <v>52.9</v>
      </c>
      <c r="I731">
        <f>'[1]Processed Data'!I1378</f>
        <v>1</v>
      </c>
      <c r="J731">
        <f>'[1]Processed Data'!J1378</f>
        <v>0</v>
      </c>
      <c r="K731">
        <f>'[1]Processed Data'!K1378</f>
        <v>4</v>
      </c>
      <c r="L731">
        <f>'[1]Processed Data'!L1378</f>
        <v>4</v>
      </c>
      <c r="M731">
        <f>'[1]Processed Data'!M1378</f>
        <v>15</v>
      </c>
      <c r="N731">
        <f>'[1]Processed Data'!N1378</f>
        <v>0</v>
      </c>
      <c r="O731">
        <f>'[1]Processed Data'!O1378</f>
        <v>0</v>
      </c>
      <c r="P731">
        <f>'[1]Processed Data'!P1378</f>
        <v>8.6999999999999993</v>
      </c>
      <c r="Q731">
        <f>'[1]Processed Data'!Q1378</f>
        <v>3</v>
      </c>
    </row>
    <row r="732" spans="2:17" hidden="1">
      <c r="B732">
        <f>'[1]Processed Data'!B1379</f>
        <v>2012</v>
      </c>
      <c r="C732">
        <f>'[1]Processed Data'!C1379</f>
        <v>24</v>
      </c>
      <c r="D732" t="str">
        <f>'[1]Processed Data'!D1379</f>
        <v>Chase Daniel</v>
      </c>
      <c r="E732">
        <f>Table1[[#This Row],[Year]]</f>
        <v>2012</v>
      </c>
      <c r="F732">
        <f>'[1]Processed Data'!F1379</f>
        <v>1</v>
      </c>
      <c r="G732">
        <f>'[1]Processed Data'!G1379</f>
        <v>1</v>
      </c>
      <c r="H732">
        <f>'[1]Processed Data'!H1379</f>
        <v>100</v>
      </c>
      <c r="I732">
        <f>'[1]Processed Data'!I1379</f>
        <v>0</v>
      </c>
      <c r="J732">
        <f>'[1]Processed Data'!J1379</f>
        <v>0</v>
      </c>
      <c r="K732">
        <f>'[1]Processed Data'!K1379</f>
        <v>0</v>
      </c>
      <c r="L732">
        <f>'[1]Processed Data'!L1379</f>
        <v>3</v>
      </c>
      <c r="M732">
        <f>'[1]Processed Data'!M1379</f>
        <v>17</v>
      </c>
      <c r="N732">
        <f>'[1]Processed Data'!N1379</f>
        <v>0</v>
      </c>
      <c r="O732">
        <f>'[1]Processed Data'!O1379</f>
        <v>0</v>
      </c>
      <c r="P732">
        <f>'[1]Processed Data'!P1379</f>
        <v>2.1</v>
      </c>
      <c r="Q732">
        <f>'[1]Processed Data'!Q1379</f>
        <v>16</v>
      </c>
    </row>
    <row r="733" spans="2:17" hidden="1">
      <c r="B733">
        <f>'[1]Processed Data'!B1432</f>
        <v>2012</v>
      </c>
      <c r="C733">
        <f>'[1]Processed Data'!C1432</f>
        <v>77</v>
      </c>
      <c r="D733" t="str">
        <f>'[1]Processed Data'!D1432</f>
        <v>Christian Ponder</v>
      </c>
      <c r="E733">
        <f>Table1[[#This Row],[Year]]</f>
        <v>2012</v>
      </c>
      <c r="F733">
        <f>'[1]Processed Data'!F1432</f>
        <v>300</v>
      </c>
      <c r="G733">
        <f>'[1]Processed Data'!G1432</f>
        <v>483</v>
      </c>
      <c r="H733">
        <f>'[1]Processed Data'!H1432</f>
        <v>62.1</v>
      </c>
      <c r="I733">
        <f>'[1]Processed Data'!I1432</f>
        <v>18</v>
      </c>
      <c r="J733">
        <f>'[1]Processed Data'!J1432</f>
        <v>12</v>
      </c>
      <c r="K733">
        <f>'[1]Processed Data'!K1432</f>
        <v>32</v>
      </c>
      <c r="L733">
        <f>'[1]Processed Data'!L1432</f>
        <v>60</v>
      </c>
      <c r="M733">
        <f>'[1]Processed Data'!M1432</f>
        <v>253</v>
      </c>
      <c r="N733">
        <f>'[1]Processed Data'!N1432</f>
        <v>2</v>
      </c>
      <c r="O733">
        <f>'[1]Processed Data'!O1432</f>
        <v>5</v>
      </c>
      <c r="P733">
        <f>'[1]Processed Data'!P1432</f>
        <v>0</v>
      </c>
      <c r="Q733">
        <f>'[1]Processed Data'!Q1432</f>
        <v>16</v>
      </c>
    </row>
    <row r="734" spans="2:17" hidden="1">
      <c r="B734">
        <f>'[1]Processed Data'!B1433</f>
        <v>2012</v>
      </c>
      <c r="C734">
        <f>'[1]Processed Data'!C1433</f>
        <v>78</v>
      </c>
      <c r="D734" t="str">
        <f>'[1]Processed Data'!D1433</f>
        <v>Rusty Smith</v>
      </c>
      <c r="E734">
        <f>Table1[[#This Row],[Year]]</f>
        <v>2012</v>
      </c>
      <c r="F734">
        <f>'[1]Processed Data'!F1433</f>
        <v>3</v>
      </c>
      <c r="G734">
        <f>'[1]Processed Data'!G1433</f>
        <v>5</v>
      </c>
      <c r="H734">
        <f>'[1]Processed Data'!H1433</f>
        <v>60</v>
      </c>
      <c r="I734">
        <f>'[1]Processed Data'!I1433</f>
        <v>0</v>
      </c>
      <c r="J734">
        <f>'[1]Processed Data'!J1433</f>
        <v>0</v>
      </c>
      <c r="K734">
        <f>'[1]Processed Data'!K1433</f>
        <v>0</v>
      </c>
      <c r="L734">
        <f>'[1]Processed Data'!L1433</f>
        <v>0</v>
      </c>
      <c r="M734">
        <f>'[1]Processed Data'!M1433</f>
        <v>0</v>
      </c>
      <c r="N734">
        <f>'[1]Processed Data'!N1433</f>
        <v>0</v>
      </c>
      <c r="O734">
        <f>'[1]Processed Data'!O1433</f>
        <v>0</v>
      </c>
      <c r="P734">
        <f>'[1]Processed Data'!P1433</f>
        <v>0</v>
      </c>
      <c r="Q734">
        <f>'[1]Processed Data'!Q1433</f>
        <v>1</v>
      </c>
    </row>
    <row r="735" spans="2:17" hidden="1">
      <c r="B735">
        <f>'[1]Processed Data'!B1434</f>
        <v>2012</v>
      </c>
      <c r="C735">
        <f>'[1]Processed Data'!C1434</f>
        <v>79</v>
      </c>
      <c r="D735" t="str">
        <f>'[1]Processed Data'!D1434</f>
        <v>Ryan Mallett</v>
      </c>
      <c r="E735">
        <f>Table1[[#This Row],[Year]]</f>
        <v>2012</v>
      </c>
      <c r="F735">
        <f>'[1]Processed Data'!F1434</f>
        <v>1</v>
      </c>
      <c r="G735">
        <f>'[1]Processed Data'!G1434</f>
        <v>4</v>
      </c>
      <c r="H735">
        <f>'[1]Processed Data'!H1434</f>
        <v>25</v>
      </c>
      <c r="I735">
        <f>'[1]Processed Data'!I1434</f>
        <v>0</v>
      </c>
      <c r="J735">
        <f>'[1]Processed Data'!J1434</f>
        <v>1</v>
      </c>
      <c r="K735">
        <f>'[1]Processed Data'!K1434</f>
        <v>0</v>
      </c>
      <c r="L735">
        <f>'[1]Processed Data'!L1434</f>
        <v>8</v>
      </c>
      <c r="M735">
        <f>'[1]Processed Data'!M1434</f>
        <v>-9</v>
      </c>
      <c r="N735">
        <f>'[1]Processed Data'!N1434</f>
        <v>0</v>
      </c>
      <c r="O735">
        <f>'[1]Processed Data'!O1434</f>
        <v>0</v>
      </c>
      <c r="P735">
        <f>'[1]Processed Data'!P1434</f>
        <v>0</v>
      </c>
      <c r="Q735">
        <f>'[1]Processed Data'!Q1434</f>
        <v>4</v>
      </c>
    </row>
    <row r="736" spans="2:17" hidden="1">
      <c r="B736">
        <f>'[1]Processed Data'!B1435</f>
        <v>2012</v>
      </c>
      <c r="C736">
        <f>'[1]Processed Data'!C1435</f>
        <v>80</v>
      </c>
      <c r="D736" t="str">
        <f>'[1]Processed Data'!D1435</f>
        <v>Jake Locker</v>
      </c>
      <c r="E736">
        <f>Table1[[#This Row],[Year]]</f>
        <v>2012</v>
      </c>
      <c r="F736">
        <f>'[1]Processed Data'!F1435</f>
        <v>177</v>
      </c>
      <c r="G736">
        <f>'[1]Processed Data'!G1435</f>
        <v>314</v>
      </c>
      <c r="H736">
        <f>'[1]Processed Data'!H1435</f>
        <v>56.4</v>
      </c>
      <c r="I736">
        <f>'[1]Processed Data'!I1435</f>
        <v>10</v>
      </c>
      <c r="J736">
        <f>'[1]Processed Data'!J1435</f>
        <v>11</v>
      </c>
      <c r="K736">
        <f>'[1]Processed Data'!K1435</f>
        <v>25</v>
      </c>
      <c r="L736">
        <f>'[1]Processed Data'!L1435</f>
        <v>41</v>
      </c>
      <c r="M736">
        <f>'[1]Processed Data'!M1435</f>
        <v>291</v>
      </c>
      <c r="N736">
        <f>'[1]Processed Data'!N1435</f>
        <v>1</v>
      </c>
      <c r="O736">
        <f>'[1]Processed Data'!O1435</f>
        <v>4</v>
      </c>
      <c r="P736">
        <f>'[1]Processed Data'!P1435</f>
        <v>0</v>
      </c>
      <c r="Q736">
        <f>'[1]Processed Data'!Q1435</f>
        <v>11</v>
      </c>
    </row>
    <row r="737" spans="2:17" hidden="1">
      <c r="B737">
        <f>'[1]Processed Data'!B1436</f>
        <v>2012</v>
      </c>
      <c r="C737">
        <f>'[1]Processed Data'!C1436</f>
        <v>81</v>
      </c>
      <c r="D737" t="str">
        <f>'[1]Processed Data'!D1436</f>
        <v>Colin Kaepernick</v>
      </c>
      <c r="E737">
        <f>Table1[[#This Row],[Year]]</f>
        <v>2012</v>
      </c>
      <c r="F737">
        <f>'[1]Processed Data'!F1436</f>
        <v>136</v>
      </c>
      <c r="G737">
        <f>'[1]Processed Data'!G1436</f>
        <v>218</v>
      </c>
      <c r="H737">
        <f>'[1]Processed Data'!H1436</f>
        <v>62.4</v>
      </c>
      <c r="I737">
        <f>'[1]Processed Data'!I1436</f>
        <v>10</v>
      </c>
      <c r="J737">
        <f>'[1]Processed Data'!J1436</f>
        <v>3</v>
      </c>
      <c r="K737">
        <f>'[1]Processed Data'!K1436</f>
        <v>16</v>
      </c>
      <c r="L737">
        <f>'[1]Processed Data'!L1436</f>
        <v>63</v>
      </c>
      <c r="M737">
        <f>'[1]Processed Data'!M1436</f>
        <v>415</v>
      </c>
      <c r="N737">
        <f>'[1]Processed Data'!N1436</f>
        <v>5</v>
      </c>
      <c r="O737">
        <f>'[1]Processed Data'!O1436</f>
        <v>2</v>
      </c>
      <c r="P737">
        <f>'[1]Processed Data'!P1436</f>
        <v>0</v>
      </c>
      <c r="Q737">
        <f>'[1]Processed Data'!Q1436</f>
        <v>13</v>
      </c>
    </row>
    <row r="738" spans="2:17" hidden="1">
      <c r="B738">
        <f>'[1]Processed Data'!B1437</f>
        <v>2012</v>
      </c>
      <c r="C738">
        <f>'[1]Processed Data'!C1437</f>
        <v>82</v>
      </c>
      <c r="D738" t="str">
        <f>'[1]Processed Data'!D1437</f>
        <v>Graham Harrell</v>
      </c>
      <c r="E738">
        <f>Table1[[#This Row],[Year]]</f>
        <v>2012</v>
      </c>
      <c r="F738">
        <f>'[1]Processed Data'!F1437</f>
        <v>2</v>
      </c>
      <c r="G738">
        <f>'[1]Processed Data'!G1437</f>
        <v>4</v>
      </c>
      <c r="H738">
        <f>'[1]Processed Data'!H1437</f>
        <v>50</v>
      </c>
      <c r="I738">
        <f>'[1]Processed Data'!I1437</f>
        <v>0</v>
      </c>
      <c r="J738">
        <f>'[1]Processed Data'!J1437</f>
        <v>0</v>
      </c>
      <c r="K738">
        <f>'[1]Processed Data'!K1437</f>
        <v>0</v>
      </c>
      <c r="L738">
        <f>'[1]Processed Data'!L1437</f>
        <v>4</v>
      </c>
      <c r="M738">
        <f>'[1]Processed Data'!M1437</f>
        <v>-3</v>
      </c>
      <c r="N738">
        <f>'[1]Processed Data'!N1437</f>
        <v>0</v>
      </c>
      <c r="O738">
        <f>'[1]Processed Data'!O1437</f>
        <v>1</v>
      </c>
      <c r="P738">
        <f>'[1]Processed Data'!P1437</f>
        <v>0</v>
      </c>
      <c r="Q738">
        <f>'[1]Processed Data'!Q1437</f>
        <v>4</v>
      </c>
    </row>
    <row r="739" spans="2:17" hidden="1">
      <c r="B739">
        <f>'[1]Processed Data'!B1438</f>
        <v>2012</v>
      </c>
      <c r="C739">
        <f>'[1]Processed Data'!C1438</f>
        <v>83</v>
      </c>
      <c r="D739" t="str">
        <f>'[1]Processed Data'!D1438</f>
        <v>T.J. Yates</v>
      </c>
      <c r="E739">
        <f>Table1[[#This Row],[Year]]</f>
        <v>2012</v>
      </c>
      <c r="F739">
        <f>'[1]Processed Data'!F1438</f>
        <v>4</v>
      </c>
      <c r="G739">
        <f>'[1]Processed Data'!G1438</f>
        <v>10</v>
      </c>
      <c r="H739">
        <f>'[1]Processed Data'!H1438</f>
        <v>40</v>
      </c>
      <c r="I739">
        <f>'[1]Processed Data'!I1438</f>
        <v>0</v>
      </c>
      <c r="J739">
        <f>'[1]Processed Data'!J1438</f>
        <v>1</v>
      </c>
      <c r="K739">
        <f>'[1]Processed Data'!K1438</f>
        <v>1</v>
      </c>
      <c r="L739">
        <f>'[1]Processed Data'!L1438</f>
        <v>2</v>
      </c>
      <c r="M739">
        <f>'[1]Processed Data'!M1438</f>
        <v>-1</v>
      </c>
      <c r="N739">
        <f>'[1]Processed Data'!N1438</f>
        <v>1</v>
      </c>
      <c r="O739">
        <f>'[1]Processed Data'!O1438</f>
        <v>1</v>
      </c>
      <c r="P739">
        <f>'[1]Processed Data'!P1438</f>
        <v>0</v>
      </c>
      <c r="Q739">
        <f>'[1]Processed Data'!Q1438</f>
        <v>4</v>
      </c>
    </row>
    <row r="740" spans="2:17" hidden="1">
      <c r="B740">
        <f>'[1]Processed Data'!B1439</f>
        <v>2012</v>
      </c>
      <c r="C740">
        <f>'[1]Processed Data'!C1439</f>
        <v>84</v>
      </c>
      <c r="D740" t="str">
        <f>'[1]Processed Data'!D1439</f>
        <v>Greg McElroy</v>
      </c>
      <c r="E740">
        <f>Table1[[#This Row],[Year]]</f>
        <v>2012</v>
      </c>
      <c r="F740">
        <f>'[1]Processed Data'!F1439</f>
        <v>19</v>
      </c>
      <c r="G740">
        <f>'[1]Processed Data'!G1439</f>
        <v>31</v>
      </c>
      <c r="H740">
        <f>'[1]Processed Data'!H1439</f>
        <v>61.3</v>
      </c>
      <c r="I740">
        <f>'[1]Processed Data'!I1439</f>
        <v>1</v>
      </c>
      <c r="J740">
        <f>'[1]Processed Data'!J1439</f>
        <v>1</v>
      </c>
      <c r="K740">
        <f>'[1]Processed Data'!K1439</f>
        <v>11</v>
      </c>
      <c r="L740">
        <f>'[1]Processed Data'!L1439</f>
        <v>8</v>
      </c>
      <c r="M740">
        <f>'[1]Processed Data'!M1439</f>
        <v>30</v>
      </c>
      <c r="N740">
        <f>'[1]Processed Data'!N1439</f>
        <v>0</v>
      </c>
      <c r="O740">
        <f>'[1]Processed Data'!O1439</f>
        <v>1</v>
      </c>
      <c r="P740">
        <f>'[1]Processed Data'!P1439</f>
        <v>0</v>
      </c>
      <c r="Q740">
        <f>'[1]Processed Data'!Q1439</f>
        <v>2</v>
      </c>
    </row>
    <row r="741" spans="2:17" hidden="1">
      <c r="B741">
        <f>'[1]Processed Data'!B1445</f>
        <v>2012</v>
      </c>
      <c r="C741">
        <f>'[1]Processed Data'!C1445</f>
        <v>90</v>
      </c>
      <c r="D741" t="str">
        <f>'[1]Processed Data'!D1445</f>
        <v>Brandon Weeden</v>
      </c>
      <c r="E741">
        <f>Table1[[#This Row],[Year]]</f>
        <v>2012</v>
      </c>
      <c r="F741">
        <f>'[1]Processed Data'!F1445</f>
        <v>297</v>
      </c>
      <c r="G741">
        <f>'[1]Processed Data'!G1445</f>
        <v>517</v>
      </c>
      <c r="H741">
        <f>'[1]Processed Data'!H1445</f>
        <v>57.4</v>
      </c>
      <c r="I741">
        <f>'[1]Processed Data'!I1445</f>
        <v>14</v>
      </c>
      <c r="J741">
        <f>'[1]Processed Data'!J1445</f>
        <v>17</v>
      </c>
      <c r="K741">
        <f>'[1]Processed Data'!K1445</f>
        <v>28</v>
      </c>
      <c r="L741">
        <f>'[1]Processed Data'!L1445</f>
        <v>27</v>
      </c>
      <c r="M741">
        <f>'[1]Processed Data'!M1445</f>
        <v>111</v>
      </c>
      <c r="N741">
        <f>'[1]Processed Data'!N1445</f>
        <v>0</v>
      </c>
      <c r="O741">
        <f>'[1]Processed Data'!O1445</f>
        <v>1</v>
      </c>
      <c r="P741">
        <f>'[1]Processed Data'!P1445</f>
        <v>0</v>
      </c>
      <c r="Q741">
        <f>'[1]Processed Data'!Q1445</f>
        <v>15</v>
      </c>
    </row>
    <row r="742" spans="2:17" hidden="1">
      <c r="B742">
        <f>'[1]Processed Data'!B1446</f>
        <v>2012</v>
      </c>
      <c r="C742">
        <f>'[1]Processed Data'!C1446</f>
        <v>91</v>
      </c>
      <c r="D742" t="str">
        <f>'[1]Processed Data'!D1446</f>
        <v>Thaddeus Lewis</v>
      </c>
      <c r="E742">
        <f>Table1[[#This Row],[Year]]</f>
        <v>2012</v>
      </c>
      <c r="F742">
        <f>'[1]Processed Data'!F1446</f>
        <v>22</v>
      </c>
      <c r="G742">
        <f>'[1]Processed Data'!G1446</f>
        <v>32</v>
      </c>
      <c r="H742">
        <f>'[1]Processed Data'!H1446</f>
        <v>68.8</v>
      </c>
      <c r="I742">
        <f>'[1]Processed Data'!I1446</f>
        <v>1</v>
      </c>
      <c r="J742">
        <f>'[1]Processed Data'!J1446</f>
        <v>1</v>
      </c>
      <c r="K742">
        <f>'[1]Processed Data'!K1446</f>
        <v>3</v>
      </c>
      <c r="L742">
        <f>'[1]Processed Data'!L1446</f>
        <v>1</v>
      </c>
      <c r="M742">
        <f>'[1]Processed Data'!M1446</f>
        <v>3</v>
      </c>
      <c r="N742">
        <f>'[1]Processed Data'!N1446</f>
        <v>0</v>
      </c>
      <c r="O742">
        <f>'[1]Processed Data'!O1446</f>
        <v>0</v>
      </c>
      <c r="P742">
        <f>'[1]Processed Data'!P1446</f>
        <v>0</v>
      </c>
      <c r="Q742">
        <f>'[1]Processed Data'!Q1446</f>
        <v>1</v>
      </c>
    </row>
    <row r="743" spans="2:17" hidden="1">
      <c r="B743">
        <f>'[1]Processed Data'!B1447</f>
        <v>2012</v>
      </c>
      <c r="C743">
        <f>'[1]Processed Data'!C1447</f>
        <v>92</v>
      </c>
      <c r="D743" t="str">
        <f>'[1]Processed Data'!D1447</f>
        <v>Andrew Luck</v>
      </c>
      <c r="E743">
        <f>Table1[[#This Row],[Year]]</f>
        <v>2012</v>
      </c>
      <c r="F743">
        <f>'[1]Processed Data'!F1447</f>
        <v>339</v>
      </c>
      <c r="G743">
        <f>'[1]Processed Data'!G1447</f>
        <v>627</v>
      </c>
      <c r="H743">
        <f>'[1]Processed Data'!H1447</f>
        <v>54.1</v>
      </c>
      <c r="I743">
        <f>'[1]Processed Data'!I1447</f>
        <v>23</v>
      </c>
      <c r="J743">
        <f>'[1]Processed Data'!J1447</f>
        <v>18</v>
      </c>
      <c r="K743">
        <f>'[1]Processed Data'!K1447</f>
        <v>41</v>
      </c>
      <c r="L743">
        <f>'[1]Processed Data'!L1447</f>
        <v>62</v>
      </c>
      <c r="M743">
        <f>'[1]Processed Data'!M1447</f>
        <v>255</v>
      </c>
      <c r="N743">
        <f>'[1]Processed Data'!N1447</f>
        <v>5</v>
      </c>
      <c r="O743">
        <f>'[1]Processed Data'!O1447</f>
        <v>5</v>
      </c>
      <c r="P743">
        <f>'[1]Processed Data'!P1447</f>
        <v>0</v>
      </c>
      <c r="Q743">
        <f>'[1]Processed Data'!Q1447</f>
        <v>16</v>
      </c>
    </row>
    <row r="744" spans="2:17" hidden="1">
      <c r="B744">
        <f>'[1]Processed Data'!B1448</f>
        <v>2012</v>
      </c>
      <c r="C744">
        <f>'[1]Processed Data'!C1448</f>
        <v>93</v>
      </c>
      <c r="D744" t="str">
        <f>'[1]Processed Data'!D1448</f>
        <v>Brock Osweiler</v>
      </c>
      <c r="E744">
        <f>Table1[[#This Row],[Year]]</f>
        <v>2012</v>
      </c>
      <c r="F744">
        <f>'[1]Processed Data'!F1448</f>
        <v>2</v>
      </c>
      <c r="G744">
        <f>'[1]Processed Data'!G1448</f>
        <v>4</v>
      </c>
      <c r="H744">
        <f>'[1]Processed Data'!H1448</f>
        <v>50</v>
      </c>
      <c r="I744">
        <f>'[1]Processed Data'!I1448</f>
        <v>0</v>
      </c>
      <c r="J744">
        <f>'[1]Processed Data'!J1448</f>
        <v>0</v>
      </c>
      <c r="K744">
        <f>'[1]Processed Data'!K1448</f>
        <v>0</v>
      </c>
      <c r="L744">
        <f>'[1]Processed Data'!L1448</f>
        <v>8</v>
      </c>
      <c r="M744">
        <f>'[1]Processed Data'!M1448</f>
        <v>-13</v>
      </c>
      <c r="N744">
        <f>'[1]Processed Data'!N1448</f>
        <v>0</v>
      </c>
      <c r="O744">
        <f>'[1]Processed Data'!O1448</f>
        <v>0</v>
      </c>
      <c r="P744">
        <f>'[1]Processed Data'!P1448</f>
        <v>0</v>
      </c>
      <c r="Q744">
        <f>'[1]Processed Data'!Q1448</f>
        <v>5</v>
      </c>
    </row>
    <row r="745" spans="2:17" hidden="1">
      <c r="B745">
        <f>'[1]Processed Data'!B1449</f>
        <v>2012</v>
      </c>
      <c r="C745">
        <f>'[1]Processed Data'!C1449</f>
        <v>94</v>
      </c>
      <c r="D745" t="str">
        <f>'[1]Processed Data'!D1449</f>
        <v>Ryan Lindley</v>
      </c>
      <c r="E745">
        <f>Table1[[#This Row],[Year]]</f>
        <v>2012</v>
      </c>
      <c r="F745">
        <f>'[1]Processed Data'!F1449</f>
        <v>89</v>
      </c>
      <c r="G745">
        <f>'[1]Processed Data'!G1449</f>
        <v>171</v>
      </c>
      <c r="H745">
        <f>'[1]Processed Data'!H1449</f>
        <v>52</v>
      </c>
      <c r="I745">
        <f>'[1]Processed Data'!I1449</f>
        <v>0</v>
      </c>
      <c r="J745">
        <f>'[1]Processed Data'!J1449</f>
        <v>7</v>
      </c>
      <c r="K745">
        <f>'[1]Processed Data'!K1449</f>
        <v>12</v>
      </c>
      <c r="L745">
        <f>'[1]Processed Data'!L1449</f>
        <v>4</v>
      </c>
      <c r="M745">
        <f>'[1]Processed Data'!M1449</f>
        <v>7</v>
      </c>
      <c r="N745">
        <f>'[1]Processed Data'!N1449</f>
        <v>0</v>
      </c>
      <c r="O745">
        <f>'[1]Processed Data'!O1449</f>
        <v>2</v>
      </c>
      <c r="P745">
        <f>'[1]Processed Data'!P1449</f>
        <v>0</v>
      </c>
      <c r="Q745">
        <f>'[1]Processed Data'!Q1449</f>
        <v>6</v>
      </c>
    </row>
    <row r="746" spans="2:17" hidden="1">
      <c r="B746">
        <f>'[1]Processed Data'!B1451</f>
        <v>2012</v>
      </c>
      <c r="C746">
        <f>'[1]Processed Data'!C1451</f>
        <v>96</v>
      </c>
      <c r="D746" t="str">
        <f>'[1]Processed Data'!D1451</f>
        <v>Eli Manning</v>
      </c>
      <c r="E746">
        <f>Table1[[#This Row],[Year]]</f>
        <v>2012</v>
      </c>
      <c r="F746">
        <f>'[1]Processed Data'!F1451</f>
        <v>321</v>
      </c>
      <c r="G746">
        <f>'[1]Processed Data'!G1451</f>
        <v>536</v>
      </c>
      <c r="H746">
        <f>'[1]Processed Data'!H1451</f>
        <v>59.9</v>
      </c>
      <c r="I746">
        <f>'[1]Processed Data'!I1451</f>
        <v>26</v>
      </c>
      <c r="J746">
        <f>'[1]Processed Data'!J1451</f>
        <v>15</v>
      </c>
      <c r="K746">
        <f>'[1]Processed Data'!K1451</f>
        <v>19</v>
      </c>
      <c r="L746">
        <f>'[1]Processed Data'!L1451</f>
        <v>20</v>
      </c>
      <c r="M746">
        <f>'[1]Processed Data'!M1451</f>
        <v>30</v>
      </c>
      <c r="N746">
        <f>'[1]Processed Data'!N1451</f>
        <v>0</v>
      </c>
      <c r="O746">
        <f>'[1]Processed Data'!O1451</f>
        <v>1</v>
      </c>
      <c r="P746">
        <f>'[1]Processed Data'!P1451</f>
        <v>0</v>
      </c>
      <c r="Q746">
        <f>'[1]Processed Data'!Q1451</f>
        <v>16</v>
      </c>
    </row>
    <row r="747" spans="2:17" hidden="1">
      <c r="B747">
        <f>'[1]Processed Data'!B1452</f>
        <v>2012</v>
      </c>
      <c r="C747">
        <f>'[1]Processed Data'!C1452</f>
        <v>97</v>
      </c>
      <c r="D747" t="str">
        <f>'[1]Processed Data'!D1452</f>
        <v>David Carr</v>
      </c>
      <c r="E747">
        <f>Table1[[#This Row],[Year]]</f>
        <v>2012</v>
      </c>
      <c r="F747">
        <f>'[1]Processed Data'!F1452</f>
        <v>2</v>
      </c>
      <c r="G747">
        <f>'[1]Processed Data'!G1452</f>
        <v>3</v>
      </c>
      <c r="H747">
        <f>'[1]Processed Data'!H1452</f>
        <v>66.7</v>
      </c>
      <c r="I747">
        <f>'[1]Processed Data'!I1452</f>
        <v>0</v>
      </c>
      <c r="J747">
        <f>'[1]Processed Data'!J1452</f>
        <v>0</v>
      </c>
      <c r="K747">
        <f>'[1]Processed Data'!K1452</f>
        <v>1</v>
      </c>
      <c r="L747">
        <f>'[1]Processed Data'!L1452</f>
        <v>3</v>
      </c>
      <c r="M747">
        <f>'[1]Processed Data'!M1452</f>
        <v>-3</v>
      </c>
      <c r="N747">
        <f>'[1]Processed Data'!N1452</f>
        <v>0</v>
      </c>
      <c r="O747">
        <f>'[1]Processed Data'!O1452</f>
        <v>0</v>
      </c>
      <c r="P747">
        <f>'[1]Processed Data'!P1452</f>
        <v>0</v>
      </c>
      <c r="Q747">
        <f>'[1]Processed Data'!Q1452</f>
        <v>2</v>
      </c>
    </row>
    <row r="748" spans="2:17" hidden="1">
      <c r="B748">
        <f>'[1]Processed Data'!B1453</f>
        <v>2012</v>
      </c>
      <c r="C748">
        <f>'[1]Processed Data'!C1453</f>
        <v>98</v>
      </c>
      <c r="D748" t="str">
        <f>'[1]Processed Data'!D1453</f>
        <v>Derek Anderson</v>
      </c>
      <c r="E748">
        <v>2021</v>
      </c>
      <c r="F748">
        <f>'[1]Processed Data'!F1453</f>
        <v>4</v>
      </c>
      <c r="G748">
        <f>'[1]Processed Data'!G1453</f>
        <v>4</v>
      </c>
      <c r="H748">
        <f>'[1]Processed Data'!H1453</f>
        <v>100</v>
      </c>
      <c r="I748">
        <f>'[1]Processed Data'!I1453</f>
        <v>0</v>
      </c>
      <c r="J748">
        <f>'[1]Processed Data'!J1453</f>
        <v>0</v>
      </c>
      <c r="K748">
        <f>'[1]Processed Data'!K1453</f>
        <v>0</v>
      </c>
      <c r="L748">
        <f>'[1]Processed Data'!L1453</f>
        <v>0</v>
      </c>
      <c r="M748">
        <f>'[1]Processed Data'!M1453</f>
        <v>0</v>
      </c>
      <c r="N748">
        <f>'[1]Processed Data'!N1453</f>
        <v>0</v>
      </c>
      <c r="O748">
        <f>'[1]Processed Data'!O1453</f>
        <v>0</v>
      </c>
      <c r="P748">
        <f>'[1]Processed Data'!P1453</f>
        <v>0</v>
      </c>
      <c r="Q748">
        <f>'[1]Processed Data'!Q1453</f>
        <v>2</v>
      </c>
    </row>
    <row r="749" spans="2:17" hidden="1">
      <c r="B749">
        <f>'[1]Processed Data'!B1454</f>
        <v>2012</v>
      </c>
      <c r="C749">
        <f>'[1]Processed Data'!C1454</f>
        <v>99</v>
      </c>
      <c r="D749" t="str">
        <f>'[1]Processed Data'!D1454</f>
        <v>Jason Campbell</v>
      </c>
      <c r="E749">
        <v>2021</v>
      </c>
      <c r="F749">
        <f>'[1]Processed Data'!F1454</f>
        <v>32</v>
      </c>
      <c r="G749">
        <f>'[1]Processed Data'!G1454</f>
        <v>51</v>
      </c>
      <c r="H749">
        <f>'[1]Processed Data'!H1454</f>
        <v>62.7</v>
      </c>
      <c r="I749">
        <f>'[1]Processed Data'!I1454</f>
        <v>2</v>
      </c>
      <c r="J749">
        <f>'[1]Processed Data'!J1454</f>
        <v>2</v>
      </c>
      <c r="K749">
        <f>'[1]Processed Data'!K1454</f>
        <v>6</v>
      </c>
      <c r="L749">
        <f>'[1]Processed Data'!L1454</f>
        <v>7</v>
      </c>
      <c r="M749">
        <f>'[1]Processed Data'!M1454</f>
        <v>28</v>
      </c>
      <c r="N749">
        <f>'[1]Processed Data'!N1454</f>
        <v>0</v>
      </c>
      <c r="O749">
        <f>'[1]Processed Data'!O1454</f>
        <v>0</v>
      </c>
      <c r="P749">
        <f>'[1]Processed Data'!P1454</f>
        <v>0</v>
      </c>
      <c r="Q749">
        <f>'[1]Processed Data'!Q1454</f>
        <v>6</v>
      </c>
    </row>
    <row r="750" spans="2:17" hidden="1">
      <c r="B750">
        <f>'[1]Processed Data'!B1455</f>
        <v>2012</v>
      </c>
      <c r="C750">
        <f>'[1]Processed Data'!C1455</f>
        <v>100</v>
      </c>
      <c r="D750" t="str">
        <f>'[1]Processed Data'!D1455</f>
        <v>Jay Cutler</v>
      </c>
      <c r="E750">
        <v>2021</v>
      </c>
      <c r="F750">
        <f>'[1]Processed Data'!F1455</f>
        <v>255</v>
      </c>
      <c r="G750">
        <f>'[1]Processed Data'!G1455</f>
        <v>434</v>
      </c>
      <c r="H750">
        <f>'[1]Processed Data'!H1455</f>
        <v>58.8</v>
      </c>
      <c r="I750">
        <f>'[1]Processed Data'!I1455</f>
        <v>19</v>
      </c>
      <c r="J750">
        <f>'[1]Processed Data'!J1455</f>
        <v>14</v>
      </c>
      <c r="K750">
        <f>'[1]Processed Data'!K1455</f>
        <v>38</v>
      </c>
      <c r="L750">
        <f>'[1]Processed Data'!L1455</f>
        <v>41</v>
      </c>
      <c r="M750">
        <f>'[1]Processed Data'!M1455</f>
        <v>233</v>
      </c>
      <c r="N750">
        <f>'[1]Processed Data'!N1455</f>
        <v>0</v>
      </c>
      <c r="O750">
        <f>'[1]Processed Data'!O1455</f>
        <v>4</v>
      </c>
      <c r="P750">
        <f>'[1]Processed Data'!P1455</f>
        <v>0</v>
      </c>
      <c r="Q750">
        <f>'[1]Processed Data'!Q1455</f>
        <v>15</v>
      </c>
    </row>
    <row r="751" spans="2:17" hidden="1">
      <c r="B751">
        <f>'[1]Processed Data'!B1456</f>
        <v>2012</v>
      </c>
      <c r="C751">
        <f>'[1]Processed Data'!C1456</f>
        <v>101</v>
      </c>
      <c r="D751" t="str">
        <f>'[1]Processed Data'!D1456</f>
        <v>Brady Quinn</v>
      </c>
      <c r="E751">
        <v>2021</v>
      </c>
      <c r="F751">
        <f>'[1]Processed Data'!F1456</f>
        <v>112</v>
      </c>
      <c r="G751">
        <f>'[1]Processed Data'!G1456</f>
        <v>197</v>
      </c>
      <c r="H751">
        <f>'[1]Processed Data'!H1456</f>
        <v>56.9</v>
      </c>
      <c r="I751">
        <f>'[1]Processed Data'!I1456</f>
        <v>2</v>
      </c>
      <c r="J751">
        <f>'[1]Processed Data'!J1456</f>
        <v>8</v>
      </c>
      <c r="K751">
        <f>'[1]Processed Data'!K1456</f>
        <v>21</v>
      </c>
      <c r="L751">
        <f>'[1]Processed Data'!L1456</f>
        <v>19</v>
      </c>
      <c r="M751">
        <f>'[1]Processed Data'!M1456</f>
        <v>66</v>
      </c>
      <c r="N751">
        <f>'[1]Processed Data'!N1456</f>
        <v>0</v>
      </c>
      <c r="O751">
        <f>'[1]Processed Data'!O1456</f>
        <v>0</v>
      </c>
      <c r="P751">
        <f>'[1]Processed Data'!P1456</f>
        <v>0</v>
      </c>
      <c r="Q751">
        <f>'[1]Processed Data'!Q1456</f>
        <v>10</v>
      </c>
    </row>
    <row r="752" spans="2:17" hidden="1">
      <c r="B752">
        <f>'[1]Processed Data'!B1459</f>
        <v>2012</v>
      </c>
      <c r="C752">
        <f>'[1]Processed Data'!C1459</f>
        <v>104</v>
      </c>
      <c r="D752" t="str">
        <f>'[1]Processed Data'!D1459</f>
        <v>Bruce Gradkowski</v>
      </c>
      <c r="E752">
        <v>2021</v>
      </c>
      <c r="F752">
        <f>'[1]Processed Data'!F1459</f>
        <v>5</v>
      </c>
      <c r="G752">
        <f>'[1]Processed Data'!G1459</f>
        <v>11</v>
      </c>
      <c r="H752">
        <f>'[1]Processed Data'!H1459</f>
        <v>45.5</v>
      </c>
      <c r="I752">
        <f>'[1]Processed Data'!I1459</f>
        <v>0</v>
      </c>
      <c r="J752">
        <f>'[1]Processed Data'!J1459</f>
        <v>0</v>
      </c>
      <c r="K752">
        <f>'[1]Processed Data'!K1459</f>
        <v>0</v>
      </c>
      <c r="L752">
        <f>'[1]Processed Data'!L1459</f>
        <v>4</v>
      </c>
      <c r="M752">
        <f>'[1]Processed Data'!M1459</f>
        <v>-2</v>
      </c>
      <c r="N752">
        <f>'[1]Processed Data'!N1459</f>
        <v>0</v>
      </c>
      <c r="O752">
        <f>'[1]Processed Data'!O1459</f>
        <v>0</v>
      </c>
      <c r="P752">
        <f>'[1]Processed Data'!P1459</f>
        <v>0</v>
      </c>
      <c r="Q752">
        <f>'[1]Processed Data'!Q1459</f>
        <v>2</v>
      </c>
    </row>
    <row r="753" spans="2:17" hidden="1">
      <c r="B753">
        <f>'[1]Processed Data'!B1460</f>
        <v>2012</v>
      </c>
      <c r="C753">
        <f>'[1]Processed Data'!C1460</f>
        <v>105</v>
      </c>
      <c r="D753" t="str">
        <f>'[1]Processed Data'!D1460</f>
        <v>Carson Palmer</v>
      </c>
      <c r="E753">
        <v>2021</v>
      </c>
      <c r="F753">
        <f>'[1]Processed Data'!F1460</f>
        <v>345</v>
      </c>
      <c r="G753">
        <f>'[1]Processed Data'!G1460</f>
        <v>565</v>
      </c>
      <c r="H753">
        <f>'[1]Processed Data'!H1460</f>
        <v>61.1</v>
      </c>
      <c r="I753">
        <f>'[1]Processed Data'!I1460</f>
        <v>22</v>
      </c>
      <c r="J753">
        <f>'[1]Processed Data'!J1460</f>
        <v>14</v>
      </c>
      <c r="K753">
        <f>'[1]Processed Data'!K1460</f>
        <v>26</v>
      </c>
      <c r="L753">
        <f>'[1]Processed Data'!L1460</f>
        <v>18</v>
      </c>
      <c r="M753">
        <f>'[1]Processed Data'!M1460</f>
        <v>36</v>
      </c>
      <c r="N753">
        <f>'[1]Processed Data'!N1460</f>
        <v>1</v>
      </c>
      <c r="O753">
        <f>'[1]Processed Data'!O1460</f>
        <v>5</v>
      </c>
      <c r="P753">
        <f>'[1]Processed Data'!P1460</f>
        <v>0</v>
      </c>
      <c r="Q753">
        <f>'[1]Processed Data'!Q1460</f>
        <v>15</v>
      </c>
    </row>
    <row r="754" spans="2:17" hidden="1">
      <c r="B754">
        <f>'[1]Processed Data'!B1461</f>
        <v>2012</v>
      </c>
      <c r="C754">
        <f>'[1]Processed Data'!C1461</f>
        <v>106</v>
      </c>
      <c r="D754" t="str">
        <f>'[1]Processed Data'!D1461</f>
        <v>Josh Freeman</v>
      </c>
      <c r="E754">
        <v>2021</v>
      </c>
      <c r="F754">
        <f>'[1]Processed Data'!F1461</f>
        <v>306</v>
      </c>
      <c r="G754">
        <f>'[1]Processed Data'!G1461</f>
        <v>558</v>
      </c>
      <c r="H754">
        <f>'[1]Processed Data'!H1461</f>
        <v>54.8</v>
      </c>
      <c r="I754">
        <f>'[1]Processed Data'!I1461</f>
        <v>27</v>
      </c>
      <c r="J754">
        <f>'[1]Processed Data'!J1461</f>
        <v>17</v>
      </c>
      <c r="K754">
        <f>'[1]Processed Data'!K1461</f>
        <v>26</v>
      </c>
      <c r="L754">
        <f>'[1]Processed Data'!L1461</f>
        <v>39</v>
      </c>
      <c r="M754">
        <f>'[1]Processed Data'!M1461</f>
        <v>139</v>
      </c>
      <c r="N754">
        <f>'[1]Processed Data'!N1461</f>
        <v>0</v>
      </c>
      <c r="O754">
        <f>'[1]Processed Data'!O1461</f>
        <v>2</v>
      </c>
      <c r="P754">
        <f>'[1]Processed Data'!P1461</f>
        <v>0</v>
      </c>
      <c r="Q754">
        <f>'[1]Processed Data'!Q1461</f>
        <v>16</v>
      </c>
    </row>
    <row r="755" spans="2:17" hidden="1">
      <c r="B755">
        <f>'[1]Processed Data'!B1463</f>
        <v>2012</v>
      </c>
      <c r="C755">
        <f>'[1]Processed Data'!C1463</f>
        <v>108</v>
      </c>
      <c r="D755" t="str">
        <f>'[1]Processed Data'!D1463</f>
        <v>Dan Orlovsky</v>
      </c>
      <c r="E755">
        <v>2021</v>
      </c>
      <c r="F755">
        <f>'[1]Processed Data'!F1463</f>
        <v>4</v>
      </c>
      <c r="G755">
        <f>'[1]Processed Data'!G1463</f>
        <v>7</v>
      </c>
      <c r="H755">
        <f>'[1]Processed Data'!H1463</f>
        <v>57.1</v>
      </c>
      <c r="I755">
        <f>'[1]Processed Data'!I1463</f>
        <v>0</v>
      </c>
      <c r="J755">
        <f>'[1]Processed Data'!J1463</f>
        <v>0</v>
      </c>
      <c r="K755">
        <f>'[1]Processed Data'!K1463</f>
        <v>0</v>
      </c>
      <c r="L755">
        <f>'[1]Processed Data'!L1463</f>
        <v>0</v>
      </c>
      <c r="M755">
        <f>'[1]Processed Data'!M1463</f>
        <v>0</v>
      </c>
      <c r="N755">
        <f>'[1]Processed Data'!N1463</f>
        <v>0</v>
      </c>
      <c r="O755">
        <f>'[1]Processed Data'!O1463</f>
        <v>0</v>
      </c>
      <c r="P755">
        <f>'[1]Processed Data'!P1463</f>
        <v>0</v>
      </c>
      <c r="Q755">
        <f>'[1]Processed Data'!Q1463</f>
        <v>1</v>
      </c>
    </row>
    <row r="756" spans="2:17" hidden="1">
      <c r="B756">
        <f>'[1]Processed Data'!B1464</f>
        <v>2012</v>
      </c>
      <c r="C756">
        <f>'[1]Processed Data'!C1464</f>
        <v>109</v>
      </c>
      <c r="D756" t="str">
        <f>'[1]Processed Data'!D1464</f>
        <v>Tyler Thigpen</v>
      </c>
      <c r="E756">
        <v>2021</v>
      </c>
      <c r="F756">
        <f>'[1]Processed Data'!F1464</f>
        <v>3</v>
      </c>
      <c r="G756">
        <f>'[1]Processed Data'!G1464</f>
        <v>5</v>
      </c>
      <c r="H756">
        <f>'[1]Processed Data'!H1464</f>
        <v>60</v>
      </c>
      <c r="I756">
        <f>'[1]Processed Data'!I1464</f>
        <v>0</v>
      </c>
      <c r="J756">
        <f>'[1]Processed Data'!J1464</f>
        <v>0</v>
      </c>
      <c r="K756">
        <f>'[1]Processed Data'!K1464</f>
        <v>0</v>
      </c>
      <c r="L756">
        <f>'[1]Processed Data'!L1464</f>
        <v>1</v>
      </c>
      <c r="M756">
        <f>'[1]Processed Data'!M1464</f>
        <v>-1</v>
      </c>
      <c r="N756">
        <f>'[1]Processed Data'!N1464</f>
        <v>0</v>
      </c>
      <c r="O756">
        <f>'[1]Processed Data'!O1464</f>
        <v>0</v>
      </c>
      <c r="P756">
        <f>'[1]Processed Data'!P1464</f>
        <v>0</v>
      </c>
      <c r="Q756">
        <f>'[1]Processed Data'!Q1464</f>
        <v>4</v>
      </c>
    </row>
    <row r="757" spans="2:17" hidden="1">
      <c r="B757">
        <f>'[1]Processed Data'!B1465</f>
        <v>2012</v>
      </c>
      <c r="C757">
        <f>'[1]Processed Data'!C1465</f>
        <v>110</v>
      </c>
      <c r="D757" t="str">
        <f>'[1]Processed Data'!D1465</f>
        <v>Shaun Hill</v>
      </c>
      <c r="E757">
        <v>2021</v>
      </c>
      <c r="F757">
        <f>'[1]Processed Data'!F1465</f>
        <v>10</v>
      </c>
      <c r="G757">
        <f>'[1]Processed Data'!G1465</f>
        <v>13</v>
      </c>
      <c r="H757">
        <f>'[1]Processed Data'!H1465</f>
        <v>76.900000000000006</v>
      </c>
      <c r="I757">
        <f>'[1]Processed Data'!I1465</f>
        <v>2</v>
      </c>
      <c r="J757">
        <f>'[1]Processed Data'!J1465</f>
        <v>0</v>
      </c>
      <c r="K757">
        <f>'[1]Processed Data'!K1465</f>
        <v>0</v>
      </c>
      <c r="L757">
        <f>'[1]Processed Data'!L1465</f>
        <v>1</v>
      </c>
      <c r="M757">
        <f>'[1]Processed Data'!M1465</f>
        <v>-1</v>
      </c>
      <c r="N757">
        <f>'[1]Processed Data'!N1465</f>
        <v>0</v>
      </c>
      <c r="O757">
        <f>'[1]Processed Data'!O1465</f>
        <v>0</v>
      </c>
      <c r="P757">
        <f>'[1]Processed Data'!P1465</f>
        <v>0</v>
      </c>
      <c r="Q757">
        <f>'[1]Processed Data'!Q1465</f>
        <v>1</v>
      </c>
    </row>
    <row r="758" spans="2:17" hidden="1">
      <c r="B758">
        <f>'[1]Processed Data'!B1466</f>
        <v>2012</v>
      </c>
      <c r="C758">
        <f>'[1]Processed Data'!C1466</f>
        <v>111</v>
      </c>
      <c r="D758" t="str">
        <f>'[1]Processed Data'!D1466</f>
        <v>Tony Romo</v>
      </c>
      <c r="E758">
        <v>2021</v>
      </c>
      <c r="F758">
        <f>'[1]Processed Data'!F1466</f>
        <v>425</v>
      </c>
      <c r="G758">
        <f>'[1]Processed Data'!G1466</f>
        <v>648</v>
      </c>
      <c r="H758">
        <f>'[1]Processed Data'!H1466</f>
        <v>65.599999999999994</v>
      </c>
      <c r="I758">
        <f>'[1]Processed Data'!I1466</f>
        <v>28</v>
      </c>
      <c r="J758">
        <f>'[1]Processed Data'!J1466</f>
        <v>19</v>
      </c>
      <c r="K758">
        <f>'[1]Processed Data'!K1466</f>
        <v>36</v>
      </c>
      <c r="L758">
        <f>'[1]Processed Data'!L1466</f>
        <v>30</v>
      </c>
      <c r="M758">
        <f>'[1]Processed Data'!M1466</f>
        <v>49</v>
      </c>
      <c r="N758">
        <f>'[1]Processed Data'!N1466</f>
        <v>1</v>
      </c>
      <c r="O758">
        <f>'[1]Processed Data'!O1466</f>
        <v>3</v>
      </c>
      <c r="P758">
        <f>'[1]Processed Data'!P1466</f>
        <v>0</v>
      </c>
      <c r="Q758">
        <f>'[1]Processed Data'!Q1466</f>
        <v>16</v>
      </c>
    </row>
    <row r="759" spans="2:17" hidden="1">
      <c r="B759">
        <f>'[1]Processed Data'!B1467</f>
        <v>2012</v>
      </c>
      <c r="C759">
        <f>'[1]Processed Data'!C1467</f>
        <v>112</v>
      </c>
      <c r="D759" t="str">
        <f>'[1]Processed Data'!D1467</f>
        <v>Trent Edwards</v>
      </c>
      <c r="E759">
        <v>2021</v>
      </c>
      <c r="F759">
        <f>'[1]Processed Data'!F1467</f>
        <v>2</v>
      </c>
      <c r="G759">
        <f>'[1]Processed Data'!G1467</f>
        <v>2</v>
      </c>
      <c r="H759">
        <f>'[1]Processed Data'!H1467</f>
        <v>100</v>
      </c>
      <c r="I759">
        <f>'[1]Processed Data'!I1467</f>
        <v>0</v>
      </c>
      <c r="J759">
        <f>'[1]Processed Data'!J1467</f>
        <v>0</v>
      </c>
      <c r="K759">
        <f>'[1]Processed Data'!K1467</f>
        <v>0</v>
      </c>
      <c r="L759">
        <f>'[1]Processed Data'!L1467</f>
        <v>0</v>
      </c>
      <c r="M759">
        <f>'[1]Processed Data'!M1467</f>
        <v>0</v>
      </c>
      <c r="N759">
        <f>'[1]Processed Data'!N1467</f>
        <v>0</v>
      </c>
      <c r="O759">
        <f>'[1]Processed Data'!O1467</f>
        <v>0</v>
      </c>
      <c r="P759">
        <f>'[1]Processed Data'!P1467</f>
        <v>0</v>
      </c>
      <c r="Q759">
        <f>'[1]Processed Data'!Q1467</f>
        <v>1</v>
      </c>
    </row>
    <row r="760" spans="2:17" hidden="1">
      <c r="B760">
        <f>'[1]Processed Data'!B1468</f>
        <v>2012</v>
      </c>
      <c r="C760">
        <f>'[1]Processed Data'!C1468</f>
        <v>113</v>
      </c>
      <c r="D760" t="str">
        <f>'[1]Processed Data'!D1468</f>
        <v>Sam Bradford</v>
      </c>
      <c r="E760">
        <v>2021</v>
      </c>
      <c r="F760">
        <f>'[1]Processed Data'!F1468</f>
        <v>328</v>
      </c>
      <c r="G760">
        <f>'[1]Processed Data'!G1468</f>
        <v>551</v>
      </c>
      <c r="H760">
        <f>'[1]Processed Data'!H1468</f>
        <v>59.5</v>
      </c>
      <c r="I760">
        <f>'[1]Processed Data'!I1468</f>
        <v>21</v>
      </c>
      <c r="J760">
        <f>'[1]Processed Data'!J1468</f>
        <v>13</v>
      </c>
      <c r="K760">
        <f>'[1]Processed Data'!K1468</f>
        <v>35</v>
      </c>
      <c r="L760">
        <f>'[1]Processed Data'!L1468</f>
        <v>36</v>
      </c>
      <c r="M760">
        <f>'[1]Processed Data'!M1468</f>
        <v>124</v>
      </c>
      <c r="N760">
        <f>'[1]Processed Data'!N1468</f>
        <v>1</v>
      </c>
      <c r="O760">
        <f>'[1]Processed Data'!O1468</f>
        <v>1</v>
      </c>
      <c r="P760">
        <f>'[1]Processed Data'!P1468</f>
        <v>0</v>
      </c>
      <c r="Q760">
        <f>'[1]Processed Data'!Q1468</f>
        <v>16</v>
      </c>
    </row>
    <row r="761" spans="2:17" hidden="1">
      <c r="B761">
        <f>'[1]Processed Data'!B1469</f>
        <v>2012</v>
      </c>
      <c r="C761">
        <f>'[1]Processed Data'!C1469</f>
        <v>114</v>
      </c>
      <c r="D761" t="str">
        <f>'[1]Processed Data'!D1469</f>
        <v>John Skelton</v>
      </c>
      <c r="E761">
        <v>2021</v>
      </c>
      <c r="F761">
        <f>'[1]Processed Data'!F1469</f>
        <v>109</v>
      </c>
      <c r="G761">
        <f>'[1]Processed Data'!G1469</f>
        <v>201</v>
      </c>
      <c r="H761">
        <f>'[1]Processed Data'!H1469</f>
        <v>54.2</v>
      </c>
      <c r="I761">
        <f>'[1]Processed Data'!I1469</f>
        <v>2</v>
      </c>
      <c r="J761">
        <f>'[1]Processed Data'!J1469</f>
        <v>9</v>
      </c>
      <c r="K761">
        <f>'[1]Processed Data'!K1469</f>
        <v>15</v>
      </c>
      <c r="L761">
        <f>'[1]Processed Data'!L1469</f>
        <v>4</v>
      </c>
      <c r="M761">
        <f>'[1]Processed Data'!M1469</f>
        <v>5</v>
      </c>
      <c r="N761">
        <f>'[1]Processed Data'!N1469</f>
        <v>0</v>
      </c>
      <c r="O761">
        <f>'[1]Processed Data'!O1469</f>
        <v>2</v>
      </c>
      <c r="P761">
        <f>'[1]Processed Data'!P1469</f>
        <v>0</v>
      </c>
      <c r="Q761">
        <f>'[1]Processed Data'!Q1469</f>
        <v>7</v>
      </c>
    </row>
    <row r="762" spans="2:17" hidden="1">
      <c r="B762">
        <f>'[1]Processed Data'!B1470</f>
        <v>2012</v>
      </c>
      <c r="C762">
        <f>'[1]Processed Data'!C1470</f>
        <v>115</v>
      </c>
      <c r="D762" t="str">
        <f>'[1]Processed Data'!D1470</f>
        <v>Philip Rivers</v>
      </c>
      <c r="E762">
        <v>2021</v>
      </c>
      <c r="F762">
        <f>'[1]Processed Data'!F1470</f>
        <v>338</v>
      </c>
      <c r="G762">
        <f>'[1]Processed Data'!G1470</f>
        <v>527</v>
      </c>
      <c r="H762">
        <f>'[1]Processed Data'!H1470</f>
        <v>64.099999999999994</v>
      </c>
      <c r="I762">
        <f>'[1]Processed Data'!I1470</f>
        <v>26</v>
      </c>
      <c r="J762">
        <f>'[1]Processed Data'!J1470</f>
        <v>15</v>
      </c>
      <c r="K762">
        <f>'[1]Processed Data'!K1470</f>
        <v>49</v>
      </c>
      <c r="L762">
        <f>'[1]Processed Data'!L1470</f>
        <v>27</v>
      </c>
      <c r="M762">
        <f>'[1]Processed Data'!M1470</f>
        <v>40</v>
      </c>
      <c r="N762">
        <f>'[1]Processed Data'!N1470</f>
        <v>0</v>
      </c>
      <c r="O762">
        <f>'[1]Processed Data'!O1470</f>
        <v>7</v>
      </c>
      <c r="P762">
        <f>'[1]Processed Data'!P1470</f>
        <v>0</v>
      </c>
      <c r="Q762">
        <f>'[1]Processed Data'!Q1470</f>
        <v>16</v>
      </c>
    </row>
    <row r="763" spans="2:17" hidden="1">
      <c r="B763">
        <f>'[1]Processed Data'!B1471</f>
        <v>2012</v>
      </c>
      <c r="C763">
        <f>'[1]Processed Data'!C1471</f>
        <v>116</v>
      </c>
      <c r="D763" t="str">
        <f>'[1]Processed Data'!D1471</f>
        <v>Kellen Clemens</v>
      </c>
      <c r="E763">
        <v>2021</v>
      </c>
      <c r="F763">
        <f>'[1]Processed Data'!F1471</f>
        <v>1</v>
      </c>
      <c r="G763">
        <f>'[1]Processed Data'!G1471</f>
        <v>3</v>
      </c>
      <c r="H763">
        <f>'[1]Processed Data'!H1471</f>
        <v>33.299999999999997</v>
      </c>
      <c r="I763">
        <f>'[1]Processed Data'!I1471</f>
        <v>0</v>
      </c>
      <c r="J763">
        <f>'[1]Processed Data'!J1471</f>
        <v>1</v>
      </c>
      <c r="K763">
        <f>'[1]Processed Data'!K1471</f>
        <v>0</v>
      </c>
      <c r="L763">
        <f>'[1]Processed Data'!L1471</f>
        <v>2</v>
      </c>
      <c r="M763">
        <f>'[1]Processed Data'!M1471</f>
        <v>5</v>
      </c>
      <c r="N763">
        <f>'[1]Processed Data'!N1471</f>
        <v>0</v>
      </c>
      <c r="O763">
        <f>'[1]Processed Data'!O1471</f>
        <v>0</v>
      </c>
      <c r="P763">
        <f>'[1]Processed Data'!P1471</f>
        <v>0</v>
      </c>
      <c r="Q763">
        <f>'[1]Processed Data'!Q1471</f>
        <v>2</v>
      </c>
    </row>
    <row r="764" spans="2:17" hidden="1">
      <c r="B764">
        <f>'[1]Processed Data'!B1472</f>
        <v>2012</v>
      </c>
      <c r="C764">
        <f>'[1]Processed Data'!C1472</f>
        <v>117</v>
      </c>
      <c r="D764" t="str">
        <f>'[1]Processed Data'!D1472</f>
        <v>Kevin Kolb</v>
      </c>
      <c r="E764">
        <v>2021</v>
      </c>
      <c r="F764">
        <f>'[1]Processed Data'!F1472</f>
        <v>109</v>
      </c>
      <c r="G764">
        <f>'[1]Processed Data'!G1472</f>
        <v>183</v>
      </c>
      <c r="H764">
        <f>'[1]Processed Data'!H1472</f>
        <v>59.6</v>
      </c>
      <c r="I764">
        <f>'[1]Processed Data'!I1472</f>
        <v>8</v>
      </c>
      <c r="J764">
        <f>'[1]Processed Data'!J1472</f>
        <v>3</v>
      </c>
      <c r="K764">
        <f>'[1]Processed Data'!K1472</f>
        <v>27</v>
      </c>
      <c r="L764">
        <f>'[1]Processed Data'!L1472</f>
        <v>16</v>
      </c>
      <c r="M764">
        <f>'[1]Processed Data'!M1472</f>
        <v>100</v>
      </c>
      <c r="N764">
        <f>'[1]Processed Data'!N1472</f>
        <v>1</v>
      </c>
      <c r="O764">
        <f>'[1]Processed Data'!O1472</f>
        <v>2</v>
      </c>
      <c r="P764">
        <f>'[1]Processed Data'!P1472</f>
        <v>0</v>
      </c>
      <c r="Q764">
        <f>'[1]Processed Data'!Q1472</f>
        <v>6</v>
      </c>
    </row>
    <row r="765" spans="2:17" hidden="1">
      <c r="B765">
        <f>'[1]Processed Data'!B1473</f>
        <v>2012</v>
      </c>
      <c r="C765">
        <f>'[1]Processed Data'!C1473</f>
        <v>118</v>
      </c>
      <c r="D765" t="str">
        <f>'[1]Processed Data'!D1473</f>
        <v>Kyle Orton</v>
      </c>
      <c r="E765">
        <v>2021</v>
      </c>
      <c r="F765">
        <f>'[1]Processed Data'!F1473</f>
        <v>9</v>
      </c>
      <c r="G765">
        <f>'[1]Processed Data'!G1473</f>
        <v>10</v>
      </c>
      <c r="H765">
        <f>'[1]Processed Data'!H1473</f>
        <v>90</v>
      </c>
      <c r="I765">
        <f>'[1]Processed Data'!I1473</f>
        <v>1</v>
      </c>
      <c r="J765">
        <f>'[1]Processed Data'!J1473</f>
        <v>0</v>
      </c>
      <c r="K765">
        <f>'[1]Processed Data'!K1473</f>
        <v>0</v>
      </c>
      <c r="L765">
        <f>'[1]Processed Data'!L1473</f>
        <v>0</v>
      </c>
      <c r="M765">
        <f>'[1]Processed Data'!M1473</f>
        <v>0</v>
      </c>
      <c r="N765">
        <f>'[1]Processed Data'!N1473</f>
        <v>0</v>
      </c>
      <c r="O765">
        <f>'[1]Processed Data'!O1473</f>
        <v>0</v>
      </c>
      <c r="P765">
        <f>'[1]Processed Data'!P1473</f>
        <v>0</v>
      </c>
      <c r="Q765">
        <f>'[1]Processed Data'!Q1473</f>
        <v>1</v>
      </c>
    </row>
    <row r="766" spans="2:17" hidden="1">
      <c r="B766">
        <f>'[1]Processed Data'!B1474</f>
        <v>2012</v>
      </c>
      <c r="C766">
        <f>'[1]Processed Data'!C1474</f>
        <v>119</v>
      </c>
      <c r="D766" t="str">
        <f>'[1]Processed Data'!D1474</f>
        <v>Mark Sanchez</v>
      </c>
      <c r="E766">
        <v>2021</v>
      </c>
      <c r="F766">
        <f>'[1]Processed Data'!F1474</f>
        <v>246</v>
      </c>
      <c r="G766">
        <f>'[1]Processed Data'!G1474</f>
        <v>453</v>
      </c>
      <c r="H766">
        <f>'[1]Processed Data'!H1474</f>
        <v>54.3</v>
      </c>
      <c r="I766">
        <f>'[1]Processed Data'!I1474</f>
        <v>13</v>
      </c>
      <c r="J766">
        <f>'[1]Processed Data'!J1474</f>
        <v>18</v>
      </c>
      <c r="K766">
        <f>'[1]Processed Data'!K1474</f>
        <v>34</v>
      </c>
      <c r="L766">
        <f>'[1]Processed Data'!L1474</f>
        <v>22</v>
      </c>
      <c r="M766">
        <f>'[1]Processed Data'!M1474</f>
        <v>28</v>
      </c>
      <c r="N766">
        <f>'[1]Processed Data'!N1474</f>
        <v>0</v>
      </c>
      <c r="O766">
        <f>'[1]Processed Data'!O1474</f>
        <v>8</v>
      </c>
      <c r="P766">
        <f>'[1]Processed Data'!P1474</f>
        <v>0</v>
      </c>
      <c r="Q766">
        <f>'[1]Processed Data'!Q1474</f>
        <v>15</v>
      </c>
    </row>
    <row r="767" spans="2:17" hidden="1">
      <c r="B767">
        <f>'[1]Processed Data'!B1475</f>
        <v>2012</v>
      </c>
      <c r="C767">
        <f>'[1]Processed Data'!C1475</f>
        <v>120</v>
      </c>
      <c r="D767" t="str">
        <f>'[1]Processed Data'!D1475</f>
        <v>Peyton Manning</v>
      </c>
      <c r="E767">
        <v>2021</v>
      </c>
      <c r="F767">
        <f>'[1]Processed Data'!F1475</f>
        <v>400</v>
      </c>
      <c r="G767">
        <f>'[1]Processed Data'!G1475</f>
        <v>583</v>
      </c>
      <c r="H767">
        <f>'[1]Processed Data'!H1475</f>
        <v>68.599999999999994</v>
      </c>
      <c r="I767">
        <f>'[1]Processed Data'!I1475</f>
        <v>37</v>
      </c>
      <c r="J767">
        <f>'[1]Processed Data'!J1475</f>
        <v>11</v>
      </c>
      <c r="K767">
        <f>'[1]Processed Data'!K1475</f>
        <v>21</v>
      </c>
      <c r="L767">
        <f>'[1]Processed Data'!L1475</f>
        <v>23</v>
      </c>
      <c r="M767">
        <f>'[1]Processed Data'!M1475</f>
        <v>6</v>
      </c>
      <c r="N767">
        <f>'[1]Processed Data'!N1475</f>
        <v>0</v>
      </c>
      <c r="O767">
        <f>'[1]Processed Data'!O1475</f>
        <v>2</v>
      </c>
      <c r="P767">
        <f>'[1]Processed Data'!P1475</f>
        <v>0</v>
      </c>
      <c r="Q767">
        <f>'[1]Processed Data'!Q1475</f>
        <v>16</v>
      </c>
    </row>
    <row r="768" spans="2:17" hidden="1">
      <c r="B768">
        <f>'[1]Processed Data'!B1476</f>
        <v>2012</v>
      </c>
      <c r="C768">
        <f>'[1]Processed Data'!C1476</f>
        <v>121</v>
      </c>
      <c r="D768" t="str">
        <f>'[1]Processed Data'!D1476</f>
        <v>Matt Cassel</v>
      </c>
      <c r="E768">
        <v>2021</v>
      </c>
      <c r="F768">
        <f>'[1]Processed Data'!F1476</f>
        <v>161</v>
      </c>
      <c r="G768">
        <f>'[1]Processed Data'!G1476</f>
        <v>277</v>
      </c>
      <c r="H768">
        <f>'[1]Processed Data'!H1476</f>
        <v>58.1</v>
      </c>
      <c r="I768">
        <f>'[1]Processed Data'!I1476</f>
        <v>6</v>
      </c>
      <c r="J768">
        <f>'[1]Processed Data'!J1476</f>
        <v>12</v>
      </c>
      <c r="K768">
        <f>'[1]Processed Data'!K1476</f>
        <v>19</v>
      </c>
      <c r="L768">
        <f>'[1]Processed Data'!L1476</f>
        <v>27</v>
      </c>
      <c r="M768">
        <f>'[1]Processed Data'!M1476</f>
        <v>145</v>
      </c>
      <c r="N768">
        <f>'[1]Processed Data'!N1476</f>
        <v>1</v>
      </c>
      <c r="O768">
        <f>'[1]Processed Data'!O1476</f>
        <v>7</v>
      </c>
      <c r="P768">
        <f>'[1]Processed Data'!P1476</f>
        <v>0</v>
      </c>
      <c r="Q768">
        <f>'[1]Processed Data'!Q1476</f>
        <v>9</v>
      </c>
    </row>
    <row r="769" spans="2:17" hidden="1">
      <c r="B769">
        <f>'[1]Processed Data'!B1477</f>
        <v>2012</v>
      </c>
      <c r="C769">
        <f>'[1]Processed Data'!C1477</f>
        <v>122</v>
      </c>
      <c r="D769" t="str">
        <f>'[1]Processed Data'!D1477</f>
        <v>Matt Flynn</v>
      </c>
      <c r="E769">
        <v>2021</v>
      </c>
      <c r="F769">
        <f>'[1]Processed Data'!F1477</f>
        <v>5</v>
      </c>
      <c r="G769">
        <f>'[1]Processed Data'!G1477</f>
        <v>9</v>
      </c>
      <c r="H769">
        <f>'[1]Processed Data'!H1477</f>
        <v>55.6</v>
      </c>
      <c r="I769">
        <f>'[1]Processed Data'!I1477</f>
        <v>0</v>
      </c>
      <c r="J769">
        <f>'[1]Processed Data'!J1477</f>
        <v>0</v>
      </c>
      <c r="K769">
        <f>'[1]Processed Data'!K1477</f>
        <v>0</v>
      </c>
      <c r="L769">
        <f>'[1]Processed Data'!L1477</f>
        <v>4</v>
      </c>
      <c r="M769">
        <f>'[1]Processed Data'!M1477</f>
        <v>-5</v>
      </c>
      <c r="N769">
        <f>'[1]Processed Data'!N1477</f>
        <v>0</v>
      </c>
      <c r="O769">
        <f>'[1]Processed Data'!O1477</f>
        <v>0</v>
      </c>
      <c r="P769">
        <f>'[1]Processed Data'!P1477</f>
        <v>0</v>
      </c>
      <c r="Q769">
        <f>'[1]Processed Data'!Q1477</f>
        <v>3</v>
      </c>
    </row>
    <row r="770" spans="2:17" hidden="1">
      <c r="B770">
        <f>'[1]Processed Data'!B1478</f>
        <v>2012</v>
      </c>
      <c r="C770">
        <f>'[1]Processed Data'!C1478</f>
        <v>123</v>
      </c>
      <c r="D770" t="str">
        <f>'[1]Processed Data'!D1478</f>
        <v>Matt Hasselbeck</v>
      </c>
      <c r="E770">
        <v>2021</v>
      </c>
      <c r="F770">
        <f>'[1]Processed Data'!F1478</f>
        <v>138</v>
      </c>
      <c r="G770">
        <f>'[1]Processed Data'!G1478</f>
        <v>221</v>
      </c>
      <c r="H770">
        <f>'[1]Processed Data'!H1478</f>
        <v>62.4</v>
      </c>
      <c r="I770">
        <f>'[1]Processed Data'!I1478</f>
        <v>7</v>
      </c>
      <c r="J770">
        <f>'[1]Processed Data'!J1478</f>
        <v>5</v>
      </c>
      <c r="K770">
        <f>'[1]Processed Data'!K1478</f>
        <v>14</v>
      </c>
      <c r="L770">
        <f>'[1]Processed Data'!L1478</f>
        <v>13</v>
      </c>
      <c r="M770">
        <f>'[1]Processed Data'!M1478</f>
        <v>38</v>
      </c>
      <c r="N770">
        <f>'[1]Processed Data'!N1478</f>
        <v>0</v>
      </c>
      <c r="O770">
        <f>'[1]Processed Data'!O1478</f>
        <v>1</v>
      </c>
      <c r="P770">
        <f>'[1]Processed Data'!P1478</f>
        <v>0</v>
      </c>
      <c r="Q770">
        <f>'[1]Processed Data'!Q1478</f>
        <v>8</v>
      </c>
    </row>
    <row r="771" spans="2:17" hidden="1">
      <c r="B771">
        <f>'[1]Processed Data'!B1479</f>
        <v>2012</v>
      </c>
      <c r="C771">
        <f>'[1]Processed Data'!C1479</f>
        <v>124</v>
      </c>
      <c r="D771" t="str">
        <f>'[1]Processed Data'!D1479</f>
        <v>Michael Vick</v>
      </c>
      <c r="E771">
        <v>2021</v>
      </c>
      <c r="F771">
        <f>'[1]Processed Data'!F1479</f>
        <v>204</v>
      </c>
      <c r="G771">
        <f>'[1]Processed Data'!G1479</f>
        <v>351</v>
      </c>
      <c r="H771">
        <f>'[1]Processed Data'!H1479</f>
        <v>58.1</v>
      </c>
      <c r="I771">
        <f>'[1]Processed Data'!I1479</f>
        <v>12</v>
      </c>
      <c r="J771">
        <f>'[1]Processed Data'!J1479</f>
        <v>10</v>
      </c>
      <c r="K771">
        <f>'[1]Processed Data'!K1479</f>
        <v>28</v>
      </c>
      <c r="L771">
        <f>'[1]Processed Data'!L1479</f>
        <v>62</v>
      </c>
      <c r="M771">
        <f>'[1]Processed Data'!M1479</f>
        <v>332</v>
      </c>
      <c r="N771">
        <f>'[1]Processed Data'!N1479</f>
        <v>1</v>
      </c>
      <c r="O771">
        <f>'[1]Processed Data'!O1479</f>
        <v>5</v>
      </c>
      <c r="P771">
        <f>'[1]Processed Data'!P1479</f>
        <v>0</v>
      </c>
      <c r="Q771">
        <f>'[1]Processed Data'!Q1479</f>
        <v>10</v>
      </c>
    </row>
    <row r="772" spans="2:17" hidden="1">
      <c r="B772">
        <f>'[1]Processed Data'!B1519</f>
        <v>2012</v>
      </c>
      <c r="C772">
        <f>'[1]Processed Data'!C1519</f>
        <v>164</v>
      </c>
      <c r="D772" t="str">
        <f>'[1]Processed Data'!D1519</f>
        <v>Joe Webb III</v>
      </c>
      <c r="E772">
        <v>2021</v>
      </c>
      <c r="F772">
        <f>'[1]Processed Data'!F1519</f>
        <v>0</v>
      </c>
      <c r="G772">
        <f>'[1]Processed Data'!G1519</f>
        <v>0</v>
      </c>
      <c r="H772">
        <f>'[1]Processed Data'!H1519</f>
        <v>0</v>
      </c>
      <c r="I772">
        <f>'[1]Processed Data'!I1519</f>
        <v>0</v>
      </c>
      <c r="J772">
        <f>'[1]Processed Data'!J1519</f>
        <v>0</v>
      </c>
      <c r="K772">
        <f>'[1]Processed Data'!K1519</f>
        <v>0</v>
      </c>
      <c r="L772">
        <f>'[1]Processed Data'!L1519</f>
        <v>1</v>
      </c>
      <c r="M772">
        <f>'[1]Processed Data'!M1519</f>
        <v>-1</v>
      </c>
      <c r="N772">
        <f>'[1]Processed Data'!N1519</f>
        <v>0</v>
      </c>
      <c r="O772">
        <f>'[1]Processed Data'!O1519</f>
        <v>0</v>
      </c>
      <c r="P772">
        <f>'[1]Processed Data'!P1519</f>
        <v>-0.1</v>
      </c>
      <c r="Q772">
        <f>'[1]Processed Data'!Q1519</f>
        <v>1</v>
      </c>
    </row>
    <row r="773" spans="2:17" hidden="1">
      <c r="B773">
        <f>'[1]Processed Data'!B1520</f>
        <v>2012</v>
      </c>
      <c r="C773">
        <f>'[1]Processed Data'!C1520</f>
        <v>165</v>
      </c>
      <c r="D773" t="str">
        <f>'[1]Processed Data'!D1520</f>
        <v>Luke McCown</v>
      </c>
      <c r="E773">
        <v>2021</v>
      </c>
      <c r="F773">
        <f>'[1]Processed Data'!F1520</f>
        <v>0</v>
      </c>
      <c r="G773">
        <f>'[1]Processed Data'!G1520</f>
        <v>0</v>
      </c>
      <c r="H773">
        <f>'[1]Processed Data'!H1520</f>
        <v>0</v>
      </c>
      <c r="I773">
        <f>'[1]Processed Data'!I1520</f>
        <v>0</v>
      </c>
      <c r="J773">
        <f>'[1]Processed Data'!J1520</f>
        <v>0</v>
      </c>
      <c r="K773">
        <f>'[1]Processed Data'!K1520</f>
        <v>0</v>
      </c>
      <c r="L773">
        <f>'[1]Processed Data'!L1520</f>
        <v>2</v>
      </c>
      <c r="M773">
        <f>'[1]Processed Data'!M1520</f>
        <v>-3</v>
      </c>
      <c r="N773">
        <f>'[1]Processed Data'!N1520</f>
        <v>0</v>
      </c>
      <c r="O773">
        <f>'[1]Processed Data'!O1520</f>
        <v>0</v>
      </c>
      <c r="P773">
        <f>'[1]Processed Data'!P1520</f>
        <v>-0.3</v>
      </c>
      <c r="Q773">
        <f>'[1]Processed Data'!Q1520</f>
        <v>2</v>
      </c>
    </row>
    <row r="774" spans="2:17" hidden="1">
      <c r="B774">
        <f>'[1]Processed Data'!B1521</f>
        <v>2012</v>
      </c>
      <c r="C774">
        <f>'[1]Processed Data'!C1521</f>
        <v>166</v>
      </c>
      <c r="D774" t="str">
        <f>'[1]Processed Data'!D1521</f>
        <v>Josh Johnson</v>
      </c>
      <c r="E774">
        <v>2021</v>
      </c>
      <c r="F774">
        <f>'[1]Processed Data'!F1521</f>
        <v>0</v>
      </c>
      <c r="G774">
        <f>'[1]Processed Data'!G1521</f>
        <v>0</v>
      </c>
      <c r="H774">
        <f>'[1]Processed Data'!H1521</f>
        <v>0</v>
      </c>
      <c r="I774">
        <f>'[1]Processed Data'!I1521</f>
        <v>0</v>
      </c>
      <c r="J774">
        <f>'[1]Processed Data'!J1521</f>
        <v>0</v>
      </c>
      <c r="K774">
        <f>'[1]Processed Data'!K1521</f>
        <v>1</v>
      </c>
      <c r="L774">
        <f>'[1]Processed Data'!L1521</f>
        <v>0</v>
      </c>
      <c r="M774">
        <f>'[1]Processed Data'!M1521</f>
        <v>0</v>
      </c>
      <c r="N774">
        <f>'[1]Processed Data'!N1521</f>
        <v>0</v>
      </c>
      <c r="O774">
        <f>'[1]Processed Data'!O1521</f>
        <v>1</v>
      </c>
      <c r="P774">
        <f>'[1]Processed Data'!P1521</f>
        <v>-2</v>
      </c>
      <c r="Q774">
        <f>'[1]Processed Data'!Q1521</f>
        <v>1</v>
      </c>
    </row>
    <row r="775" spans="2:17" hidden="1">
      <c r="B775">
        <f>'[1]Processed Data'!B1522</f>
        <v>2011</v>
      </c>
      <c r="C775">
        <f>'[1]Processed Data'!C1522</f>
        <v>1</v>
      </c>
      <c r="D775" t="str">
        <f>'[1]Processed Data'!D1522</f>
        <v>Aaron Rodgers</v>
      </c>
      <c r="E775">
        <v>2021</v>
      </c>
      <c r="F775">
        <f>'[1]Processed Data'!F1522</f>
        <v>343</v>
      </c>
      <c r="G775">
        <f>'[1]Processed Data'!G1522</f>
        <v>502</v>
      </c>
      <c r="H775">
        <f>'[1]Processed Data'!H1522</f>
        <v>68.3</v>
      </c>
      <c r="I775">
        <f>'[1]Processed Data'!I1522</f>
        <v>45</v>
      </c>
      <c r="J775">
        <f>'[1]Processed Data'!J1522</f>
        <v>6</v>
      </c>
      <c r="K775">
        <f>'[1]Processed Data'!K1522</f>
        <v>36</v>
      </c>
      <c r="L775">
        <f>'[1]Processed Data'!L1522</f>
        <v>60</v>
      </c>
      <c r="M775">
        <f>'[1]Processed Data'!M1522</f>
        <v>257</v>
      </c>
      <c r="N775">
        <f>'[1]Processed Data'!N1522</f>
        <v>3</v>
      </c>
      <c r="O775">
        <f>'[1]Processed Data'!O1522</f>
        <v>0</v>
      </c>
      <c r="P775">
        <f>'[1]Processed Data'!P1522</f>
        <v>397.4</v>
      </c>
      <c r="Q775">
        <f>'[1]Processed Data'!Q1522</f>
        <v>15</v>
      </c>
    </row>
    <row r="776" spans="2:17" hidden="1">
      <c r="B776">
        <f>'[1]Processed Data'!B1523</f>
        <v>2011</v>
      </c>
      <c r="C776">
        <f>'[1]Processed Data'!C1523</f>
        <v>2</v>
      </c>
      <c r="D776" t="str">
        <f>'[1]Processed Data'!D1523</f>
        <v>Drew Brees</v>
      </c>
      <c r="E776">
        <v>2021</v>
      </c>
      <c r="F776">
        <f>'[1]Processed Data'!F1523</f>
        <v>468</v>
      </c>
      <c r="G776">
        <f>'[1]Processed Data'!G1523</f>
        <v>657</v>
      </c>
      <c r="H776">
        <f>'[1]Processed Data'!H1523</f>
        <v>71.2</v>
      </c>
      <c r="I776">
        <f>'[1]Processed Data'!I1523</f>
        <v>46</v>
      </c>
      <c r="J776">
        <f>'[1]Processed Data'!J1523</f>
        <v>14</v>
      </c>
      <c r="K776">
        <f>'[1]Processed Data'!K1523</f>
        <v>24</v>
      </c>
      <c r="L776">
        <f>'[1]Processed Data'!L1523</f>
        <v>21</v>
      </c>
      <c r="M776">
        <f>'[1]Processed Data'!M1523</f>
        <v>86</v>
      </c>
      <c r="N776">
        <f>'[1]Processed Data'!N1523</f>
        <v>1</v>
      </c>
      <c r="O776">
        <f>'[1]Processed Data'!O1523</f>
        <v>1</v>
      </c>
      <c r="P776">
        <f>'[1]Processed Data'!P1523</f>
        <v>387.8</v>
      </c>
      <c r="Q776">
        <f>'[1]Processed Data'!Q1523</f>
        <v>16</v>
      </c>
    </row>
    <row r="777" spans="2:17" hidden="1">
      <c r="B777">
        <f>'[1]Processed Data'!B1524</f>
        <v>2011</v>
      </c>
      <c r="C777">
        <f>'[1]Processed Data'!C1524</f>
        <v>3</v>
      </c>
      <c r="D777" t="str">
        <f>'[1]Processed Data'!D1524</f>
        <v>Tom Brady</v>
      </c>
      <c r="E777">
        <v>2021</v>
      </c>
      <c r="F777">
        <f>'[1]Processed Data'!F1524</f>
        <v>401</v>
      </c>
      <c r="G777">
        <f>'[1]Processed Data'!G1524</f>
        <v>611</v>
      </c>
      <c r="H777">
        <f>'[1]Processed Data'!H1524</f>
        <v>65.599999999999994</v>
      </c>
      <c r="I777">
        <f>'[1]Processed Data'!I1524</f>
        <v>39</v>
      </c>
      <c r="J777">
        <f>'[1]Processed Data'!J1524</f>
        <v>12</v>
      </c>
      <c r="K777">
        <f>'[1]Processed Data'!K1524</f>
        <v>32</v>
      </c>
      <c r="L777">
        <f>'[1]Processed Data'!L1524</f>
        <v>43</v>
      </c>
      <c r="M777">
        <f>'[1]Processed Data'!M1524</f>
        <v>109</v>
      </c>
      <c r="N777">
        <f>'[1]Processed Data'!N1524</f>
        <v>3</v>
      </c>
      <c r="O777">
        <f>'[1]Processed Data'!O1524</f>
        <v>2</v>
      </c>
      <c r="P777">
        <f>'[1]Processed Data'!P1524</f>
        <v>366.4</v>
      </c>
      <c r="Q777">
        <f>'[1]Processed Data'!Q1524</f>
        <v>16</v>
      </c>
    </row>
    <row r="778" spans="2:17" hidden="1">
      <c r="B778">
        <f>'[1]Processed Data'!B1525</f>
        <v>2011</v>
      </c>
      <c r="C778">
        <f>'[1]Processed Data'!C1525</f>
        <v>4</v>
      </c>
      <c r="D778" t="str">
        <f>'[1]Processed Data'!D1525</f>
        <v>Cam Newton</v>
      </c>
      <c r="E778">
        <v>2021</v>
      </c>
      <c r="F778">
        <f>'[1]Processed Data'!F1525</f>
        <v>310</v>
      </c>
      <c r="G778">
        <f>'[1]Processed Data'!G1525</f>
        <v>517</v>
      </c>
      <c r="H778">
        <f>'[1]Processed Data'!H1525</f>
        <v>60</v>
      </c>
      <c r="I778">
        <f>'[1]Processed Data'!I1525</f>
        <v>21</v>
      </c>
      <c r="J778">
        <f>'[1]Processed Data'!J1525</f>
        <v>17</v>
      </c>
      <c r="K778">
        <f>'[1]Processed Data'!K1525</f>
        <v>35</v>
      </c>
      <c r="L778">
        <f>'[1]Processed Data'!L1525</f>
        <v>126</v>
      </c>
      <c r="M778">
        <f>'[1]Processed Data'!M1525</f>
        <v>706</v>
      </c>
      <c r="N778">
        <f>'[1]Processed Data'!N1525</f>
        <v>14</v>
      </c>
      <c r="O778">
        <f>'[1]Processed Data'!O1525</f>
        <v>2</v>
      </c>
      <c r="P778">
        <f>'[1]Processed Data'!P1525</f>
        <v>365.9</v>
      </c>
      <c r="Q778">
        <f>'[1]Processed Data'!Q1525</f>
        <v>16</v>
      </c>
    </row>
    <row r="779" spans="2:17" hidden="1">
      <c r="B779">
        <f>'[1]Processed Data'!B1526</f>
        <v>2011</v>
      </c>
      <c r="C779">
        <f>'[1]Processed Data'!C1526</f>
        <v>5</v>
      </c>
      <c r="D779" t="str">
        <f>'[1]Processed Data'!D1526</f>
        <v>Matthew Stafford</v>
      </c>
      <c r="E779">
        <v>2021</v>
      </c>
      <c r="F779">
        <f>'[1]Processed Data'!F1526</f>
        <v>421</v>
      </c>
      <c r="G779">
        <f>'[1]Processed Data'!G1526</f>
        <v>663</v>
      </c>
      <c r="H779">
        <f>'[1]Processed Data'!H1526</f>
        <v>63.5</v>
      </c>
      <c r="I779">
        <f>'[1]Processed Data'!I1526</f>
        <v>41</v>
      </c>
      <c r="J779">
        <f>'[1]Processed Data'!J1526</f>
        <v>16</v>
      </c>
      <c r="K779">
        <f>'[1]Processed Data'!K1526</f>
        <v>36</v>
      </c>
      <c r="L779">
        <f>'[1]Processed Data'!L1526</f>
        <v>22</v>
      </c>
      <c r="M779">
        <f>'[1]Processed Data'!M1526</f>
        <v>78</v>
      </c>
      <c r="N779">
        <f>'[1]Processed Data'!N1526</f>
        <v>0</v>
      </c>
      <c r="O779">
        <f>'[1]Processed Data'!O1526</f>
        <v>1</v>
      </c>
      <c r="P779">
        <f>'[1]Processed Data'!P1526</f>
        <v>339.3</v>
      </c>
      <c r="Q779">
        <f>'[1]Processed Data'!Q1526</f>
        <v>16</v>
      </c>
    </row>
    <row r="780" spans="2:17" hidden="1">
      <c r="B780">
        <f>'[1]Processed Data'!B1527</f>
        <v>2011</v>
      </c>
      <c r="C780">
        <f>'[1]Processed Data'!C1527</f>
        <v>6</v>
      </c>
      <c r="D780" t="str">
        <f>'[1]Processed Data'!D1527</f>
        <v>Matt Ryan</v>
      </c>
      <c r="E780">
        <v>2021</v>
      </c>
      <c r="F780">
        <f>'[1]Processed Data'!F1527</f>
        <v>347</v>
      </c>
      <c r="G780">
        <f>'[1]Processed Data'!G1527</f>
        <v>566</v>
      </c>
      <c r="H780">
        <f>'[1]Processed Data'!H1527</f>
        <v>61.3</v>
      </c>
      <c r="I780">
        <f>'[1]Processed Data'!I1527</f>
        <v>29</v>
      </c>
      <c r="J780">
        <f>'[1]Processed Data'!J1527</f>
        <v>12</v>
      </c>
      <c r="K780">
        <f>'[1]Processed Data'!K1527</f>
        <v>26</v>
      </c>
      <c r="L780">
        <f>'[1]Processed Data'!L1527</f>
        <v>37</v>
      </c>
      <c r="M780">
        <f>'[1]Processed Data'!M1527</f>
        <v>84</v>
      </c>
      <c r="N780">
        <f>'[1]Processed Data'!N1527</f>
        <v>2</v>
      </c>
      <c r="O780">
        <f>'[1]Processed Data'!O1527</f>
        <v>3</v>
      </c>
      <c r="P780">
        <f>'[1]Processed Data'!P1527</f>
        <v>273.39999999999998</v>
      </c>
      <c r="Q780">
        <f>'[1]Processed Data'!Q1527</f>
        <v>16</v>
      </c>
    </row>
    <row r="781" spans="2:17" hidden="1">
      <c r="B781">
        <f>'[1]Processed Data'!B1528</f>
        <v>2011</v>
      </c>
      <c r="C781">
        <f>'[1]Processed Data'!C1528</f>
        <v>7</v>
      </c>
      <c r="D781" t="str">
        <f>'[1]Processed Data'!D1528</f>
        <v>Ryan Fitzpatrick</v>
      </c>
      <c r="E781">
        <v>2021</v>
      </c>
      <c r="F781">
        <f>'[1]Processed Data'!F1528</f>
        <v>353</v>
      </c>
      <c r="G781">
        <f>'[1]Processed Data'!G1528</f>
        <v>569</v>
      </c>
      <c r="H781">
        <f>'[1]Processed Data'!H1528</f>
        <v>62</v>
      </c>
      <c r="I781">
        <f>'[1]Processed Data'!I1528</f>
        <v>24</v>
      </c>
      <c r="J781">
        <f>'[1]Processed Data'!J1528</f>
        <v>23</v>
      </c>
      <c r="K781">
        <f>'[1]Processed Data'!K1528</f>
        <v>22</v>
      </c>
      <c r="L781">
        <f>'[1]Processed Data'!L1528</f>
        <v>56</v>
      </c>
      <c r="M781">
        <f>'[1]Processed Data'!M1528</f>
        <v>215</v>
      </c>
      <c r="N781">
        <f>'[1]Processed Data'!N1528</f>
        <v>0</v>
      </c>
      <c r="O781">
        <f>'[1]Processed Data'!O1528</f>
        <v>2</v>
      </c>
      <c r="P781">
        <f>'[1]Processed Data'!P1528</f>
        <v>220.8</v>
      </c>
      <c r="Q781">
        <f>'[1]Processed Data'!Q1528</f>
        <v>16</v>
      </c>
    </row>
    <row r="782" spans="2:17" hidden="1">
      <c r="B782">
        <f>'[1]Processed Data'!B1529</f>
        <v>2011</v>
      </c>
      <c r="C782">
        <f>'[1]Processed Data'!C1529</f>
        <v>8</v>
      </c>
      <c r="D782" t="str">
        <f>'[1]Processed Data'!D1529</f>
        <v>Ben Roethlisberger</v>
      </c>
      <c r="E782">
        <v>2021</v>
      </c>
      <c r="F782">
        <f>'[1]Processed Data'!F1529</f>
        <v>324</v>
      </c>
      <c r="G782">
        <f>'[1]Processed Data'!G1529</f>
        <v>513</v>
      </c>
      <c r="H782">
        <f>'[1]Processed Data'!H1529</f>
        <v>63.2</v>
      </c>
      <c r="I782">
        <f>'[1]Processed Data'!I1529</f>
        <v>21</v>
      </c>
      <c r="J782">
        <f>'[1]Processed Data'!J1529</f>
        <v>14</v>
      </c>
      <c r="K782">
        <f>'[1]Processed Data'!K1529</f>
        <v>40</v>
      </c>
      <c r="L782">
        <f>'[1]Processed Data'!L1529</f>
        <v>31</v>
      </c>
      <c r="M782">
        <f>'[1]Processed Data'!M1529</f>
        <v>70</v>
      </c>
      <c r="N782">
        <f>'[1]Processed Data'!N1529</f>
        <v>0</v>
      </c>
      <c r="O782">
        <f>'[1]Processed Data'!O1529</f>
        <v>5</v>
      </c>
      <c r="P782">
        <f>'[1]Processed Data'!P1529</f>
        <v>215.9</v>
      </c>
      <c r="Q782">
        <f>'[1]Processed Data'!Q1529</f>
        <v>15</v>
      </c>
    </row>
    <row r="783" spans="2:17" hidden="1">
      <c r="B783">
        <f>'[1]Processed Data'!B1530</f>
        <v>2011</v>
      </c>
      <c r="C783">
        <f>'[1]Processed Data'!C1530</f>
        <v>9</v>
      </c>
      <c r="D783" t="str">
        <f>'[1]Processed Data'!D1530</f>
        <v>Alex Smith</v>
      </c>
      <c r="E783">
        <v>2021</v>
      </c>
      <c r="F783">
        <f>'[1]Processed Data'!F1530</f>
        <v>273</v>
      </c>
      <c r="G783">
        <f>'[1]Processed Data'!G1530</f>
        <v>445</v>
      </c>
      <c r="H783">
        <f>'[1]Processed Data'!H1530</f>
        <v>61.3</v>
      </c>
      <c r="I783">
        <f>'[1]Processed Data'!I1530</f>
        <v>17</v>
      </c>
      <c r="J783">
        <f>'[1]Processed Data'!J1530</f>
        <v>5</v>
      </c>
      <c r="K783">
        <f>'[1]Processed Data'!K1530</f>
        <v>44</v>
      </c>
      <c r="L783">
        <f>'[1]Processed Data'!L1530</f>
        <v>52</v>
      </c>
      <c r="M783">
        <f>'[1]Processed Data'!M1530</f>
        <v>179</v>
      </c>
      <c r="N783">
        <f>'[1]Processed Data'!N1530</f>
        <v>2</v>
      </c>
      <c r="O783">
        <f>'[1]Processed Data'!O1530</f>
        <v>2</v>
      </c>
      <c r="P783">
        <f>'[1]Processed Data'!P1530</f>
        <v>209.8</v>
      </c>
      <c r="Q783">
        <f>'[1]Processed Data'!Q1530</f>
        <v>16</v>
      </c>
    </row>
    <row r="784" spans="2:17" hidden="1">
      <c r="B784">
        <f>'[1]Processed Data'!B1531</f>
        <v>2011</v>
      </c>
      <c r="C784">
        <f>'[1]Processed Data'!C1531</f>
        <v>10</v>
      </c>
      <c r="D784" t="str">
        <f>'[1]Processed Data'!D1531</f>
        <v>Andy Dalton</v>
      </c>
      <c r="E784">
        <v>2021</v>
      </c>
      <c r="F784">
        <f>'[1]Processed Data'!F1531</f>
        <v>300</v>
      </c>
      <c r="G784">
        <f>'[1]Processed Data'!G1531</f>
        <v>516</v>
      </c>
      <c r="H784">
        <f>'[1]Processed Data'!H1531</f>
        <v>58.1</v>
      </c>
      <c r="I784">
        <f>'[1]Processed Data'!I1531</f>
        <v>20</v>
      </c>
      <c r="J784">
        <f>'[1]Processed Data'!J1531</f>
        <v>13</v>
      </c>
      <c r="K784">
        <f>'[1]Processed Data'!K1531</f>
        <v>24</v>
      </c>
      <c r="L784">
        <f>'[1]Processed Data'!L1531</f>
        <v>37</v>
      </c>
      <c r="M784">
        <f>'[1]Processed Data'!M1531</f>
        <v>152</v>
      </c>
      <c r="N784">
        <f>'[1]Processed Data'!N1531</f>
        <v>1</v>
      </c>
      <c r="O784">
        <f>'[1]Processed Data'!O1531</f>
        <v>2</v>
      </c>
      <c r="P784">
        <f>'[1]Processed Data'!P1531</f>
        <v>207.3</v>
      </c>
      <c r="Q784">
        <f>'[1]Processed Data'!Q1531</f>
        <v>16</v>
      </c>
    </row>
    <row r="785" spans="2:17" hidden="1">
      <c r="B785">
        <f>'[1]Processed Data'!B1532</f>
        <v>2011</v>
      </c>
      <c r="C785">
        <f>'[1]Processed Data'!C1532</f>
        <v>11</v>
      </c>
      <c r="D785" t="str">
        <f>'[1]Processed Data'!D1532</f>
        <v>Joe Flacco</v>
      </c>
      <c r="E785">
        <v>2021</v>
      </c>
      <c r="F785">
        <f>'[1]Processed Data'!F1532</f>
        <v>312</v>
      </c>
      <c r="G785">
        <f>'[1]Processed Data'!G1532</f>
        <v>542</v>
      </c>
      <c r="H785">
        <f>'[1]Processed Data'!H1532</f>
        <v>57.6</v>
      </c>
      <c r="I785">
        <f>'[1]Processed Data'!I1532</f>
        <v>20</v>
      </c>
      <c r="J785">
        <f>'[1]Processed Data'!J1532</f>
        <v>12</v>
      </c>
      <c r="K785">
        <f>'[1]Processed Data'!K1532</f>
        <v>31</v>
      </c>
      <c r="L785">
        <f>'[1]Processed Data'!L1532</f>
        <v>39</v>
      </c>
      <c r="M785">
        <f>'[1]Processed Data'!M1532</f>
        <v>88</v>
      </c>
      <c r="N785">
        <f>'[1]Processed Data'!N1532</f>
        <v>1</v>
      </c>
      <c r="O785">
        <f>'[1]Processed Data'!O1532</f>
        <v>6</v>
      </c>
      <c r="P785">
        <f>'[1]Processed Data'!P1532</f>
        <v>202.9</v>
      </c>
      <c r="Q785">
        <f>'[1]Processed Data'!Q1532</f>
        <v>16</v>
      </c>
    </row>
    <row r="786" spans="2:17" hidden="1">
      <c r="B786">
        <f>'[1]Processed Data'!B1533</f>
        <v>2011</v>
      </c>
      <c r="C786">
        <f>'[1]Processed Data'!C1533</f>
        <v>12</v>
      </c>
      <c r="D786" t="str">
        <f>'[1]Processed Data'!D1533</f>
        <v>Colt McCoy</v>
      </c>
      <c r="E786">
        <v>2021</v>
      </c>
      <c r="F786">
        <f>'[1]Processed Data'!F1533</f>
        <v>265</v>
      </c>
      <c r="G786">
        <f>'[1]Processed Data'!G1533</f>
        <v>463</v>
      </c>
      <c r="H786">
        <f>'[1]Processed Data'!H1533</f>
        <v>57.2</v>
      </c>
      <c r="I786">
        <f>'[1]Processed Data'!I1533</f>
        <v>14</v>
      </c>
      <c r="J786">
        <f>'[1]Processed Data'!J1533</f>
        <v>11</v>
      </c>
      <c r="K786">
        <f>'[1]Processed Data'!K1533</f>
        <v>32</v>
      </c>
      <c r="L786">
        <f>'[1]Processed Data'!L1533</f>
        <v>61</v>
      </c>
      <c r="M786">
        <f>'[1]Processed Data'!M1533</f>
        <v>212</v>
      </c>
      <c r="N786">
        <f>'[1]Processed Data'!N1533</f>
        <v>0</v>
      </c>
      <c r="O786">
        <f>'[1]Processed Data'!O1533</f>
        <v>2</v>
      </c>
      <c r="P786">
        <f>'[1]Processed Data'!P1533</f>
        <v>160.4</v>
      </c>
      <c r="Q786">
        <f>'[1]Processed Data'!Q1533</f>
        <v>13</v>
      </c>
    </row>
    <row r="787" spans="2:17" hidden="1">
      <c r="B787">
        <f>'[1]Processed Data'!B1534</f>
        <v>2011</v>
      </c>
      <c r="C787">
        <f>'[1]Processed Data'!C1534</f>
        <v>13</v>
      </c>
      <c r="D787" t="str">
        <f>'[1]Processed Data'!D1534</f>
        <v>Matt Schaub</v>
      </c>
      <c r="E787">
        <v>2021</v>
      </c>
      <c r="F787">
        <f>'[1]Processed Data'!F1534</f>
        <v>178</v>
      </c>
      <c r="G787">
        <f>'[1]Processed Data'!G1534</f>
        <v>292</v>
      </c>
      <c r="H787">
        <f>'[1]Processed Data'!H1534</f>
        <v>61</v>
      </c>
      <c r="I787">
        <f>'[1]Processed Data'!I1534</f>
        <v>15</v>
      </c>
      <c r="J787">
        <f>'[1]Processed Data'!J1534</f>
        <v>6</v>
      </c>
      <c r="K787">
        <f>'[1]Processed Data'!K1534</f>
        <v>16</v>
      </c>
      <c r="L787">
        <f>'[1]Processed Data'!L1534</f>
        <v>15</v>
      </c>
      <c r="M787">
        <f>'[1]Processed Data'!M1534</f>
        <v>9</v>
      </c>
      <c r="N787">
        <f>'[1]Processed Data'!N1534</f>
        <v>2</v>
      </c>
      <c r="O787">
        <f>'[1]Processed Data'!O1534</f>
        <v>1</v>
      </c>
      <c r="P787">
        <f>'[1]Processed Data'!P1534</f>
        <v>158</v>
      </c>
      <c r="Q787">
        <f>'[1]Processed Data'!Q1534</f>
        <v>10</v>
      </c>
    </row>
    <row r="788" spans="2:17" hidden="1">
      <c r="B788">
        <f>'[1]Processed Data'!B1535</f>
        <v>2011</v>
      </c>
      <c r="C788">
        <f>'[1]Processed Data'!C1535</f>
        <v>14</v>
      </c>
      <c r="D788" t="str">
        <f>'[1]Processed Data'!D1535</f>
        <v>Matt Moore</v>
      </c>
      <c r="E788">
        <v>2021</v>
      </c>
      <c r="F788">
        <f>'[1]Processed Data'!F1535</f>
        <v>210</v>
      </c>
      <c r="G788">
        <f>'[1]Processed Data'!G1535</f>
        <v>347</v>
      </c>
      <c r="H788">
        <f>'[1]Processed Data'!H1535</f>
        <v>60.5</v>
      </c>
      <c r="I788">
        <f>'[1]Processed Data'!I1535</f>
        <v>16</v>
      </c>
      <c r="J788">
        <f>'[1]Processed Data'!J1535</f>
        <v>9</v>
      </c>
      <c r="K788">
        <f>'[1]Processed Data'!K1535</f>
        <v>36</v>
      </c>
      <c r="L788">
        <f>'[1]Processed Data'!L1535</f>
        <v>32</v>
      </c>
      <c r="M788">
        <f>'[1]Processed Data'!M1535</f>
        <v>65</v>
      </c>
      <c r="N788">
        <f>'[1]Processed Data'!N1535</f>
        <v>2</v>
      </c>
      <c r="O788">
        <f>'[1]Processed Data'!O1535</f>
        <v>6</v>
      </c>
      <c r="P788">
        <f>'[1]Processed Data'!P1535</f>
        <v>152.5</v>
      </c>
      <c r="Q788">
        <f>'[1]Processed Data'!Q1535</f>
        <v>13</v>
      </c>
    </row>
    <row r="789" spans="2:17" hidden="1">
      <c r="B789">
        <f>'[1]Processed Data'!B1536</f>
        <v>2011</v>
      </c>
      <c r="C789">
        <f>'[1]Processed Data'!C1536</f>
        <v>15</v>
      </c>
      <c r="D789" t="str">
        <f>'[1]Processed Data'!D1536</f>
        <v>Blaine Gabbert</v>
      </c>
      <c r="E789">
        <v>2021</v>
      </c>
      <c r="F789">
        <f>'[1]Processed Data'!F1536</f>
        <v>210</v>
      </c>
      <c r="G789">
        <f>'[1]Processed Data'!G1536</f>
        <v>413</v>
      </c>
      <c r="H789">
        <f>'[1]Processed Data'!H1536</f>
        <v>50.8</v>
      </c>
      <c r="I789">
        <f>'[1]Processed Data'!I1536</f>
        <v>12</v>
      </c>
      <c r="J789">
        <f>'[1]Processed Data'!J1536</f>
        <v>11</v>
      </c>
      <c r="K789">
        <f>'[1]Processed Data'!K1536</f>
        <v>40</v>
      </c>
      <c r="L789">
        <f>'[1]Processed Data'!L1536</f>
        <v>48</v>
      </c>
      <c r="M789">
        <f>'[1]Processed Data'!M1536</f>
        <v>98</v>
      </c>
      <c r="N789">
        <f>'[1]Processed Data'!N1536</f>
        <v>0</v>
      </c>
      <c r="O789">
        <f>'[1]Processed Data'!O1536</f>
        <v>5</v>
      </c>
      <c r="P789">
        <f>'[1]Processed Data'!P1536</f>
        <v>114.3</v>
      </c>
      <c r="Q789">
        <f>'[1]Processed Data'!Q1536</f>
        <v>15</v>
      </c>
    </row>
    <row r="790" spans="2:17" hidden="1">
      <c r="B790">
        <f>'[1]Processed Data'!B1537</f>
        <v>2011</v>
      </c>
      <c r="C790">
        <f>'[1]Processed Data'!C1537</f>
        <v>16</v>
      </c>
      <c r="D790" t="str">
        <f>'[1]Processed Data'!D1537</f>
        <v>Chad Henne</v>
      </c>
      <c r="E790">
        <v>2021</v>
      </c>
      <c r="F790">
        <f>'[1]Processed Data'!F1537</f>
        <v>64</v>
      </c>
      <c r="G790">
        <f>'[1]Processed Data'!G1537</f>
        <v>112</v>
      </c>
      <c r="H790">
        <f>'[1]Processed Data'!H1537</f>
        <v>57.1</v>
      </c>
      <c r="I790">
        <f>'[1]Processed Data'!I1537</f>
        <v>4</v>
      </c>
      <c r="J790">
        <f>'[1]Processed Data'!J1537</f>
        <v>4</v>
      </c>
      <c r="K790">
        <f>'[1]Processed Data'!K1537</f>
        <v>11</v>
      </c>
      <c r="L790">
        <f>'[1]Processed Data'!L1537</f>
        <v>15</v>
      </c>
      <c r="M790">
        <f>'[1]Processed Data'!M1537</f>
        <v>112</v>
      </c>
      <c r="N790">
        <f>'[1]Processed Data'!N1537</f>
        <v>1</v>
      </c>
      <c r="O790">
        <f>'[1]Processed Data'!O1537</f>
        <v>0</v>
      </c>
      <c r="P790">
        <f>'[1]Processed Data'!P1537</f>
        <v>59.9</v>
      </c>
      <c r="Q790">
        <f>'[1]Processed Data'!Q1537</f>
        <v>4</v>
      </c>
    </row>
    <row r="791" spans="2:17" hidden="1">
      <c r="B791">
        <f>'[1]Processed Data'!B1538</f>
        <v>2011</v>
      </c>
      <c r="C791">
        <f>'[1]Processed Data'!C1538</f>
        <v>17</v>
      </c>
      <c r="D791" t="str">
        <f>'[1]Processed Data'!D1538</f>
        <v>Joe Webb III</v>
      </c>
      <c r="E791">
        <v>2021</v>
      </c>
      <c r="F791">
        <f>'[1]Processed Data'!F1538</f>
        <v>34</v>
      </c>
      <c r="G791">
        <f>'[1]Processed Data'!G1538</f>
        <v>63</v>
      </c>
      <c r="H791">
        <f>'[1]Processed Data'!H1538</f>
        <v>54</v>
      </c>
      <c r="I791">
        <f>'[1]Processed Data'!I1538</f>
        <v>3</v>
      </c>
      <c r="J791">
        <f>'[1]Processed Data'!J1538</f>
        <v>2</v>
      </c>
      <c r="K791">
        <f>'[1]Processed Data'!K1538</f>
        <v>3</v>
      </c>
      <c r="L791">
        <f>'[1]Processed Data'!L1538</f>
        <v>22</v>
      </c>
      <c r="M791">
        <f>'[1]Processed Data'!M1538</f>
        <v>154</v>
      </c>
      <c r="N791">
        <f>'[1]Processed Data'!N1538</f>
        <v>2</v>
      </c>
      <c r="O791">
        <f>'[1]Processed Data'!O1538</f>
        <v>1</v>
      </c>
      <c r="P791">
        <f>'[1]Processed Data'!P1538</f>
        <v>49.9</v>
      </c>
      <c r="Q791">
        <f>'[1]Processed Data'!Q1538</f>
        <v>11</v>
      </c>
    </row>
    <row r="792" spans="2:17" hidden="1">
      <c r="B792">
        <f>'[1]Processed Data'!B1539</f>
        <v>2011</v>
      </c>
      <c r="C792">
        <f>'[1]Processed Data'!C1539</f>
        <v>18</v>
      </c>
      <c r="D792" t="str">
        <f>'[1]Processed Data'!D1539</f>
        <v>Josh McCown</v>
      </c>
      <c r="E792">
        <v>2021</v>
      </c>
      <c r="F792">
        <f>'[1]Processed Data'!F1539</f>
        <v>35</v>
      </c>
      <c r="G792">
        <f>'[1]Processed Data'!G1539</f>
        <v>55</v>
      </c>
      <c r="H792">
        <f>'[1]Processed Data'!H1539</f>
        <v>63.6</v>
      </c>
      <c r="I792">
        <f>'[1]Processed Data'!I1539</f>
        <v>2</v>
      </c>
      <c r="J792">
        <f>'[1]Processed Data'!J1539</f>
        <v>4</v>
      </c>
      <c r="K792">
        <f>'[1]Processed Data'!K1539</f>
        <v>7</v>
      </c>
      <c r="L792">
        <f>'[1]Processed Data'!L1539</f>
        <v>12</v>
      </c>
      <c r="M792">
        <f>'[1]Processed Data'!M1539</f>
        <v>68</v>
      </c>
      <c r="N792">
        <f>'[1]Processed Data'!N1539</f>
        <v>0</v>
      </c>
      <c r="O792">
        <f>'[1]Processed Data'!O1539</f>
        <v>0</v>
      </c>
      <c r="P792">
        <f>'[1]Processed Data'!P1539</f>
        <v>23.4</v>
      </c>
      <c r="Q792">
        <f>'[1]Processed Data'!Q1539</f>
        <v>3</v>
      </c>
    </row>
    <row r="793" spans="2:17" hidden="1">
      <c r="B793">
        <f>'[1]Processed Data'!B1540</f>
        <v>2011</v>
      </c>
      <c r="C793">
        <f>'[1]Processed Data'!C1540</f>
        <v>19</v>
      </c>
      <c r="D793" t="str">
        <f>'[1]Processed Data'!D1540</f>
        <v>Josh Johnson</v>
      </c>
      <c r="E793">
        <v>2021</v>
      </c>
      <c r="F793">
        <f>'[1]Processed Data'!F1540</f>
        <v>19</v>
      </c>
      <c r="G793">
        <f>'[1]Processed Data'!G1540</f>
        <v>36</v>
      </c>
      <c r="H793">
        <f>'[1]Processed Data'!H1540</f>
        <v>52.8</v>
      </c>
      <c r="I793">
        <f>'[1]Processed Data'!I1540</f>
        <v>1</v>
      </c>
      <c r="J793">
        <f>'[1]Processed Data'!J1540</f>
        <v>2</v>
      </c>
      <c r="K793">
        <f>'[1]Processed Data'!K1540</f>
        <v>3</v>
      </c>
      <c r="L793">
        <f>'[1]Processed Data'!L1540</f>
        <v>11</v>
      </c>
      <c r="M793">
        <f>'[1]Processed Data'!M1540</f>
        <v>67</v>
      </c>
      <c r="N793">
        <f>'[1]Processed Data'!N1540</f>
        <v>0</v>
      </c>
      <c r="O793">
        <f>'[1]Processed Data'!O1540</f>
        <v>1</v>
      </c>
      <c r="P793">
        <f>'[1]Processed Data'!P1540</f>
        <v>14.6</v>
      </c>
      <c r="Q793">
        <f>'[1]Processed Data'!Q1540</f>
        <v>9</v>
      </c>
    </row>
    <row r="794" spans="2:17" hidden="1">
      <c r="B794">
        <f>'[1]Processed Data'!B1541</f>
        <v>2011</v>
      </c>
      <c r="C794">
        <f>'[1]Processed Data'!C1541</f>
        <v>20</v>
      </c>
      <c r="D794" t="str">
        <f>'[1]Processed Data'!D1541</f>
        <v>Luke McCown</v>
      </c>
      <c r="E794">
        <v>2021</v>
      </c>
      <c r="F794">
        <f>'[1]Processed Data'!F1541</f>
        <v>30</v>
      </c>
      <c r="G794">
        <f>'[1]Processed Data'!G1541</f>
        <v>56</v>
      </c>
      <c r="H794">
        <f>'[1]Processed Data'!H1541</f>
        <v>53.6</v>
      </c>
      <c r="I794">
        <f>'[1]Processed Data'!I1541</f>
        <v>0</v>
      </c>
      <c r="J794">
        <f>'[1]Processed Data'!J1541</f>
        <v>4</v>
      </c>
      <c r="K794">
        <f>'[1]Processed Data'!K1541</f>
        <v>4</v>
      </c>
      <c r="L794">
        <f>'[1]Processed Data'!L1541</f>
        <v>7</v>
      </c>
      <c r="M794">
        <f>'[1]Processed Data'!M1541</f>
        <v>23</v>
      </c>
      <c r="N794">
        <f>'[1]Processed Data'!N1541</f>
        <v>0</v>
      </c>
      <c r="O794">
        <f>'[1]Processed Data'!O1541</f>
        <v>1</v>
      </c>
      <c r="P794">
        <f>'[1]Processed Data'!P1541</f>
        <v>4.2</v>
      </c>
      <c r="Q794">
        <f>'[1]Processed Data'!Q1541</f>
        <v>4</v>
      </c>
    </row>
    <row r="795" spans="2:17" hidden="1">
      <c r="B795">
        <f>'[1]Processed Data'!B1542</f>
        <v>2011</v>
      </c>
      <c r="C795">
        <f>'[1]Processed Data'!C1542</f>
        <v>21</v>
      </c>
      <c r="D795" t="str">
        <f>'[1]Processed Data'!D1542</f>
        <v>Chase Daniel</v>
      </c>
      <c r="E795">
        <v>2021</v>
      </c>
      <c r="F795">
        <f>'[1]Processed Data'!F1542</f>
        <v>4</v>
      </c>
      <c r="G795">
        <f>'[1]Processed Data'!G1542</f>
        <v>5</v>
      </c>
      <c r="H795">
        <f>'[1]Processed Data'!H1542</f>
        <v>80</v>
      </c>
      <c r="I795">
        <f>'[1]Processed Data'!I1542</f>
        <v>0</v>
      </c>
      <c r="J795">
        <f>'[1]Processed Data'!J1542</f>
        <v>0</v>
      </c>
      <c r="K795">
        <f>'[1]Processed Data'!K1542</f>
        <v>0</v>
      </c>
      <c r="L795">
        <f>'[1]Processed Data'!L1542</f>
        <v>3</v>
      </c>
      <c r="M795">
        <f>'[1]Processed Data'!M1542</f>
        <v>-3</v>
      </c>
      <c r="N795">
        <f>'[1]Processed Data'!N1542</f>
        <v>0</v>
      </c>
      <c r="O795">
        <f>'[1]Processed Data'!O1542</f>
        <v>0</v>
      </c>
      <c r="P795">
        <f>'[1]Processed Data'!P1542</f>
        <v>0.9</v>
      </c>
      <c r="Q795">
        <f>'[1]Processed Data'!Q1542</f>
        <v>16</v>
      </c>
    </row>
    <row r="796" spans="2:17" hidden="1">
      <c r="B796">
        <f>'[1]Processed Data'!B1543</f>
        <v>2011</v>
      </c>
      <c r="C796">
        <f>'[1]Processed Data'!C1543</f>
        <v>22</v>
      </c>
      <c r="D796" t="str">
        <f>'[1]Processed Data'!D1543</f>
        <v>Tyrod Taylor</v>
      </c>
      <c r="E796">
        <v>2021</v>
      </c>
      <c r="F796">
        <f>'[1]Processed Data'!F1543</f>
        <v>1</v>
      </c>
      <c r="G796">
        <f>'[1]Processed Data'!G1543</f>
        <v>1</v>
      </c>
      <c r="H796">
        <f>'[1]Processed Data'!H1543</f>
        <v>100</v>
      </c>
      <c r="I796">
        <f>'[1]Processed Data'!I1543</f>
        <v>0</v>
      </c>
      <c r="J796">
        <f>'[1]Processed Data'!J1543</f>
        <v>0</v>
      </c>
      <c r="K796">
        <f>'[1]Processed Data'!K1543</f>
        <v>2</v>
      </c>
      <c r="L796">
        <f>'[1]Processed Data'!L1543</f>
        <v>1</v>
      </c>
      <c r="M796">
        <f>'[1]Processed Data'!M1543</f>
        <v>2</v>
      </c>
      <c r="N796">
        <f>'[1]Processed Data'!N1543</f>
        <v>0</v>
      </c>
      <c r="O796">
        <f>'[1]Processed Data'!O1543</f>
        <v>0</v>
      </c>
      <c r="P796">
        <f>'[1]Processed Data'!P1543</f>
        <v>0.9</v>
      </c>
      <c r="Q796">
        <f>'[1]Processed Data'!Q1543</f>
        <v>3</v>
      </c>
    </row>
    <row r="797" spans="2:17" hidden="1">
      <c r="B797">
        <f>'[1]Processed Data'!B1544</f>
        <v>2011</v>
      </c>
      <c r="C797">
        <f>'[1]Processed Data'!C1544</f>
        <v>23</v>
      </c>
      <c r="D797" t="str">
        <f>'[1]Processed Data'!D1544</f>
        <v>Brian Hoyer</v>
      </c>
      <c r="E797">
        <v>2021</v>
      </c>
      <c r="F797">
        <f>'[1]Processed Data'!F1544</f>
        <v>1</v>
      </c>
      <c r="G797">
        <f>'[1]Processed Data'!G1544</f>
        <v>1</v>
      </c>
      <c r="H797">
        <f>'[1]Processed Data'!H1544</f>
        <v>100</v>
      </c>
      <c r="I797">
        <f>'[1]Processed Data'!I1544</f>
        <v>0</v>
      </c>
      <c r="J797">
        <f>'[1]Processed Data'!J1544</f>
        <v>0</v>
      </c>
      <c r="K797">
        <f>'[1]Processed Data'!K1544</f>
        <v>0</v>
      </c>
      <c r="L797">
        <f>'[1]Processed Data'!L1544</f>
        <v>4</v>
      </c>
      <c r="M797">
        <f>'[1]Processed Data'!M1544</f>
        <v>-3</v>
      </c>
      <c r="N797">
        <f>'[1]Processed Data'!N1544</f>
        <v>0</v>
      </c>
      <c r="O797">
        <f>'[1]Processed Data'!O1544</f>
        <v>0</v>
      </c>
      <c r="P797">
        <f>'[1]Processed Data'!P1544</f>
        <v>0.6</v>
      </c>
      <c r="Q797">
        <f>'[1]Processed Data'!Q1544</f>
        <v>3</v>
      </c>
    </row>
    <row r="798" spans="2:17" hidden="1">
      <c r="B798">
        <f>'[1]Processed Data'!B1597</f>
        <v>2011</v>
      </c>
      <c r="C798">
        <f>'[1]Processed Data'!C1597</f>
        <v>76</v>
      </c>
      <c r="D798" t="str">
        <f>'[1]Processed Data'!D1597</f>
        <v>Jake Locker</v>
      </c>
      <c r="E798">
        <v>2021</v>
      </c>
      <c r="F798">
        <f>'[1]Processed Data'!F1597</f>
        <v>34</v>
      </c>
      <c r="G798">
        <f>'[1]Processed Data'!G1597</f>
        <v>66</v>
      </c>
      <c r="H798">
        <f>'[1]Processed Data'!H1597</f>
        <v>51.5</v>
      </c>
      <c r="I798">
        <f>'[1]Processed Data'!I1597</f>
        <v>4</v>
      </c>
      <c r="J798">
        <f>'[1]Processed Data'!J1597</f>
        <v>0</v>
      </c>
      <c r="K798">
        <f>'[1]Processed Data'!K1597</f>
        <v>5</v>
      </c>
      <c r="L798">
        <f>'[1]Processed Data'!L1597</f>
        <v>8</v>
      </c>
      <c r="M798">
        <f>'[1]Processed Data'!M1597</f>
        <v>56</v>
      </c>
      <c r="N798">
        <f>'[1]Processed Data'!N1597</f>
        <v>1</v>
      </c>
      <c r="O798">
        <f>'[1]Processed Data'!O1597</f>
        <v>0</v>
      </c>
      <c r="P798">
        <f>'[1]Processed Data'!P1597</f>
        <v>0</v>
      </c>
      <c r="Q798">
        <f>'[1]Processed Data'!Q1597</f>
        <v>5</v>
      </c>
    </row>
    <row r="799" spans="2:17" hidden="1">
      <c r="B799">
        <f>'[1]Processed Data'!B1598</f>
        <v>2011</v>
      </c>
      <c r="C799">
        <f>'[1]Processed Data'!C1598</f>
        <v>77</v>
      </c>
      <c r="D799" t="str">
        <f>'[1]Processed Data'!D1598</f>
        <v>Christian Ponder</v>
      </c>
      <c r="E799">
        <v>2021</v>
      </c>
      <c r="F799">
        <f>'[1]Processed Data'!F1598</f>
        <v>158</v>
      </c>
      <c r="G799">
        <f>'[1]Processed Data'!G1598</f>
        <v>291</v>
      </c>
      <c r="H799">
        <f>'[1]Processed Data'!H1598</f>
        <v>54.3</v>
      </c>
      <c r="I799">
        <f>'[1]Processed Data'!I1598</f>
        <v>13</v>
      </c>
      <c r="J799">
        <f>'[1]Processed Data'!J1598</f>
        <v>13</v>
      </c>
      <c r="K799">
        <f>'[1]Processed Data'!K1598</f>
        <v>30</v>
      </c>
      <c r="L799">
        <f>'[1]Processed Data'!L1598</f>
        <v>28</v>
      </c>
      <c r="M799">
        <f>'[1]Processed Data'!M1598</f>
        <v>219</v>
      </c>
      <c r="N799">
        <f>'[1]Processed Data'!N1598</f>
        <v>0</v>
      </c>
      <c r="O799">
        <f>'[1]Processed Data'!O1598</f>
        <v>2</v>
      </c>
      <c r="P799">
        <f>'[1]Processed Data'!P1598</f>
        <v>0</v>
      </c>
      <c r="Q799">
        <f>'[1]Processed Data'!Q1598</f>
        <v>11</v>
      </c>
    </row>
    <row r="800" spans="2:17" hidden="1">
      <c r="B800">
        <f>'[1]Processed Data'!B1599</f>
        <v>2011</v>
      </c>
      <c r="C800">
        <f>'[1]Processed Data'!C1599</f>
        <v>78</v>
      </c>
      <c r="D800" t="str">
        <f>'[1]Processed Data'!D1599</f>
        <v>Colin Kaepernick</v>
      </c>
      <c r="E800">
        <v>2021</v>
      </c>
      <c r="F800">
        <f>'[1]Processed Data'!F1599</f>
        <v>3</v>
      </c>
      <c r="G800">
        <f>'[1]Processed Data'!G1599</f>
        <v>5</v>
      </c>
      <c r="H800">
        <f>'[1]Processed Data'!H1599</f>
        <v>60</v>
      </c>
      <c r="I800">
        <f>'[1]Processed Data'!I1599</f>
        <v>0</v>
      </c>
      <c r="J800">
        <f>'[1]Processed Data'!J1599</f>
        <v>0</v>
      </c>
      <c r="K800">
        <f>'[1]Processed Data'!K1599</f>
        <v>0</v>
      </c>
      <c r="L800">
        <f>'[1]Processed Data'!L1599</f>
        <v>2</v>
      </c>
      <c r="M800">
        <f>'[1]Processed Data'!M1599</f>
        <v>-2</v>
      </c>
      <c r="N800">
        <f>'[1]Processed Data'!N1599</f>
        <v>0</v>
      </c>
      <c r="O800">
        <f>'[1]Processed Data'!O1599</f>
        <v>0</v>
      </c>
      <c r="P800">
        <f>'[1]Processed Data'!P1599</f>
        <v>0</v>
      </c>
      <c r="Q800">
        <f>'[1]Processed Data'!Q1599</f>
        <v>3</v>
      </c>
    </row>
    <row r="801" spans="2:17" hidden="1">
      <c r="B801">
        <f>'[1]Processed Data'!B1600</f>
        <v>2011</v>
      </c>
      <c r="C801">
        <f>'[1]Processed Data'!C1600</f>
        <v>79</v>
      </c>
      <c r="D801" t="str">
        <f>'[1]Processed Data'!D1600</f>
        <v>T.J. Yates</v>
      </c>
      <c r="E801">
        <v>2021</v>
      </c>
      <c r="F801">
        <f>'[1]Processed Data'!F1600</f>
        <v>82</v>
      </c>
      <c r="G801">
        <f>'[1]Processed Data'!G1600</f>
        <v>134</v>
      </c>
      <c r="H801">
        <f>'[1]Processed Data'!H1600</f>
        <v>61.2</v>
      </c>
      <c r="I801">
        <f>'[1]Processed Data'!I1600</f>
        <v>3</v>
      </c>
      <c r="J801">
        <f>'[1]Processed Data'!J1600</f>
        <v>3</v>
      </c>
      <c r="K801">
        <f>'[1]Processed Data'!K1600</f>
        <v>15</v>
      </c>
      <c r="L801">
        <f>'[1]Processed Data'!L1600</f>
        <v>14</v>
      </c>
      <c r="M801">
        <f>'[1]Processed Data'!M1600</f>
        <v>57</v>
      </c>
      <c r="N801">
        <f>'[1]Processed Data'!N1600</f>
        <v>0</v>
      </c>
      <c r="O801">
        <f>'[1]Processed Data'!O1600</f>
        <v>3</v>
      </c>
      <c r="P801">
        <f>'[1]Processed Data'!P1600</f>
        <v>0</v>
      </c>
      <c r="Q801">
        <f>'[1]Processed Data'!Q1600</f>
        <v>6</v>
      </c>
    </row>
    <row r="802" spans="2:17" hidden="1">
      <c r="B802">
        <f>'[1]Processed Data'!B1605</f>
        <v>2011</v>
      </c>
      <c r="C802">
        <f>'[1]Processed Data'!C1605</f>
        <v>84</v>
      </c>
      <c r="D802" t="str">
        <f>'[1]Processed Data'!D1605</f>
        <v>Stephen McGee</v>
      </c>
      <c r="E802">
        <v>2021</v>
      </c>
      <c r="F802">
        <f>'[1]Processed Data'!F1605</f>
        <v>24</v>
      </c>
      <c r="G802">
        <f>'[1]Processed Data'!G1605</f>
        <v>38</v>
      </c>
      <c r="H802">
        <f>'[1]Processed Data'!H1605</f>
        <v>63.2</v>
      </c>
      <c r="I802">
        <f>'[1]Processed Data'!I1605</f>
        <v>1</v>
      </c>
      <c r="J802">
        <f>'[1]Processed Data'!J1605</f>
        <v>0</v>
      </c>
      <c r="K802">
        <f>'[1]Processed Data'!K1605</f>
        <v>3</v>
      </c>
      <c r="L802">
        <f>'[1]Processed Data'!L1605</f>
        <v>4</v>
      </c>
      <c r="M802">
        <f>'[1]Processed Data'!M1605</f>
        <v>28</v>
      </c>
      <c r="N802">
        <f>'[1]Processed Data'!N1605</f>
        <v>0</v>
      </c>
      <c r="O802">
        <f>'[1]Processed Data'!O1605</f>
        <v>0</v>
      </c>
      <c r="P802">
        <f>'[1]Processed Data'!P1605</f>
        <v>0</v>
      </c>
      <c r="Q802">
        <f>'[1]Processed Data'!Q1605</f>
        <v>1</v>
      </c>
    </row>
    <row r="803" spans="2:17" hidden="1">
      <c r="B803">
        <f>'[1]Processed Data'!B1607</f>
        <v>2011</v>
      </c>
      <c r="C803">
        <f>'[1]Processed Data'!C1607</f>
        <v>86</v>
      </c>
      <c r="D803" t="str">
        <f>'[1]Processed Data'!D1607</f>
        <v>Mike Kafka</v>
      </c>
      <c r="E803">
        <v>2021</v>
      </c>
      <c r="F803">
        <f>'[1]Processed Data'!F1607</f>
        <v>11</v>
      </c>
      <c r="G803">
        <f>'[1]Processed Data'!G1607</f>
        <v>16</v>
      </c>
      <c r="H803">
        <f>'[1]Processed Data'!H1607</f>
        <v>68.8</v>
      </c>
      <c r="I803">
        <f>'[1]Processed Data'!I1607</f>
        <v>0</v>
      </c>
      <c r="J803">
        <f>'[1]Processed Data'!J1607</f>
        <v>2</v>
      </c>
      <c r="K803">
        <f>'[1]Processed Data'!K1607</f>
        <v>1</v>
      </c>
      <c r="L803">
        <f>'[1]Processed Data'!L1607</f>
        <v>3</v>
      </c>
      <c r="M803">
        <f>'[1]Processed Data'!M1607</f>
        <v>0</v>
      </c>
      <c r="N803">
        <f>'[1]Processed Data'!N1607</f>
        <v>0</v>
      </c>
      <c r="O803">
        <f>'[1]Processed Data'!O1607</f>
        <v>0</v>
      </c>
      <c r="P803">
        <f>'[1]Processed Data'!P1607</f>
        <v>0</v>
      </c>
      <c r="Q803">
        <f>'[1]Processed Data'!Q1607</f>
        <v>4</v>
      </c>
    </row>
    <row r="804" spans="2:17" hidden="1">
      <c r="B804">
        <f>'[1]Processed Data'!B1608</f>
        <v>2011</v>
      </c>
      <c r="C804">
        <f>'[1]Processed Data'!C1608</f>
        <v>87</v>
      </c>
      <c r="D804" t="str">
        <f>'[1]Processed Data'!D1608</f>
        <v>Levi Brown</v>
      </c>
      <c r="E804">
        <v>2021</v>
      </c>
      <c r="F804">
        <f>'[1]Processed Data'!F1608</f>
        <v>0</v>
      </c>
      <c r="G804">
        <f>'[1]Processed Data'!G1608</f>
        <v>0</v>
      </c>
      <c r="H804">
        <f>'[1]Processed Data'!H1608</f>
        <v>0</v>
      </c>
      <c r="I804">
        <f>'[1]Processed Data'!I1608</f>
        <v>0</v>
      </c>
      <c r="J804">
        <f>'[1]Processed Data'!J1608</f>
        <v>0</v>
      </c>
      <c r="K804">
        <f>'[1]Processed Data'!K1608</f>
        <v>0</v>
      </c>
      <c r="L804">
        <f>'[1]Processed Data'!L1608</f>
        <v>0</v>
      </c>
      <c r="M804">
        <f>'[1]Processed Data'!M1608</f>
        <v>0</v>
      </c>
      <c r="N804">
        <f>'[1]Processed Data'!N1608</f>
        <v>0</v>
      </c>
      <c r="O804">
        <f>'[1]Processed Data'!O1608</f>
        <v>0</v>
      </c>
      <c r="P804">
        <f>'[1]Processed Data'!P1608</f>
        <v>0</v>
      </c>
      <c r="Q804">
        <f>'[1]Processed Data'!Q1608</f>
        <v>16</v>
      </c>
    </row>
    <row r="805" spans="2:17" hidden="1">
      <c r="B805">
        <f>'[1]Processed Data'!B1614</f>
        <v>2011</v>
      </c>
      <c r="C805">
        <f>'[1]Processed Data'!C1614</f>
        <v>93</v>
      </c>
      <c r="D805" t="str">
        <f>'[1]Processed Data'!D1614</f>
        <v>Eli Manning</v>
      </c>
      <c r="E805">
        <v>2021</v>
      </c>
      <c r="F805">
        <f>'[1]Processed Data'!F1614</f>
        <v>359</v>
      </c>
      <c r="G805">
        <f>'[1]Processed Data'!G1614</f>
        <v>589</v>
      </c>
      <c r="H805">
        <f>'[1]Processed Data'!H1614</f>
        <v>61</v>
      </c>
      <c r="I805">
        <f>'[1]Processed Data'!I1614</f>
        <v>29</v>
      </c>
      <c r="J805">
        <f>'[1]Processed Data'!J1614</f>
        <v>16</v>
      </c>
      <c r="K805">
        <f>'[1]Processed Data'!K1614</f>
        <v>28</v>
      </c>
      <c r="L805">
        <f>'[1]Processed Data'!L1614</f>
        <v>35</v>
      </c>
      <c r="M805">
        <f>'[1]Processed Data'!M1614</f>
        <v>15</v>
      </c>
      <c r="N805">
        <f>'[1]Processed Data'!N1614</f>
        <v>1</v>
      </c>
      <c r="O805">
        <f>'[1]Processed Data'!O1614</f>
        <v>4</v>
      </c>
      <c r="P805">
        <f>'[1]Processed Data'!P1614</f>
        <v>0</v>
      </c>
      <c r="Q805">
        <f>'[1]Processed Data'!Q1614</f>
        <v>16</v>
      </c>
    </row>
    <row r="806" spans="2:17" hidden="1">
      <c r="B806">
        <f>'[1]Processed Data'!B1615</f>
        <v>2011</v>
      </c>
      <c r="C806">
        <f>'[1]Processed Data'!C1615</f>
        <v>94</v>
      </c>
      <c r="D806" t="str">
        <f>'[1]Processed Data'!D1615</f>
        <v>Derek Anderson</v>
      </c>
      <c r="E806">
        <v>2021</v>
      </c>
      <c r="F806">
        <f>'[1]Processed Data'!F1615</f>
        <v>0</v>
      </c>
      <c r="G806">
        <f>'[1]Processed Data'!G1615</f>
        <v>0</v>
      </c>
      <c r="H806">
        <f>'[1]Processed Data'!H1615</f>
        <v>0</v>
      </c>
      <c r="I806">
        <f>'[1]Processed Data'!I1615</f>
        <v>0</v>
      </c>
      <c r="J806">
        <f>'[1]Processed Data'!J1615</f>
        <v>0</v>
      </c>
      <c r="K806">
        <f>'[1]Processed Data'!K1615</f>
        <v>0</v>
      </c>
      <c r="L806">
        <f>'[1]Processed Data'!L1615</f>
        <v>2</v>
      </c>
      <c r="M806">
        <f>'[1]Processed Data'!M1615</f>
        <v>-2</v>
      </c>
      <c r="N806">
        <f>'[1]Processed Data'!N1615</f>
        <v>0</v>
      </c>
      <c r="O806">
        <f>'[1]Processed Data'!O1615</f>
        <v>0</v>
      </c>
      <c r="P806">
        <f>'[1]Processed Data'!P1615</f>
        <v>0</v>
      </c>
      <c r="Q806">
        <f>'[1]Processed Data'!Q1615</f>
        <v>2</v>
      </c>
    </row>
    <row r="807" spans="2:17" hidden="1">
      <c r="B807">
        <f>'[1]Processed Data'!B1616</f>
        <v>2011</v>
      </c>
      <c r="C807">
        <f>'[1]Processed Data'!C1616</f>
        <v>95</v>
      </c>
      <c r="D807" t="str">
        <f>'[1]Processed Data'!D1616</f>
        <v>Curtis Painter</v>
      </c>
      <c r="E807">
        <v>2021</v>
      </c>
      <c r="F807">
        <f>'[1]Processed Data'!F1616</f>
        <v>132</v>
      </c>
      <c r="G807">
        <f>'[1]Processed Data'!G1616</f>
        <v>243</v>
      </c>
      <c r="H807">
        <f>'[1]Processed Data'!H1616</f>
        <v>54.3</v>
      </c>
      <c r="I807">
        <f>'[1]Processed Data'!I1616</f>
        <v>6</v>
      </c>
      <c r="J807">
        <f>'[1]Processed Data'!J1616</f>
        <v>9</v>
      </c>
      <c r="K807">
        <f>'[1]Processed Data'!K1616</f>
        <v>16</v>
      </c>
      <c r="L807">
        <f>'[1]Processed Data'!L1616</f>
        <v>17</v>
      </c>
      <c r="M807">
        <f>'[1]Processed Data'!M1616</f>
        <v>107</v>
      </c>
      <c r="N807">
        <f>'[1]Processed Data'!N1616</f>
        <v>0</v>
      </c>
      <c r="O807">
        <f>'[1]Processed Data'!O1616</f>
        <v>3</v>
      </c>
      <c r="P807">
        <f>'[1]Processed Data'!P1616</f>
        <v>0</v>
      </c>
      <c r="Q807">
        <f>'[1]Processed Data'!Q1616</f>
        <v>9</v>
      </c>
    </row>
    <row r="808" spans="2:17" hidden="1">
      <c r="B808">
        <f>'[1]Processed Data'!B1617</f>
        <v>2011</v>
      </c>
      <c r="C808">
        <f>'[1]Processed Data'!C1617</f>
        <v>96</v>
      </c>
      <c r="D808" t="str">
        <f>'[1]Processed Data'!D1617</f>
        <v>Jason Campbell</v>
      </c>
      <c r="E808">
        <v>2021</v>
      </c>
      <c r="F808">
        <f>'[1]Processed Data'!F1617</f>
        <v>100</v>
      </c>
      <c r="G808">
        <f>'[1]Processed Data'!G1617</f>
        <v>165</v>
      </c>
      <c r="H808">
        <f>'[1]Processed Data'!H1617</f>
        <v>60.6</v>
      </c>
      <c r="I808">
        <f>'[1]Processed Data'!I1617</f>
        <v>6</v>
      </c>
      <c r="J808">
        <f>'[1]Processed Data'!J1617</f>
        <v>4</v>
      </c>
      <c r="K808">
        <f>'[1]Processed Data'!K1617</f>
        <v>5</v>
      </c>
      <c r="L808">
        <f>'[1]Processed Data'!L1617</f>
        <v>18</v>
      </c>
      <c r="M808">
        <f>'[1]Processed Data'!M1617</f>
        <v>60</v>
      </c>
      <c r="N808">
        <f>'[1]Processed Data'!N1617</f>
        <v>2</v>
      </c>
      <c r="O808">
        <f>'[1]Processed Data'!O1617</f>
        <v>1</v>
      </c>
      <c r="P808">
        <f>'[1]Processed Data'!P1617</f>
        <v>0</v>
      </c>
      <c r="Q808">
        <f>'[1]Processed Data'!Q1617</f>
        <v>6</v>
      </c>
    </row>
    <row r="809" spans="2:17" hidden="1">
      <c r="B809">
        <f>'[1]Processed Data'!B1618</f>
        <v>2011</v>
      </c>
      <c r="C809">
        <f>'[1]Processed Data'!C1618</f>
        <v>97</v>
      </c>
      <c r="D809" t="str">
        <f>'[1]Processed Data'!D1618</f>
        <v>Jay Cutler</v>
      </c>
      <c r="E809">
        <v>2021</v>
      </c>
      <c r="F809">
        <f>'[1]Processed Data'!F1618</f>
        <v>182</v>
      </c>
      <c r="G809">
        <f>'[1]Processed Data'!G1618</f>
        <v>314</v>
      </c>
      <c r="H809">
        <f>'[1]Processed Data'!H1618</f>
        <v>58</v>
      </c>
      <c r="I809">
        <f>'[1]Processed Data'!I1618</f>
        <v>13</v>
      </c>
      <c r="J809">
        <f>'[1]Processed Data'!J1618</f>
        <v>7</v>
      </c>
      <c r="K809">
        <f>'[1]Processed Data'!K1618</f>
        <v>23</v>
      </c>
      <c r="L809">
        <f>'[1]Processed Data'!L1618</f>
        <v>18</v>
      </c>
      <c r="M809">
        <f>'[1]Processed Data'!M1618</f>
        <v>55</v>
      </c>
      <c r="N809">
        <f>'[1]Processed Data'!N1618</f>
        <v>1</v>
      </c>
      <c r="O809">
        <f>'[1]Processed Data'!O1618</f>
        <v>3</v>
      </c>
      <c r="P809">
        <f>'[1]Processed Data'!P1618</f>
        <v>0</v>
      </c>
      <c r="Q809">
        <f>'[1]Processed Data'!Q1618</f>
        <v>10</v>
      </c>
    </row>
    <row r="810" spans="2:17" hidden="1">
      <c r="B810">
        <f>'[1]Processed Data'!B1619</f>
        <v>2011</v>
      </c>
      <c r="C810">
        <f>'[1]Processed Data'!C1619</f>
        <v>98</v>
      </c>
      <c r="D810" t="str">
        <f>'[1]Processed Data'!D1619</f>
        <v>Josh Freeman</v>
      </c>
      <c r="E810">
        <v>2021</v>
      </c>
      <c r="F810">
        <f>'[1]Processed Data'!F1619</f>
        <v>346</v>
      </c>
      <c r="G810">
        <f>'[1]Processed Data'!G1619</f>
        <v>551</v>
      </c>
      <c r="H810">
        <f>'[1]Processed Data'!H1619</f>
        <v>62.8</v>
      </c>
      <c r="I810">
        <f>'[1]Processed Data'!I1619</f>
        <v>16</v>
      </c>
      <c r="J810">
        <f>'[1]Processed Data'!J1619</f>
        <v>22</v>
      </c>
      <c r="K810">
        <f>'[1]Processed Data'!K1619</f>
        <v>29</v>
      </c>
      <c r="L810">
        <f>'[1]Processed Data'!L1619</f>
        <v>55</v>
      </c>
      <c r="M810">
        <f>'[1]Processed Data'!M1619</f>
        <v>238</v>
      </c>
      <c r="N810">
        <f>'[1]Processed Data'!N1619</f>
        <v>4</v>
      </c>
      <c r="O810">
        <f>'[1]Processed Data'!O1619</f>
        <v>5</v>
      </c>
      <c r="P810">
        <f>'[1]Processed Data'!P1619</f>
        <v>0</v>
      </c>
      <c r="Q810">
        <f>'[1]Processed Data'!Q1619</f>
        <v>15</v>
      </c>
    </row>
    <row r="811" spans="2:17" hidden="1">
      <c r="B811">
        <f>'[1]Processed Data'!B1620</f>
        <v>2011</v>
      </c>
      <c r="C811">
        <f>'[1]Processed Data'!C1620</f>
        <v>99</v>
      </c>
      <c r="D811" t="str">
        <f>'[1]Processed Data'!D1620</f>
        <v>Kellen Clemens</v>
      </c>
      <c r="E811">
        <v>2021</v>
      </c>
      <c r="F811">
        <f>'[1]Processed Data'!F1620</f>
        <v>48</v>
      </c>
      <c r="G811">
        <f>'[1]Processed Data'!G1620</f>
        <v>91</v>
      </c>
      <c r="H811">
        <f>'[1]Processed Data'!H1620</f>
        <v>52.7</v>
      </c>
      <c r="I811">
        <f>'[1]Processed Data'!I1620</f>
        <v>2</v>
      </c>
      <c r="J811">
        <f>'[1]Processed Data'!J1620</f>
        <v>1</v>
      </c>
      <c r="K811">
        <f>'[1]Processed Data'!K1620</f>
        <v>9</v>
      </c>
      <c r="L811">
        <f>'[1]Processed Data'!L1620</f>
        <v>6</v>
      </c>
      <c r="M811">
        <f>'[1]Processed Data'!M1620</f>
        <v>37</v>
      </c>
      <c r="N811">
        <f>'[1]Processed Data'!N1620</f>
        <v>1</v>
      </c>
      <c r="O811">
        <f>'[1]Processed Data'!O1620</f>
        <v>0</v>
      </c>
      <c r="P811">
        <f>'[1]Processed Data'!P1620</f>
        <v>0</v>
      </c>
      <c r="Q811">
        <f>'[1]Processed Data'!Q1620</f>
        <v>3</v>
      </c>
    </row>
    <row r="812" spans="2:17" hidden="1">
      <c r="B812">
        <f>'[1]Processed Data'!B1623</f>
        <v>2011</v>
      </c>
      <c r="C812">
        <f>'[1]Processed Data'!C1623</f>
        <v>102</v>
      </c>
      <c r="D812" t="str">
        <f>'[1]Processed Data'!D1623</f>
        <v>Bruce Gradkowski</v>
      </c>
      <c r="E812">
        <v>2021</v>
      </c>
      <c r="F812">
        <f>'[1]Processed Data'!F1623</f>
        <v>8</v>
      </c>
      <c r="G812">
        <f>'[1]Processed Data'!G1623</f>
        <v>18</v>
      </c>
      <c r="H812">
        <f>'[1]Processed Data'!H1623</f>
        <v>44.4</v>
      </c>
      <c r="I812">
        <f>'[1]Processed Data'!I1623</f>
        <v>1</v>
      </c>
      <c r="J812">
        <f>'[1]Processed Data'!J1623</f>
        <v>1</v>
      </c>
      <c r="K812">
        <f>'[1]Processed Data'!K1623</f>
        <v>1</v>
      </c>
      <c r="L812">
        <f>'[1]Processed Data'!L1623</f>
        <v>3</v>
      </c>
      <c r="M812">
        <f>'[1]Processed Data'!M1623</f>
        <v>1</v>
      </c>
      <c r="N812">
        <f>'[1]Processed Data'!N1623</f>
        <v>0</v>
      </c>
      <c r="O812">
        <f>'[1]Processed Data'!O1623</f>
        <v>0</v>
      </c>
      <c r="P812">
        <f>'[1]Processed Data'!P1623</f>
        <v>0</v>
      </c>
      <c r="Q812">
        <f>'[1]Processed Data'!Q1623</f>
        <v>2</v>
      </c>
    </row>
    <row r="813" spans="2:17" hidden="1">
      <c r="B813">
        <f>'[1]Processed Data'!B1624</f>
        <v>2011</v>
      </c>
      <c r="C813">
        <f>'[1]Processed Data'!C1624</f>
        <v>103</v>
      </c>
      <c r="D813" t="str">
        <f>'[1]Processed Data'!D1624</f>
        <v>Caleb Hanie</v>
      </c>
      <c r="E813">
        <v>2021</v>
      </c>
      <c r="F813">
        <f>'[1]Processed Data'!F1624</f>
        <v>51</v>
      </c>
      <c r="G813">
        <f>'[1]Processed Data'!G1624</f>
        <v>102</v>
      </c>
      <c r="H813">
        <f>'[1]Processed Data'!H1624</f>
        <v>50</v>
      </c>
      <c r="I813">
        <f>'[1]Processed Data'!I1624</f>
        <v>3</v>
      </c>
      <c r="J813">
        <f>'[1]Processed Data'!J1624</f>
        <v>9</v>
      </c>
      <c r="K813">
        <f>'[1]Processed Data'!K1624</f>
        <v>19</v>
      </c>
      <c r="L813">
        <f>'[1]Processed Data'!L1624</f>
        <v>13</v>
      </c>
      <c r="M813">
        <f>'[1]Processed Data'!M1624</f>
        <v>98</v>
      </c>
      <c r="N813">
        <f>'[1]Processed Data'!N1624</f>
        <v>0</v>
      </c>
      <c r="O813">
        <f>'[1]Processed Data'!O1624</f>
        <v>0</v>
      </c>
      <c r="P813">
        <f>'[1]Processed Data'!P1624</f>
        <v>0</v>
      </c>
      <c r="Q813">
        <f>'[1]Processed Data'!Q1624</f>
        <v>6</v>
      </c>
    </row>
    <row r="814" spans="2:17" hidden="1">
      <c r="B814">
        <f>'[1]Processed Data'!B1625</f>
        <v>2011</v>
      </c>
      <c r="C814">
        <f>'[1]Processed Data'!C1625</f>
        <v>104</v>
      </c>
      <c r="D814" t="str">
        <f>'[1]Processed Data'!D1625</f>
        <v>Carson Palmer</v>
      </c>
      <c r="E814">
        <v>2021</v>
      </c>
      <c r="F814">
        <f>'[1]Processed Data'!F1625</f>
        <v>199</v>
      </c>
      <c r="G814">
        <f>'[1]Processed Data'!G1625</f>
        <v>328</v>
      </c>
      <c r="H814">
        <f>'[1]Processed Data'!H1625</f>
        <v>60.7</v>
      </c>
      <c r="I814">
        <f>'[1]Processed Data'!I1625</f>
        <v>13</v>
      </c>
      <c r="J814">
        <f>'[1]Processed Data'!J1625</f>
        <v>16</v>
      </c>
      <c r="K814">
        <f>'[1]Processed Data'!K1625</f>
        <v>17</v>
      </c>
      <c r="L814">
        <f>'[1]Processed Data'!L1625</f>
        <v>16</v>
      </c>
      <c r="M814">
        <f>'[1]Processed Data'!M1625</f>
        <v>20</v>
      </c>
      <c r="N814">
        <f>'[1]Processed Data'!N1625</f>
        <v>1</v>
      </c>
      <c r="O814">
        <f>'[1]Processed Data'!O1625</f>
        <v>1</v>
      </c>
      <c r="P814">
        <f>'[1]Processed Data'!P1625</f>
        <v>0</v>
      </c>
      <c r="Q814">
        <f>'[1]Processed Data'!Q1625</f>
        <v>10</v>
      </c>
    </row>
    <row r="815" spans="2:17" hidden="1">
      <c r="B815">
        <f>'[1]Processed Data'!B1627</f>
        <v>2011</v>
      </c>
      <c r="C815">
        <f>'[1]Processed Data'!C1627</f>
        <v>106</v>
      </c>
      <c r="D815" t="str">
        <f>'[1]Processed Data'!D1627</f>
        <v>Sam Bradford</v>
      </c>
      <c r="E815">
        <v>2021</v>
      </c>
      <c r="F815">
        <f>'[1]Processed Data'!F1627</f>
        <v>191</v>
      </c>
      <c r="G815">
        <f>'[1]Processed Data'!G1627</f>
        <v>357</v>
      </c>
      <c r="H815">
        <f>'[1]Processed Data'!H1627</f>
        <v>53.5</v>
      </c>
      <c r="I815">
        <f>'[1]Processed Data'!I1627</f>
        <v>6</v>
      </c>
      <c r="J815">
        <f>'[1]Processed Data'!J1627</f>
        <v>6</v>
      </c>
      <c r="K815">
        <f>'[1]Processed Data'!K1627</f>
        <v>36</v>
      </c>
      <c r="L815">
        <f>'[1]Processed Data'!L1627</f>
        <v>18</v>
      </c>
      <c r="M815">
        <f>'[1]Processed Data'!M1627</f>
        <v>26</v>
      </c>
      <c r="N815">
        <f>'[1]Processed Data'!N1627</f>
        <v>0</v>
      </c>
      <c r="O815">
        <f>'[1]Processed Data'!O1627</f>
        <v>7</v>
      </c>
      <c r="P815">
        <f>'[1]Processed Data'!P1627</f>
        <v>0</v>
      </c>
      <c r="Q815">
        <f>'[1]Processed Data'!Q1627</f>
        <v>10</v>
      </c>
    </row>
    <row r="816" spans="2:17" hidden="1">
      <c r="B816">
        <f>'[1]Processed Data'!B1628</f>
        <v>2011</v>
      </c>
      <c r="C816">
        <f>'[1]Processed Data'!C1628</f>
        <v>107</v>
      </c>
      <c r="D816" t="str">
        <f>'[1]Processed Data'!D1628</f>
        <v>Tony Romo</v>
      </c>
      <c r="E816">
        <v>2021</v>
      </c>
      <c r="F816">
        <f>'[1]Processed Data'!F1628</f>
        <v>346</v>
      </c>
      <c r="G816">
        <f>'[1]Processed Data'!G1628</f>
        <v>522</v>
      </c>
      <c r="H816">
        <f>'[1]Processed Data'!H1628</f>
        <v>66.3</v>
      </c>
      <c r="I816">
        <f>'[1]Processed Data'!I1628</f>
        <v>31</v>
      </c>
      <c r="J816">
        <f>'[1]Processed Data'!J1628</f>
        <v>10</v>
      </c>
      <c r="K816">
        <f>'[1]Processed Data'!K1628</f>
        <v>36</v>
      </c>
      <c r="L816">
        <f>'[1]Processed Data'!L1628</f>
        <v>22</v>
      </c>
      <c r="M816">
        <f>'[1]Processed Data'!M1628</f>
        <v>46</v>
      </c>
      <c r="N816">
        <f>'[1]Processed Data'!N1628</f>
        <v>1</v>
      </c>
      <c r="O816">
        <f>'[1]Processed Data'!O1628</f>
        <v>3</v>
      </c>
      <c r="P816">
        <f>'[1]Processed Data'!P1628</f>
        <v>0</v>
      </c>
      <c r="Q816">
        <f>'[1]Processed Data'!Q1628</f>
        <v>16</v>
      </c>
    </row>
    <row r="817" spans="2:17" hidden="1">
      <c r="B817">
        <f>'[1]Processed Data'!B1629</f>
        <v>2011</v>
      </c>
      <c r="C817">
        <f>'[1]Processed Data'!C1629</f>
        <v>108</v>
      </c>
      <c r="D817" t="str">
        <f>'[1]Processed Data'!D1629</f>
        <v>Tyler Thigpen</v>
      </c>
      <c r="E817">
        <v>2021</v>
      </c>
      <c r="F817">
        <f>'[1]Processed Data'!F1629</f>
        <v>3</v>
      </c>
      <c r="G817">
        <f>'[1]Processed Data'!G1629</f>
        <v>8</v>
      </c>
      <c r="H817">
        <f>'[1]Processed Data'!H1629</f>
        <v>37.5</v>
      </c>
      <c r="I817">
        <f>'[1]Processed Data'!I1629</f>
        <v>0</v>
      </c>
      <c r="J817">
        <f>'[1]Processed Data'!J1629</f>
        <v>1</v>
      </c>
      <c r="K817">
        <f>'[1]Processed Data'!K1629</f>
        <v>0</v>
      </c>
      <c r="L817">
        <f>'[1]Processed Data'!L1629</f>
        <v>1</v>
      </c>
      <c r="M817">
        <f>'[1]Processed Data'!M1629</f>
        <v>8</v>
      </c>
      <c r="N817">
        <f>'[1]Processed Data'!N1629</f>
        <v>0</v>
      </c>
      <c r="O817">
        <f>'[1]Processed Data'!O1629</f>
        <v>0</v>
      </c>
      <c r="P817">
        <f>'[1]Processed Data'!P1629</f>
        <v>0</v>
      </c>
      <c r="Q817">
        <f>'[1]Processed Data'!Q1629</f>
        <v>3</v>
      </c>
    </row>
    <row r="818" spans="2:17" hidden="1">
      <c r="B818">
        <f>'[1]Processed Data'!B1630</f>
        <v>2011</v>
      </c>
      <c r="C818">
        <f>'[1]Processed Data'!C1630</f>
        <v>109</v>
      </c>
      <c r="D818" t="str">
        <f>'[1]Processed Data'!D1630</f>
        <v>Shaun Hill</v>
      </c>
      <c r="E818">
        <v>2021</v>
      </c>
      <c r="F818">
        <f>'[1]Processed Data'!F1630</f>
        <v>2</v>
      </c>
      <c r="G818">
        <f>'[1]Processed Data'!G1630</f>
        <v>3</v>
      </c>
      <c r="H818">
        <f>'[1]Processed Data'!H1630</f>
        <v>66.7</v>
      </c>
      <c r="I818">
        <f>'[1]Processed Data'!I1630</f>
        <v>0</v>
      </c>
      <c r="J818">
        <f>'[1]Processed Data'!J1630</f>
        <v>0</v>
      </c>
      <c r="K818">
        <f>'[1]Processed Data'!K1630</f>
        <v>0</v>
      </c>
      <c r="L818">
        <f>'[1]Processed Data'!L1630</f>
        <v>1</v>
      </c>
      <c r="M818">
        <f>'[1]Processed Data'!M1630</f>
        <v>-1</v>
      </c>
      <c r="N818">
        <f>'[1]Processed Data'!N1630</f>
        <v>0</v>
      </c>
      <c r="O818">
        <f>'[1]Processed Data'!O1630</f>
        <v>0</v>
      </c>
      <c r="P818">
        <f>'[1]Processed Data'!P1630</f>
        <v>0</v>
      </c>
      <c r="Q818">
        <f>'[1]Processed Data'!Q1630</f>
        <v>2</v>
      </c>
    </row>
    <row r="819" spans="2:17" hidden="1">
      <c r="B819">
        <f>'[1]Processed Data'!B1631</f>
        <v>2011</v>
      </c>
      <c r="C819">
        <f>'[1]Processed Data'!C1631</f>
        <v>110</v>
      </c>
      <c r="D819" t="str">
        <f>'[1]Processed Data'!D1631</f>
        <v>John Skelton</v>
      </c>
      <c r="E819">
        <v>2021</v>
      </c>
      <c r="F819">
        <f>'[1]Processed Data'!F1631</f>
        <v>151</v>
      </c>
      <c r="G819">
        <f>'[1]Processed Data'!G1631</f>
        <v>275</v>
      </c>
      <c r="H819">
        <f>'[1]Processed Data'!H1631</f>
        <v>54.9</v>
      </c>
      <c r="I819">
        <f>'[1]Processed Data'!I1631</f>
        <v>11</v>
      </c>
      <c r="J819">
        <f>'[1]Processed Data'!J1631</f>
        <v>14</v>
      </c>
      <c r="K819">
        <f>'[1]Processed Data'!K1631</f>
        <v>23</v>
      </c>
      <c r="L819">
        <f>'[1]Processed Data'!L1631</f>
        <v>28</v>
      </c>
      <c r="M819">
        <f>'[1]Processed Data'!M1631</f>
        <v>128</v>
      </c>
      <c r="N819">
        <f>'[1]Processed Data'!N1631</f>
        <v>0</v>
      </c>
      <c r="O819">
        <f>'[1]Processed Data'!O1631</f>
        <v>1</v>
      </c>
      <c r="P819">
        <f>'[1]Processed Data'!P1631</f>
        <v>0</v>
      </c>
      <c r="Q819">
        <f>'[1]Processed Data'!Q1631</f>
        <v>8</v>
      </c>
    </row>
    <row r="820" spans="2:17" hidden="1">
      <c r="B820">
        <f>'[1]Processed Data'!B1632</f>
        <v>2011</v>
      </c>
      <c r="C820">
        <f>'[1]Processed Data'!C1632</f>
        <v>111</v>
      </c>
      <c r="D820" t="str">
        <f>'[1]Processed Data'!D1632</f>
        <v>Charlie Whitehurst</v>
      </c>
      <c r="E820">
        <v>2021</v>
      </c>
      <c r="F820">
        <f>'[1]Processed Data'!F1632</f>
        <v>27</v>
      </c>
      <c r="G820">
        <f>'[1]Processed Data'!G1632</f>
        <v>56</v>
      </c>
      <c r="H820">
        <f>'[1]Processed Data'!H1632</f>
        <v>48.2</v>
      </c>
      <c r="I820">
        <f>'[1]Processed Data'!I1632</f>
        <v>1</v>
      </c>
      <c r="J820">
        <f>'[1]Processed Data'!J1632</f>
        <v>1</v>
      </c>
      <c r="K820">
        <f>'[1]Processed Data'!K1632</f>
        <v>8</v>
      </c>
      <c r="L820">
        <f>'[1]Processed Data'!L1632</f>
        <v>4</v>
      </c>
      <c r="M820">
        <f>'[1]Processed Data'!M1632</f>
        <v>13</v>
      </c>
      <c r="N820">
        <f>'[1]Processed Data'!N1632</f>
        <v>0</v>
      </c>
      <c r="O820">
        <f>'[1]Processed Data'!O1632</f>
        <v>1</v>
      </c>
      <c r="P820">
        <f>'[1]Processed Data'!P1632</f>
        <v>0</v>
      </c>
      <c r="Q820">
        <f>'[1]Processed Data'!Q1632</f>
        <v>3</v>
      </c>
    </row>
    <row r="821" spans="2:17" hidden="1">
      <c r="B821">
        <f>'[1]Processed Data'!B1633</f>
        <v>2011</v>
      </c>
      <c r="C821">
        <f>'[1]Processed Data'!C1633</f>
        <v>112</v>
      </c>
      <c r="D821" t="str">
        <f>'[1]Processed Data'!D1633</f>
        <v>Dan Orlovsky</v>
      </c>
      <c r="E821">
        <v>2021</v>
      </c>
      <c r="F821">
        <f>'[1]Processed Data'!F1633</f>
        <v>122</v>
      </c>
      <c r="G821">
        <f>'[1]Processed Data'!G1633</f>
        <v>193</v>
      </c>
      <c r="H821">
        <f>'[1]Processed Data'!H1633</f>
        <v>63.2</v>
      </c>
      <c r="I821">
        <f>'[1]Processed Data'!I1633</f>
        <v>6</v>
      </c>
      <c r="J821">
        <f>'[1]Processed Data'!J1633</f>
        <v>4</v>
      </c>
      <c r="K821">
        <f>'[1]Processed Data'!K1633</f>
        <v>14</v>
      </c>
      <c r="L821">
        <f>'[1]Processed Data'!L1633</f>
        <v>6</v>
      </c>
      <c r="M821">
        <f>'[1]Processed Data'!M1633</f>
        <v>5</v>
      </c>
      <c r="N821">
        <f>'[1]Processed Data'!N1633</f>
        <v>0</v>
      </c>
      <c r="O821">
        <f>'[1]Processed Data'!O1633</f>
        <v>3</v>
      </c>
      <c r="P821">
        <f>'[1]Processed Data'!P1633</f>
        <v>0</v>
      </c>
      <c r="Q821">
        <f>'[1]Processed Data'!Q1633</f>
        <v>8</v>
      </c>
    </row>
    <row r="822" spans="2:17" hidden="1">
      <c r="B822">
        <f>'[1]Processed Data'!B1634</f>
        <v>2011</v>
      </c>
      <c r="C822">
        <f>'[1]Processed Data'!C1634</f>
        <v>113</v>
      </c>
      <c r="D822" t="str">
        <f>'[1]Processed Data'!D1634</f>
        <v>Tarvaris Jackson</v>
      </c>
      <c r="E822">
        <v>2021</v>
      </c>
      <c r="F822">
        <f>'[1]Processed Data'!F1634</f>
        <v>271</v>
      </c>
      <c r="G822">
        <f>'[1]Processed Data'!G1634</f>
        <v>450</v>
      </c>
      <c r="H822">
        <f>'[1]Processed Data'!H1634</f>
        <v>60.2</v>
      </c>
      <c r="I822">
        <f>'[1]Processed Data'!I1634</f>
        <v>14</v>
      </c>
      <c r="J822">
        <f>'[1]Processed Data'!J1634</f>
        <v>13</v>
      </c>
      <c r="K822">
        <f>'[1]Processed Data'!K1634</f>
        <v>42</v>
      </c>
      <c r="L822">
        <f>'[1]Processed Data'!L1634</f>
        <v>40</v>
      </c>
      <c r="M822">
        <f>'[1]Processed Data'!M1634</f>
        <v>108</v>
      </c>
      <c r="N822">
        <f>'[1]Processed Data'!N1634</f>
        <v>1</v>
      </c>
      <c r="O822">
        <f>'[1]Processed Data'!O1634</f>
        <v>5</v>
      </c>
      <c r="P822">
        <f>'[1]Processed Data'!P1634</f>
        <v>0</v>
      </c>
      <c r="Q822">
        <f>'[1]Processed Data'!Q1634</f>
        <v>15</v>
      </c>
    </row>
    <row r="823" spans="2:17" hidden="1">
      <c r="B823">
        <f>'[1]Processed Data'!B1635</f>
        <v>2011</v>
      </c>
      <c r="C823">
        <f>'[1]Processed Data'!C1635</f>
        <v>114</v>
      </c>
      <c r="D823" t="str">
        <f>'[1]Processed Data'!D1635</f>
        <v>Seneca Wallace</v>
      </c>
      <c r="E823">
        <v>2021</v>
      </c>
      <c r="F823">
        <f>'[1]Processed Data'!F1635</f>
        <v>55</v>
      </c>
      <c r="G823">
        <f>'[1]Processed Data'!G1635</f>
        <v>107</v>
      </c>
      <c r="H823">
        <f>'[1]Processed Data'!H1635</f>
        <v>51.4</v>
      </c>
      <c r="I823">
        <f>'[1]Processed Data'!I1635</f>
        <v>2</v>
      </c>
      <c r="J823">
        <f>'[1]Processed Data'!J1635</f>
        <v>2</v>
      </c>
      <c r="K823">
        <f>'[1]Processed Data'!K1635</f>
        <v>6</v>
      </c>
      <c r="L823">
        <f>'[1]Processed Data'!L1635</f>
        <v>7</v>
      </c>
      <c r="M823">
        <f>'[1]Processed Data'!M1635</f>
        <v>70</v>
      </c>
      <c r="N823">
        <f>'[1]Processed Data'!N1635</f>
        <v>0</v>
      </c>
      <c r="O823">
        <f>'[1]Processed Data'!O1635</f>
        <v>1</v>
      </c>
      <c r="P823">
        <f>'[1]Processed Data'!P1635</f>
        <v>0</v>
      </c>
      <c r="Q823">
        <f>'[1]Processed Data'!Q1635</f>
        <v>6</v>
      </c>
    </row>
    <row r="824" spans="2:17" hidden="1">
      <c r="B824">
        <f>'[1]Processed Data'!B1636</f>
        <v>2011</v>
      </c>
      <c r="C824">
        <f>'[1]Processed Data'!C1636</f>
        <v>115</v>
      </c>
      <c r="D824" t="str">
        <f>'[1]Processed Data'!D1636</f>
        <v>Kevin Kolb</v>
      </c>
      <c r="E824">
        <v>2021</v>
      </c>
      <c r="F824">
        <f>'[1]Processed Data'!F1636</f>
        <v>146</v>
      </c>
      <c r="G824">
        <f>'[1]Processed Data'!G1636</f>
        <v>253</v>
      </c>
      <c r="H824">
        <f>'[1]Processed Data'!H1636</f>
        <v>57.7</v>
      </c>
      <c r="I824">
        <f>'[1]Processed Data'!I1636</f>
        <v>9</v>
      </c>
      <c r="J824">
        <f>'[1]Processed Data'!J1636</f>
        <v>8</v>
      </c>
      <c r="K824">
        <f>'[1]Processed Data'!K1636</f>
        <v>30</v>
      </c>
      <c r="L824">
        <f>'[1]Processed Data'!L1636</f>
        <v>17</v>
      </c>
      <c r="M824">
        <f>'[1]Processed Data'!M1636</f>
        <v>65</v>
      </c>
      <c r="N824">
        <f>'[1]Processed Data'!N1636</f>
        <v>0</v>
      </c>
      <c r="O824">
        <f>'[1]Processed Data'!O1636</f>
        <v>3</v>
      </c>
      <c r="P824">
        <f>'[1]Processed Data'!P1636</f>
        <v>0</v>
      </c>
      <c r="Q824">
        <f>'[1]Processed Data'!Q1636</f>
        <v>9</v>
      </c>
    </row>
    <row r="825" spans="2:17" hidden="1">
      <c r="B825">
        <f>'[1]Processed Data'!B1637</f>
        <v>2011</v>
      </c>
      <c r="C825">
        <f>'[1]Processed Data'!C1637</f>
        <v>116</v>
      </c>
      <c r="D825" t="str">
        <f>'[1]Processed Data'!D1637</f>
        <v>Matt Cassel</v>
      </c>
      <c r="E825">
        <v>2021</v>
      </c>
      <c r="F825">
        <f>'[1]Processed Data'!F1637</f>
        <v>160</v>
      </c>
      <c r="G825">
        <f>'[1]Processed Data'!G1637</f>
        <v>269</v>
      </c>
      <c r="H825">
        <f>'[1]Processed Data'!H1637</f>
        <v>59.5</v>
      </c>
      <c r="I825">
        <f>'[1]Processed Data'!I1637</f>
        <v>10</v>
      </c>
      <c r="J825">
        <f>'[1]Processed Data'!J1637</f>
        <v>9</v>
      </c>
      <c r="K825">
        <f>'[1]Processed Data'!K1637</f>
        <v>22</v>
      </c>
      <c r="L825">
        <f>'[1]Processed Data'!L1637</f>
        <v>25</v>
      </c>
      <c r="M825">
        <f>'[1]Processed Data'!M1637</f>
        <v>99</v>
      </c>
      <c r="N825">
        <f>'[1]Processed Data'!N1637</f>
        <v>0</v>
      </c>
      <c r="O825">
        <f>'[1]Processed Data'!O1637</f>
        <v>2</v>
      </c>
      <c r="P825">
        <f>'[1]Processed Data'!P1637</f>
        <v>0</v>
      </c>
      <c r="Q825">
        <f>'[1]Processed Data'!Q1637</f>
        <v>9</v>
      </c>
    </row>
    <row r="826" spans="2:17" hidden="1">
      <c r="B826">
        <f>'[1]Processed Data'!B1638</f>
        <v>2011</v>
      </c>
      <c r="C826">
        <f>'[1]Processed Data'!C1638</f>
        <v>117</v>
      </c>
      <c r="D826" t="str">
        <f>'[1]Processed Data'!D1638</f>
        <v>Kyle Orton</v>
      </c>
      <c r="E826">
        <v>2021</v>
      </c>
      <c r="F826">
        <f>'[1]Processed Data'!F1638</f>
        <v>150</v>
      </c>
      <c r="G826">
        <f>'[1]Processed Data'!G1638</f>
        <v>252</v>
      </c>
      <c r="H826">
        <f>'[1]Processed Data'!H1638</f>
        <v>59.5</v>
      </c>
      <c r="I826">
        <f>'[1]Processed Data'!I1638</f>
        <v>9</v>
      </c>
      <c r="J826">
        <f>'[1]Processed Data'!J1638</f>
        <v>9</v>
      </c>
      <c r="K826">
        <f>'[1]Processed Data'!K1638</f>
        <v>10</v>
      </c>
      <c r="L826">
        <f>'[1]Processed Data'!L1638</f>
        <v>11</v>
      </c>
      <c r="M826">
        <f>'[1]Processed Data'!M1638</f>
        <v>13</v>
      </c>
      <c r="N826">
        <f>'[1]Processed Data'!N1638</f>
        <v>0</v>
      </c>
      <c r="O826">
        <f>'[1]Processed Data'!O1638</f>
        <v>2</v>
      </c>
      <c r="P826">
        <f>'[1]Processed Data'!P1638</f>
        <v>0</v>
      </c>
      <c r="Q826">
        <f>'[1]Processed Data'!Q1638</f>
        <v>9</v>
      </c>
    </row>
    <row r="827" spans="2:17" hidden="1">
      <c r="B827">
        <f>'[1]Processed Data'!B1639</f>
        <v>2011</v>
      </c>
      <c r="C827">
        <f>'[1]Processed Data'!C1639</f>
        <v>118</v>
      </c>
      <c r="D827" t="str">
        <f>'[1]Processed Data'!D1639</f>
        <v>Mark Sanchez</v>
      </c>
      <c r="E827">
        <v>2021</v>
      </c>
      <c r="F827">
        <f>'[1]Processed Data'!F1639</f>
        <v>308</v>
      </c>
      <c r="G827">
        <f>'[1]Processed Data'!G1639</f>
        <v>543</v>
      </c>
      <c r="H827">
        <f>'[1]Processed Data'!H1639</f>
        <v>56.7</v>
      </c>
      <c r="I827">
        <f>'[1]Processed Data'!I1639</f>
        <v>26</v>
      </c>
      <c r="J827">
        <f>'[1]Processed Data'!J1639</f>
        <v>18</v>
      </c>
      <c r="K827">
        <f>'[1]Processed Data'!K1639</f>
        <v>39</v>
      </c>
      <c r="L827">
        <f>'[1]Processed Data'!L1639</f>
        <v>37</v>
      </c>
      <c r="M827">
        <f>'[1]Processed Data'!M1639</f>
        <v>103</v>
      </c>
      <c r="N827">
        <f>'[1]Processed Data'!N1639</f>
        <v>6</v>
      </c>
      <c r="O827">
        <f>'[1]Processed Data'!O1639</f>
        <v>8</v>
      </c>
      <c r="P827">
        <f>'[1]Processed Data'!P1639</f>
        <v>0</v>
      </c>
      <c r="Q827">
        <f>'[1]Processed Data'!Q1639</f>
        <v>16</v>
      </c>
    </row>
    <row r="828" spans="2:17" hidden="1">
      <c r="B828">
        <f>'[1]Processed Data'!B1640</f>
        <v>2011</v>
      </c>
      <c r="C828">
        <f>'[1]Processed Data'!C1640</f>
        <v>119</v>
      </c>
      <c r="D828" t="str">
        <f>'[1]Processed Data'!D1640</f>
        <v>Matt Flynn</v>
      </c>
      <c r="E828">
        <v>2021</v>
      </c>
      <c r="F828">
        <f>'[1]Processed Data'!F1640</f>
        <v>33</v>
      </c>
      <c r="G828">
        <f>'[1]Processed Data'!G1640</f>
        <v>49</v>
      </c>
      <c r="H828">
        <f>'[1]Processed Data'!H1640</f>
        <v>67.3</v>
      </c>
      <c r="I828">
        <f>'[1]Processed Data'!I1640</f>
        <v>6</v>
      </c>
      <c r="J828">
        <f>'[1]Processed Data'!J1640</f>
        <v>2</v>
      </c>
      <c r="K828">
        <f>'[1]Processed Data'!K1640</f>
        <v>5</v>
      </c>
      <c r="L828">
        <f>'[1]Processed Data'!L1640</f>
        <v>13</v>
      </c>
      <c r="M828">
        <f>'[1]Processed Data'!M1640</f>
        <v>-6</v>
      </c>
      <c r="N828">
        <f>'[1]Processed Data'!N1640</f>
        <v>1</v>
      </c>
      <c r="O828">
        <f>'[1]Processed Data'!O1640</f>
        <v>1</v>
      </c>
      <c r="P828">
        <f>'[1]Processed Data'!P1640</f>
        <v>0</v>
      </c>
      <c r="Q828">
        <f>'[1]Processed Data'!Q1640</f>
        <v>5</v>
      </c>
    </row>
    <row r="829" spans="2:17" hidden="1">
      <c r="B829">
        <f>'[1]Processed Data'!B1641</f>
        <v>2011</v>
      </c>
      <c r="C829">
        <f>'[1]Processed Data'!C1641</f>
        <v>120</v>
      </c>
      <c r="D829" t="str">
        <f>'[1]Processed Data'!D1641</f>
        <v>Rex Grossman</v>
      </c>
      <c r="E829">
        <v>2021</v>
      </c>
      <c r="F829">
        <f>'[1]Processed Data'!F1641</f>
        <v>265</v>
      </c>
      <c r="G829">
        <f>'[1]Processed Data'!G1641</f>
        <v>458</v>
      </c>
      <c r="H829">
        <f>'[1]Processed Data'!H1641</f>
        <v>57.9</v>
      </c>
      <c r="I829">
        <f>'[1]Processed Data'!I1641</f>
        <v>16</v>
      </c>
      <c r="J829">
        <f>'[1]Processed Data'!J1641</f>
        <v>20</v>
      </c>
      <c r="K829">
        <f>'[1]Processed Data'!K1641</f>
        <v>25</v>
      </c>
      <c r="L829">
        <f>'[1]Processed Data'!L1641</f>
        <v>20</v>
      </c>
      <c r="M829">
        <f>'[1]Processed Data'!M1641</f>
        <v>11</v>
      </c>
      <c r="N829">
        <f>'[1]Processed Data'!N1641</f>
        <v>1</v>
      </c>
      <c r="O829">
        <f>'[1]Processed Data'!O1641</f>
        <v>5</v>
      </c>
      <c r="P829">
        <f>'[1]Processed Data'!P1641</f>
        <v>0</v>
      </c>
      <c r="Q829">
        <f>'[1]Processed Data'!Q1641</f>
        <v>13</v>
      </c>
    </row>
    <row r="830" spans="2:17" hidden="1">
      <c r="B830">
        <f>'[1]Processed Data'!B1642</f>
        <v>2011</v>
      </c>
      <c r="C830">
        <f>'[1]Processed Data'!C1642</f>
        <v>121</v>
      </c>
      <c r="D830" t="str">
        <f>'[1]Processed Data'!D1642</f>
        <v>Matt Hasselbeck</v>
      </c>
      <c r="E830">
        <v>2021</v>
      </c>
      <c r="F830">
        <f>'[1]Processed Data'!F1642</f>
        <v>319</v>
      </c>
      <c r="G830">
        <f>'[1]Processed Data'!G1642</f>
        <v>518</v>
      </c>
      <c r="H830">
        <f>'[1]Processed Data'!H1642</f>
        <v>61.6</v>
      </c>
      <c r="I830">
        <f>'[1]Processed Data'!I1642</f>
        <v>18</v>
      </c>
      <c r="J830">
        <f>'[1]Processed Data'!J1642</f>
        <v>14</v>
      </c>
      <c r="K830">
        <f>'[1]Processed Data'!K1642</f>
        <v>19</v>
      </c>
      <c r="L830">
        <f>'[1]Processed Data'!L1642</f>
        <v>20</v>
      </c>
      <c r="M830">
        <f>'[1]Processed Data'!M1642</f>
        <v>52</v>
      </c>
      <c r="N830">
        <f>'[1]Processed Data'!N1642</f>
        <v>0</v>
      </c>
      <c r="O830">
        <f>'[1]Processed Data'!O1642</f>
        <v>1</v>
      </c>
      <c r="P830">
        <f>'[1]Processed Data'!P1642</f>
        <v>0</v>
      </c>
      <c r="Q830">
        <f>'[1]Processed Data'!Q1642</f>
        <v>16</v>
      </c>
    </row>
    <row r="831" spans="2:17" hidden="1">
      <c r="B831">
        <f>'[1]Processed Data'!B1643</f>
        <v>2011</v>
      </c>
      <c r="C831">
        <f>'[1]Processed Data'!C1643</f>
        <v>122</v>
      </c>
      <c r="D831" t="str">
        <f>'[1]Processed Data'!D1643</f>
        <v>Michael Vick</v>
      </c>
      <c r="E831">
        <v>2021</v>
      </c>
      <c r="F831">
        <f>'[1]Processed Data'!F1643</f>
        <v>253</v>
      </c>
      <c r="G831">
        <f>'[1]Processed Data'!G1643</f>
        <v>423</v>
      </c>
      <c r="H831">
        <f>'[1]Processed Data'!H1643</f>
        <v>59.8</v>
      </c>
      <c r="I831">
        <f>'[1]Processed Data'!I1643</f>
        <v>18</v>
      </c>
      <c r="J831">
        <f>'[1]Processed Data'!J1643</f>
        <v>14</v>
      </c>
      <c r="K831">
        <f>'[1]Processed Data'!K1643</f>
        <v>23</v>
      </c>
      <c r="L831">
        <f>'[1]Processed Data'!L1643</f>
        <v>76</v>
      </c>
      <c r="M831">
        <f>'[1]Processed Data'!M1643</f>
        <v>589</v>
      </c>
      <c r="N831">
        <f>'[1]Processed Data'!N1643</f>
        <v>1</v>
      </c>
      <c r="O831">
        <f>'[1]Processed Data'!O1643</f>
        <v>4</v>
      </c>
      <c r="P831">
        <f>'[1]Processed Data'!P1643</f>
        <v>0</v>
      </c>
      <c r="Q831">
        <f>'[1]Processed Data'!Q1643</f>
        <v>13</v>
      </c>
    </row>
    <row r="832" spans="2:17" hidden="1">
      <c r="B832">
        <f>'[1]Processed Data'!B1644</f>
        <v>2011</v>
      </c>
      <c r="C832">
        <f>'[1]Processed Data'!C1644</f>
        <v>123</v>
      </c>
      <c r="D832" t="str">
        <f>'[1]Processed Data'!D1644</f>
        <v>Philip Rivers</v>
      </c>
      <c r="E832">
        <v>2020</v>
      </c>
      <c r="F832">
        <f>'[1]Processed Data'!F1644</f>
        <v>366</v>
      </c>
      <c r="G832">
        <f>'[1]Processed Data'!G1644</f>
        <v>582</v>
      </c>
      <c r="H832">
        <f>'[1]Processed Data'!H1644</f>
        <v>62.9</v>
      </c>
      <c r="I832">
        <f>'[1]Processed Data'!I1644</f>
        <v>27</v>
      </c>
      <c r="J832">
        <f>'[1]Processed Data'!J1644</f>
        <v>20</v>
      </c>
      <c r="K832">
        <f>'[1]Processed Data'!K1644</f>
        <v>30</v>
      </c>
      <c r="L832">
        <f>'[1]Processed Data'!L1644</f>
        <v>26</v>
      </c>
      <c r="M832">
        <f>'[1]Processed Data'!M1644</f>
        <v>36</v>
      </c>
      <c r="N832">
        <f>'[1]Processed Data'!N1644</f>
        <v>1</v>
      </c>
      <c r="O832">
        <f>'[1]Processed Data'!O1644</f>
        <v>5</v>
      </c>
      <c r="P832">
        <f>'[1]Processed Data'!P1644</f>
        <v>0</v>
      </c>
      <c r="Q832">
        <f>'[1]Processed Data'!Q1644</f>
        <v>16</v>
      </c>
    </row>
    <row r="833" spans="2:17" hidden="1">
      <c r="B833">
        <f>'[1]Processed Data'!B1684</f>
        <v>2010</v>
      </c>
      <c r="C833">
        <f>'[1]Processed Data'!C1684</f>
        <v>1</v>
      </c>
      <c r="D833" t="str">
        <f>'[1]Processed Data'!D1684</f>
        <v>Aaron Rodgers</v>
      </c>
      <c r="E833">
        <v>2020</v>
      </c>
      <c r="F833">
        <f>'[1]Processed Data'!F1684</f>
        <v>312</v>
      </c>
      <c r="G833">
        <f>'[1]Processed Data'!G1684</f>
        <v>475</v>
      </c>
      <c r="H833">
        <f>'[1]Processed Data'!H1684</f>
        <v>65.7</v>
      </c>
      <c r="I833">
        <f>'[1]Processed Data'!I1684</f>
        <v>28</v>
      </c>
      <c r="J833">
        <f>'[1]Processed Data'!J1684</f>
        <v>11</v>
      </c>
      <c r="K833">
        <f>'[1]Processed Data'!K1684</f>
        <v>31</v>
      </c>
      <c r="L833">
        <f>'[1]Processed Data'!L1684</f>
        <v>64</v>
      </c>
      <c r="M833">
        <f>'[1]Processed Data'!M1684</f>
        <v>356</v>
      </c>
      <c r="N833">
        <f>'[1]Processed Data'!N1684</f>
        <v>4</v>
      </c>
      <c r="O833">
        <f>'[1]Processed Data'!O1684</f>
        <v>1</v>
      </c>
      <c r="P833">
        <f>'[1]Processed Data'!P1684</f>
        <v>304.39999999999998</v>
      </c>
      <c r="Q833">
        <f>'[1]Processed Data'!Q1684</f>
        <v>15</v>
      </c>
    </row>
    <row r="834" spans="2:17" hidden="1">
      <c r="B834">
        <f>'[1]Processed Data'!B1685</f>
        <v>2010</v>
      </c>
      <c r="C834">
        <f>'[1]Processed Data'!C1685</f>
        <v>2</v>
      </c>
      <c r="D834" t="str">
        <f>'[1]Processed Data'!D1685</f>
        <v>Tom Brady</v>
      </c>
      <c r="E834">
        <v>2020</v>
      </c>
      <c r="F834">
        <f>'[1]Processed Data'!F1685</f>
        <v>324</v>
      </c>
      <c r="G834">
        <f>'[1]Processed Data'!G1685</f>
        <v>492</v>
      </c>
      <c r="H834">
        <f>'[1]Processed Data'!H1685</f>
        <v>65.900000000000006</v>
      </c>
      <c r="I834">
        <f>'[1]Processed Data'!I1685</f>
        <v>36</v>
      </c>
      <c r="J834">
        <f>'[1]Processed Data'!J1685</f>
        <v>4</v>
      </c>
      <c r="K834">
        <f>'[1]Processed Data'!K1685</f>
        <v>25</v>
      </c>
      <c r="L834">
        <f>'[1]Processed Data'!L1685</f>
        <v>31</v>
      </c>
      <c r="M834">
        <f>'[1]Processed Data'!M1685</f>
        <v>30</v>
      </c>
      <c r="N834">
        <f>'[1]Processed Data'!N1685</f>
        <v>1</v>
      </c>
      <c r="O834">
        <f>'[1]Processed Data'!O1685</f>
        <v>1</v>
      </c>
      <c r="P834">
        <f>'[1]Processed Data'!P1685</f>
        <v>299</v>
      </c>
      <c r="Q834">
        <f>'[1]Processed Data'!Q1685</f>
        <v>16</v>
      </c>
    </row>
    <row r="835" spans="2:17" hidden="1">
      <c r="B835">
        <f>'[1]Processed Data'!B1686</f>
        <v>2010</v>
      </c>
      <c r="C835">
        <f>'[1]Processed Data'!C1686</f>
        <v>3</v>
      </c>
      <c r="D835" t="str">
        <f>'[1]Processed Data'!D1686</f>
        <v>Drew Brees</v>
      </c>
      <c r="E835">
        <v>2020</v>
      </c>
      <c r="F835">
        <f>'[1]Processed Data'!F1686</f>
        <v>448</v>
      </c>
      <c r="G835">
        <f>'[1]Processed Data'!G1686</f>
        <v>658</v>
      </c>
      <c r="H835">
        <f>'[1]Processed Data'!H1686</f>
        <v>68.099999999999994</v>
      </c>
      <c r="I835">
        <f>'[1]Processed Data'!I1686</f>
        <v>33</v>
      </c>
      <c r="J835">
        <f>'[1]Processed Data'!J1686</f>
        <v>22</v>
      </c>
      <c r="K835">
        <f>'[1]Processed Data'!K1686</f>
        <v>25</v>
      </c>
      <c r="L835">
        <f>'[1]Processed Data'!L1686</f>
        <v>18</v>
      </c>
      <c r="M835">
        <f>'[1]Processed Data'!M1686</f>
        <v>-3</v>
      </c>
      <c r="N835">
        <f>'[1]Processed Data'!N1686</f>
        <v>0</v>
      </c>
      <c r="O835">
        <f>'[1]Processed Data'!O1686</f>
        <v>2</v>
      </c>
      <c r="P835">
        <f>'[1]Processed Data'!P1686</f>
        <v>269.7</v>
      </c>
      <c r="Q835">
        <f>'[1]Processed Data'!Q1686</f>
        <v>16</v>
      </c>
    </row>
    <row r="836" spans="2:17" hidden="1">
      <c r="B836">
        <f>'[1]Processed Data'!B1687</f>
        <v>2010</v>
      </c>
      <c r="C836">
        <f>'[1]Processed Data'!C1687</f>
        <v>4</v>
      </c>
      <c r="D836" t="str">
        <f>'[1]Processed Data'!D1687</f>
        <v>Matt Ryan</v>
      </c>
      <c r="E836">
        <v>2020</v>
      </c>
      <c r="F836">
        <f>'[1]Processed Data'!F1687</f>
        <v>357</v>
      </c>
      <c r="G836">
        <f>'[1]Processed Data'!G1687</f>
        <v>571</v>
      </c>
      <c r="H836">
        <f>'[1]Processed Data'!H1687</f>
        <v>62.5</v>
      </c>
      <c r="I836">
        <f>'[1]Processed Data'!I1687</f>
        <v>28</v>
      </c>
      <c r="J836">
        <f>'[1]Processed Data'!J1687</f>
        <v>9</v>
      </c>
      <c r="K836">
        <f>'[1]Processed Data'!K1687</f>
        <v>23</v>
      </c>
      <c r="L836">
        <f>'[1]Processed Data'!L1687</f>
        <v>46</v>
      </c>
      <c r="M836">
        <f>'[1]Processed Data'!M1687</f>
        <v>122</v>
      </c>
      <c r="N836">
        <f>'[1]Processed Data'!N1687</f>
        <v>0</v>
      </c>
      <c r="O836">
        <f>'[1]Processed Data'!O1687</f>
        <v>3</v>
      </c>
      <c r="P836">
        <f>'[1]Processed Data'!P1687</f>
        <v>248.4</v>
      </c>
      <c r="Q836">
        <f>'[1]Processed Data'!Q1687</f>
        <v>16</v>
      </c>
    </row>
    <row r="837" spans="2:17" hidden="1">
      <c r="B837">
        <f>'[1]Processed Data'!B1688</f>
        <v>2010</v>
      </c>
      <c r="C837">
        <f>'[1]Processed Data'!C1688</f>
        <v>5</v>
      </c>
      <c r="D837" t="str">
        <f>'[1]Processed Data'!D1688</f>
        <v>Matt Schaub</v>
      </c>
      <c r="E837">
        <v>2020</v>
      </c>
      <c r="F837">
        <f>'[1]Processed Data'!F1688</f>
        <v>365</v>
      </c>
      <c r="G837">
        <f>'[1]Processed Data'!G1688</f>
        <v>574</v>
      </c>
      <c r="H837">
        <f>'[1]Processed Data'!H1688</f>
        <v>63.6</v>
      </c>
      <c r="I837">
        <f>'[1]Processed Data'!I1688</f>
        <v>24</v>
      </c>
      <c r="J837">
        <f>'[1]Processed Data'!J1688</f>
        <v>12</v>
      </c>
      <c r="K837">
        <f>'[1]Processed Data'!K1688</f>
        <v>32</v>
      </c>
      <c r="L837">
        <f>'[1]Processed Data'!L1688</f>
        <v>22</v>
      </c>
      <c r="M837">
        <f>'[1]Processed Data'!M1688</f>
        <v>28</v>
      </c>
      <c r="N837">
        <f>'[1]Processed Data'!N1688</f>
        <v>0</v>
      </c>
      <c r="O837">
        <f>'[1]Processed Data'!O1688</f>
        <v>3</v>
      </c>
      <c r="P837">
        <f>'[1]Processed Data'!P1688</f>
        <v>243.6</v>
      </c>
      <c r="Q837">
        <f>'[1]Processed Data'!Q1688</f>
        <v>16</v>
      </c>
    </row>
    <row r="838" spans="2:17" hidden="1">
      <c r="B838">
        <f>'[1]Processed Data'!B1689</f>
        <v>2010</v>
      </c>
      <c r="C838">
        <f>'[1]Processed Data'!C1689</f>
        <v>6</v>
      </c>
      <c r="D838" t="str">
        <f>'[1]Processed Data'!D1689</f>
        <v>Joe Flacco</v>
      </c>
      <c r="E838">
        <v>2020</v>
      </c>
      <c r="F838">
        <f>'[1]Processed Data'!F1689</f>
        <v>306</v>
      </c>
      <c r="G838">
        <f>'[1]Processed Data'!G1689</f>
        <v>489</v>
      </c>
      <c r="H838">
        <f>'[1]Processed Data'!H1689</f>
        <v>62.6</v>
      </c>
      <c r="I838">
        <f>'[1]Processed Data'!I1689</f>
        <v>25</v>
      </c>
      <c r="J838">
        <f>'[1]Processed Data'!J1689</f>
        <v>10</v>
      </c>
      <c r="K838">
        <f>'[1]Processed Data'!K1689</f>
        <v>40</v>
      </c>
      <c r="L838">
        <f>'[1]Processed Data'!L1689</f>
        <v>43</v>
      </c>
      <c r="M838">
        <f>'[1]Processed Data'!M1689</f>
        <v>84</v>
      </c>
      <c r="N838">
        <f>'[1]Processed Data'!N1689</f>
        <v>1</v>
      </c>
      <c r="O838">
        <f>'[1]Processed Data'!O1689</f>
        <v>4</v>
      </c>
      <c r="P838">
        <f>'[1]Processed Data'!P1689</f>
        <v>231.2</v>
      </c>
      <c r="Q838">
        <f>'[1]Processed Data'!Q1689</f>
        <v>16</v>
      </c>
    </row>
    <row r="839" spans="2:17" hidden="1">
      <c r="B839">
        <f>'[1]Processed Data'!B1690</f>
        <v>2010</v>
      </c>
      <c r="C839">
        <f>'[1]Processed Data'!C1690</f>
        <v>7</v>
      </c>
      <c r="D839" t="str">
        <f>'[1]Processed Data'!D1690</f>
        <v>Ben Roethlisberger</v>
      </c>
      <c r="E839">
        <v>2020</v>
      </c>
      <c r="F839">
        <f>'[1]Processed Data'!F1690</f>
        <v>240</v>
      </c>
      <c r="G839">
        <f>'[1]Processed Data'!G1690</f>
        <v>389</v>
      </c>
      <c r="H839">
        <f>'[1]Processed Data'!H1690</f>
        <v>61.7</v>
      </c>
      <c r="I839">
        <f>'[1]Processed Data'!I1690</f>
        <v>17</v>
      </c>
      <c r="J839">
        <f>'[1]Processed Data'!J1690</f>
        <v>5</v>
      </c>
      <c r="K839">
        <f>'[1]Processed Data'!K1690</f>
        <v>32</v>
      </c>
      <c r="L839">
        <f>'[1]Processed Data'!L1690</f>
        <v>34</v>
      </c>
      <c r="M839">
        <f>'[1]Processed Data'!M1690</f>
        <v>176</v>
      </c>
      <c r="N839">
        <f>'[1]Processed Data'!N1690</f>
        <v>2</v>
      </c>
      <c r="O839">
        <f>'[1]Processed Data'!O1690</f>
        <v>3</v>
      </c>
      <c r="P839">
        <f>'[1]Processed Data'!P1690</f>
        <v>209.6</v>
      </c>
      <c r="Q839">
        <f>'[1]Processed Data'!Q1690</f>
        <v>12</v>
      </c>
    </row>
    <row r="840" spans="2:17" hidden="1">
      <c r="B840">
        <f>'[1]Processed Data'!B1691</f>
        <v>2010</v>
      </c>
      <c r="C840">
        <f>'[1]Processed Data'!C1691</f>
        <v>8</v>
      </c>
      <c r="D840" t="str">
        <f>'[1]Processed Data'!D1691</f>
        <v>Ryan Fitzpatrick</v>
      </c>
      <c r="E840">
        <v>2020</v>
      </c>
      <c r="F840">
        <f>'[1]Processed Data'!F1691</f>
        <v>255</v>
      </c>
      <c r="G840">
        <f>'[1]Processed Data'!G1691</f>
        <v>441</v>
      </c>
      <c r="H840">
        <f>'[1]Processed Data'!H1691</f>
        <v>57.8</v>
      </c>
      <c r="I840">
        <f>'[1]Processed Data'!I1691</f>
        <v>23</v>
      </c>
      <c r="J840">
        <f>'[1]Processed Data'!J1691</f>
        <v>15</v>
      </c>
      <c r="K840">
        <f>'[1]Processed Data'!K1691</f>
        <v>24</v>
      </c>
      <c r="L840">
        <f>'[1]Processed Data'!L1691</f>
        <v>40</v>
      </c>
      <c r="M840">
        <f>'[1]Processed Data'!M1691</f>
        <v>269</v>
      </c>
      <c r="N840">
        <f>'[1]Processed Data'!N1691</f>
        <v>0</v>
      </c>
      <c r="O840">
        <f>'[1]Processed Data'!O1691</f>
        <v>5</v>
      </c>
      <c r="P840">
        <f>'[1]Processed Data'!P1691</f>
        <v>198.8</v>
      </c>
      <c r="Q840">
        <f>'[1]Processed Data'!Q1691</f>
        <v>13</v>
      </c>
    </row>
    <row r="841" spans="2:17" hidden="1">
      <c r="B841">
        <f>'[1]Processed Data'!B1692</f>
        <v>2010</v>
      </c>
      <c r="C841">
        <f>'[1]Processed Data'!C1692</f>
        <v>9</v>
      </c>
      <c r="D841" t="str">
        <f>'[1]Processed Data'!D1692</f>
        <v>Chad Henne</v>
      </c>
      <c r="E841">
        <v>2020</v>
      </c>
      <c r="F841">
        <f>'[1]Processed Data'!F1692</f>
        <v>301</v>
      </c>
      <c r="G841">
        <f>'[1]Processed Data'!G1692</f>
        <v>490</v>
      </c>
      <c r="H841">
        <f>'[1]Processed Data'!H1692</f>
        <v>61.4</v>
      </c>
      <c r="I841">
        <f>'[1]Processed Data'!I1692</f>
        <v>15</v>
      </c>
      <c r="J841">
        <f>'[1]Processed Data'!J1692</f>
        <v>19</v>
      </c>
      <c r="K841">
        <f>'[1]Processed Data'!K1692</f>
        <v>30</v>
      </c>
      <c r="L841">
        <f>'[1]Processed Data'!L1692</f>
        <v>35</v>
      </c>
      <c r="M841">
        <f>'[1]Processed Data'!M1692</f>
        <v>52</v>
      </c>
      <c r="N841">
        <f>'[1]Processed Data'!N1692</f>
        <v>0</v>
      </c>
      <c r="O841">
        <f>'[1]Processed Data'!O1692</f>
        <v>2</v>
      </c>
      <c r="P841">
        <f>'[1]Processed Data'!P1692</f>
        <v>155.19999999999999</v>
      </c>
      <c r="Q841">
        <f>'[1]Processed Data'!Q1692</f>
        <v>15</v>
      </c>
    </row>
    <row r="842" spans="2:17" hidden="1">
      <c r="B842">
        <f>'[1]Processed Data'!B1693</f>
        <v>2010</v>
      </c>
      <c r="C842">
        <f>'[1]Processed Data'!C1693</f>
        <v>10</v>
      </c>
      <c r="D842" t="str">
        <f>'[1]Processed Data'!D1693</f>
        <v>Alex Smith</v>
      </c>
      <c r="E842">
        <v>2020</v>
      </c>
      <c r="F842">
        <f>'[1]Processed Data'!F1693</f>
        <v>204</v>
      </c>
      <c r="G842">
        <f>'[1]Processed Data'!G1693</f>
        <v>342</v>
      </c>
      <c r="H842">
        <f>'[1]Processed Data'!H1693</f>
        <v>59.6</v>
      </c>
      <c r="I842">
        <f>'[1]Processed Data'!I1693</f>
        <v>14</v>
      </c>
      <c r="J842">
        <f>'[1]Processed Data'!J1693</f>
        <v>10</v>
      </c>
      <c r="K842">
        <f>'[1]Processed Data'!K1693</f>
        <v>25</v>
      </c>
      <c r="L842">
        <f>'[1]Processed Data'!L1693</f>
        <v>18</v>
      </c>
      <c r="M842">
        <f>'[1]Processed Data'!M1693</f>
        <v>60</v>
      </c>
      <c r="N842">
        <f>'[1]Processed Data'!N1693</f>
        <v>0</v>
      </c>
      <c r="O842">
        <f>'[1]Processed Data'!O1693</f>
        <v>2</v>
      </c>
      <c r="P842">
        <f>'[1]Processed Data'!P1693</f>
        <v>132.80000000000001</v>
      </c>
      <c r="Q842">
        <f>'[1]Processed Data'!Q1693</f>
        <v>11</v>
      </c>
    </row>
    <row r="843" spans="2:17" hidden="1">
      <c r="B843">
        <f>'[1]Processed Data'!B1694</f>
        <v>2010</v>
      </c>
      <c r="C843">
        <f>'[1]Processed Data'!C1694</f>
        <v>11</v>
      </c>
      <c r="D843" t="str">
        <f>'[1]Processed Data'!D1694</f>
        <v>Colt McCoy</v>
      </c>
      <c r="E843">
        <v>2020</v>
      </c>
      <c r="F843">
        <f>'[1]Processed Data'!F1694</f>
        <v>135</v>
      </c>
      <c r="G843">
        <f>'[1]Processed Data'!G1694</f>
        <v>222</v>
      </c>
      <c r="H843">
        <f>'[1]Processed Data'!H1694</f>
        <v>60.8</v>
      </c>
      <c r="I843">
        <f>'[1]Processed Data'!I1694</f>
        <v>6</v>
      </c>
      <c r="J843">
        <f>'[1]Processed Data'!J1694</f>
        <v>9</v>
      </c>
      <c r="K843">
        <f>'[1]Processed Data'!K1694</f>
        <v>23</v>
      </c>
      <c r="L843">
        <f>'[1]Processed Data'!L1694</f>
        <v>28</v>
      </c>
      <c r="M843">
        <f>'[1]Processed Data'!M1694</f>
        <v>136</v>
      </c>
      <c r="N843">
        <f>'[1]Processed Data'!N1694</f>
        <v>1</v>
      </c>
      <c r="O843">
        <f>'[1]Processed Data'!O1694</f>
        <v>0</v>
      </c>
      <c r="P843">
        <f>'[1]Processed Data'!P1694</f>
        <v>90.5</v>
      </c>
      <c r="Q843">
        <f>'[1]Processed Data'!Q1694</f>
        <v>8</v>
      </c>
    </row>
    <row r="844" spans="2:17" hidden="1">
      <c r="B844">
        <f>'[1]Processed Data'!B1695</f>
        <v>2010</v>
      </c>
      <c r="C844">
        <f>'[1]Processed Data'!C1695</f>
        <v>12</v>
      </c>
      <c r="D844" t="str">
        <f>'[1]Processed Data'!D1695</f>
        <v>Drew Stanton</v>
      </c>
      <c r="E844">
        <v>2020</v>
      </c>
      <c r="F844">
        <f>'[1]Processed Data'!F1695</f>
        <v>69</v>
      </c>
      <c r="G844">
        <f>'[1]Processed Data'!G1695</f>
        <v>119</v>
      </c>
      <c r="H844">
        <f>'[1]Processed Data'!H1695</f>
        <v>58</v>
      </c>
      <c r="I844">
        <f>'[1]Processed Data'!I1695</f>
        <v>4</v>
      </c>
      <c r="J844">
        <f>'[1]Processed Data'!J1695</f>
        <v>3</v>
      </c>
      <c r="K844">
        <f>'[1]Processed Data'!K1695</f>
        <v>6</v>
      </c>
      <c r="L844">
        <f>'[1]Processed Data'!L1695</f>
        <v>18</v>
      </c>
      <c r="M844">
        <f>'[1]Processed Data'!M1695</f>
        <v>113</v>
      </c>
      <c r="N844">
        <f>'[1]Processed Data'!N1695</f>
        <v>1</v>
      </c>
      <c r="O844">
        <f>'[1]Processed Data'!O1695</f>
        <v>1</v>
      </c>
      <c r="P844">
        <f>'[1]Processed Data'!P1695</f>
        <v>56.5</v>
      </c>
      <c r="Q844">
        <f>'[1]Processed Data'!Q1695</f>
        <v>6</v>
      </c>
    </row>
    <row r="845" spans="2:17" hidden="1">
      <c r="B845">
        <f>'[1]Processed Data'!B1696</f>
        <v>2010</v>
      </c>
      <c r="C845">
        <f>'[1]Processed Data'!C1696</f>
        <v>13</v>
      </c>
      <c r="D845" t="str">
        <f>'[1]Processed Data'!D1696</f>
        <v>Matthew Stafford</v>
      </c>
      <c r="E845">
        <v>2020</v>
      </c>
      <c r="F845">
        <f>'[1]Processed Data'!F1696</f>
        <v>57</v>
      </c>
      <c r="G845">
        <f>'[1]Processed Data'!G1696</f>
        <v>96</v>
      </c>
      <c r="H845">
        <f>'[1]Processed Data'!H1696</f>
        <v>59.4</v>
      </c>
      <c r="I845">
        <f>'[1]Processed Data'!I1696</f>
        <v>6</v>
      </c>
      <c r="J845">
        <f>'[1]Processed Data'!J1696</f>
        <v>1</v>
      </c>
      <c r="K845">
        <f>'[1]Processed Data'!K1696</f>
        <v>4</v>
      </c>
      <c r="L845">
        <f>'[1]Processed Data'!L1696</f>
        <v>4</v>
      </c>
      <c r="M845">
        <f>'[1]Processed Data'!M1696</f>
        <v>11</v>
      </c>
      <c r="N845">
        <f>'[1]Processed Data'!N1696</f>
        <v>1</v>
      </c>
      <c r="O845">
        <f>'[1]Processed Data'!O1696</f>
        <v>1</v>
      </c>
      <c r="P845">
        <f>'[1]Processed Data'!P1696</f>
        <v>48.5</v>
      </c>
      <c r="Q845">
        <f>'[1]Processed Data'!Q1696</f>
        <v>3</v>
      </c>
    </row>
    <row r="846" spans="2:17" hidden="1">
      <c r="B846">
        <f>'[1]Processed Data'!B1697</f>
        <v>2010</v>
      </c>
      <c r="C846">
        <f>'[1]Processed Data'!C1697</f>
        <v>14</v>
      </c>
      <c r="D846" t="str">
        <f>'[1]Processed Data'!D1697</f>
        <v>Joe Webb III</v>
      </c>
      <c r="E846">
        <v>2020</v>
      </c>
      <c r="F846">
        <f>'[1]Processed Data'!F1697</f>
        <v>54</v>
      </c>
      <c r="G846">
        <f>'[1]Processed Data'!G1697</f>
        <v>89</v>
      </c>
      <c r="H846">
        <f>'[1]Processed Data'!H1697</f>
        <v>60.7</v>
      </c>
      <c r="I846">
        <f>'[1]Processed Data'!I1697</f>
        <v>0</v>
      </c>
      <c r="J846">
        <f>'[1]Processed Data'!J1697</f>
        <v>3</v>
      </c>
      <c r="K846">
        <f>'[1]Processed Data'!K1697</f>
        <v>8</v>
      </c>
      <c r="L846">
        <f>'[1]Processed Data'!L1697</f>
        <v>18</v>
      </c>
      <c r="M846">
        <f>'[1]Processed Data'!M1697</f>
        <v>120</v>
      </c>
      <c r="N846">
        <f>'[1]Processed Data'!N1697</f>
        <v>2</v>
      </c>
      <c r="O846">
        <f>'[1]Processed Data'!O1697</f>
        <v>0</v>
      </c>
      <c r="P846">
        <f>'[1]Processed Data'!P1697</f>
        <v>37.1</v>
      </c>
      <c r="Q846">
        <f>'[1]Processed Data'!Q1697</f>
        <v>5</v>
      </c>
    </row>
    <row r="847" spans="2:17" hidden="1">
      <c r="B847">
        <f>'[1]Processed Data'!B1698</f>
        <v>2010</v>
      </c>
      <c r="C847">
        <f>'[1]Processed Data'!C1698</f>
        <v>15</v>
      </c>
      <c r="D847" t="str">
        <f>'[1]Processed Data'!D1698</f>
        <v>Matt Moore</v>
      </c>
      <c r="E847">
        <v>2020</v>
      </c>
      <c r="F847">
        <f>'[1]Processed Data'!F1698</f>
        <v>79</v>
      </c>
      <c r="G847">
        <f>'[1]Processed Data'!G1698</f>
        <v>143</v>
      </c>
      <c r="H847">
        <f>'[1]Processed Data'!H1698</f>
        <v>55.2</v>
      </c>
      <c r="I847">
        <f>'[1]Processed Data'!I1698</f>
        <v>5</v>
      </c>
      <c r="J847">
        <f>'[1]Processed Data'!J1698</f>
        <v>10</v>
      </c>
      <c r="K847">
        <f>'[1]Processed Data'!K1698</f>
        <v>13</v>
      </c>
      <c r="L847">
        <f>'[1]Processed Data'!L1698</f>
        <v>5</v>
      </c>
      <c r="M847">
        <f>'[1]Processed Data'!M1698</f>
        <v>25</v>
      </c>
      <c r="N847">
        <f>'[1]Processed Data'!N1698</f>
        <v>0</v>
      </c>
      <c r="O847">
        <f>'[1]Processed Data'!O1698</f>
        <v>2</v>
      </c>
      <c r="P847">
        <f>'[1]Processed Data'!P1698</f>
        <v>32.799999999999997</v>
      </c>
      <c r="Q847">
        <f>'[1]Processed Data'!Q1698</f>
        <v>6</v>
      </c>
    </row>
    <row r="848" spans="2:17" hidden="1">
      <c r="B848">
        <f>'[1]Processed Data'!B1699</f>
        <v>2010</v>
      </c>
      <c r="C848">
        <f>'[1]Processed Data'!C1699</f>
        <v>16</v>
      </c>
      <c r="D848" t="str">
        <f>'[1]Processed Data'!D1699</f>
        <v>Josh Johnson</v>
      </c>
      <c r="E848">
        <v>2020</v>
      </c>
      <c r="F848">
        <f>'[1]Processed Data'!F1699</f>
        <v>14</v>
      </c>
      <c r="G848">
        <f>'[1]Processed Data'!G1699</f>
        <v>16</v>
      </c>
      <c r="H848">
        <f>'[1]Processed Data'!H1699</f>
        <v>87.5</v>
      </c>
      <c r="I848">
        <f>'[1]Processed Data'!I1699</f>
        <v>0</v>
      </c>
      <c r="J848">
        <f>'[1]Processed Data'!J1699</f>
        <v>0</v>
      </c>
      <c r="K848">
        <f>'[1]Processed Data'!K1699</f>
        <v>2</v>
      </c>
      <c r="L848">
        <f>'[1]Processed Data'!L1699</f>
        <v>4</v>
      </c>
      <c r="M848">
        <f>'[1]Processed Data'!M1699</f>
        <v>39</v>
      </c>
      <c r="N848">
        <f>'[1]Processed Data'!N1699</f>
        <v>0</v>
      </c>
      <c r="O848">
        <f>'[1]Processed Data'!O1699</f>
        <v>0</v>
      </c>
      <c r="P848">
        <f>'[1]Processed Data'!P1699</f>
        <v>8.4</v>
      </c>
      <c r="Q848">
        <f>'[1]Processed Data'!Q1699</f>
        <v>11</v>
      </c>
    </row>
    <row r="849" spans="2:17" hidden="1">
      <c r="B849">
        <f>'[1]Processed Data'!B1700</f>
        <v>2010</v>
      </c>
      <c r="C849">
        <f>'[1]Processed Data'!C1700</f>
        <v>17</v>
      </c>
      <c r="D849" t="str">
        <f>'[1]Processed Data'!D1700</f>
        <v>Brian Hoyer</v>
      </c>
      <c r="E849">
        <v>2020</v>
      </c>
      <c r="F849">
        <f>'[1]Processed Data'!F1700</f>
        <v>7</v>
      </c>
      <c r="G849">
        <f>'[1]Processed Data'!G1700</f>
        <v>15</v>
      </c>
      <c r="H849">
        <f>'[1]Processed Data'!H1700</f>
        <v>46.7</v>
      </c>
      <c r="I849">
        <f>'[1]Processed Data'!I1700</f>
        <v>1</v>
      </c>
      <c r="J849">
        <f>'[1]Processed Data'!J1700</f>
        <v>1</v>
      </c>
      <c r="K849">
        <f>'[1]Processed Data'!K1700</f>
        <v>0</v>
      </c>
      <c r="L849">
        <f>'[1]Processed Data'!L1700</f>
        <v>10</v>
      </c>
      <c r="M849">
        <f>'[1]Processed Data'!M1700</f>
        <v>-8</v>
      </c>
      <c r="N849">
        <f>'[1]Processed Data'!N1700</f>
        <v>0</v>
      </c>
      <c r="O849">
        <f>'[1]Processed Data'!O1700</f>
        <v>0</v>
      </c>
      <c r="P849">
        <f>'[1]Processed Data'!P1700</f>
        <v>6.1</v>
      </c>
      <c r="Q849">
        <f>'[1]Processed Data'!Q1700</f>
        <v>5</v>
      </c>
    </row>
    <row r="850" spans="2:17" hidden="1">
      <c r="B850">
        <f>'[1]Processed Data'!B1701</f>
        <v>2010</v>
      </c>
      <c r="C850">
        <f>'[1]Processed Data'!C1701</f>
        <v>18</v>
      </c>
      <c r="D850" t="str">
        <f>'[1]Processed Data'!D1701</f>
        <v>Luke McCown</v>
      </c>
      <c r="E850">
        <v>2020</v>
      </c>
      <c r="F850">
        <f>'[1]Processed Data'!F1701</f>
        <v>11</v>
      </c>
      <c r="G850">
        <f>'[1]Processed Data'!G1701</f>
        <v>19</v>
      </c>
      <c r="H850">
        <f>'[1]Processed Data'!H1701</f>
        <v>57.9</v>
      </c>
      <c r="I850">
        <f>'[1]Processed Data'!I1701</f>
        <v>0</v>
      </c>
      <c r="J850">
        <f>'[1]Processed Data'!J1701</f>
        <v>0</v>
      </c>
      <c r="K850">
        <f>'[1]Processed Data'!K1701</f>
        <v>0</v>
      </c>
      <c r="L850">
        <f>'[1]Processed Data'!L1701</f>
        <v>1</v>
      </c>
      <c r="M850">
        <f>'[1]Processed Data'!M1701</f>
        <v>4</v>
      </c>
      <c r="N850">
        <f>'[1]Processed Data'!N1701</f>
        <v>0</v>
      </c>
      <c r="O850">
        <f>'[1]Processed Data'!O1701</f>
        <v>0</v>
      </c>
      <c r="P850">
        <f>'[1]Processed Data'!P1701</f>
        <v>5.2</v>
      </c>
      <c r="Q850">
        <f>'[1]Processed Data'!Q1701</f>
        <v>1</v>
      </c>
    </row>
    <row r="851" spans="2:17" hidden="1">
      <c r="B851">
        <f>'[1]Processed Data'!B1702</f>
        <v>2010</v>
      </c>
      <c r="C851">
        <f>'[1]Processed Data'!C1702</f>
        <v>19</v>
      </c>
      <c r="D851" t="str">
        <f>'[1]Processed Data'!D1702</f>
        <v>Chase Daniel</v>
      </c>
      <c r="E851">
        <v>2020</v>
      </c>
      <c r="F851">
        <f>'[1]Processed Data'!F1702</f>
        <v>2</v>
      </c>
      <c r="G851">
        <f>'[1]Processed Data'!G1702</f>
        <v>3</v>
      </c>
      <c r="H851">
        <f>'[1]Processed Data'!H1702</f>
        <v>66.7</v>
      </c>
      <c r="I851">
        <f>'[1]Processed Data'!I1702</f>
        <v>0</v>
      </c>
      <c r="J851">
        <f>'[1]Processed Data'!J1702</f>
        <v>0</v>
      </c>
      <c r="K851">
        <f>'[1]Processed Data'!K1702</f>
        <v>1</v>
      </c>
      <c r="L851">
        <f>'[1]Processed Data'!L1702</f>
        <v>2</v>
      </c>
      <c r="M851">
        <f>'[1]Processed Data'!M1702</f>
        <v>16</v>
      </c>
      <c r="N851">
        <f>'[1]Processed Data'!N1702</f>
        <v>0</v>
      </c>
      <c r="O851">
        <f>'[1]Processed Data'!O1702</f>
        <v>0</v>
      </c>
      <c r="P851">
        <f>'[1]Processed Data'!P1702</f>
        <v>2.2000000000000002</v>
      </c>
      <c r="Q851">
        <f>'[1]Processed Data'!Q1702</f>
        <v>13</v>
      </c>
    </row>
    <row r="852" spans="2:17" hidden="1">
      <c r="B852">
        <f>'[1]Processed Data'!B1755</f>
        <v>2010</v>
      </c>
      <c r="C852">
        <f>'[1]Processed Data'!C1755</f>
        <v>72</v>
      </c>
      <c r="D852" t="str">
        <f>'[1]Processed Data'!D1755</f>
        <v>Rusty Smith</v>
      </c>
      <c r="E852">
        <v>2020</v>
      </c>
      <c r="F852">
        <f>'[1]Processed Data'!F1755</f>
        <v>20</v>
      </c>
      <c r="G852">
        <f>'[1]Processed Data'!G1755</f>
        <v>40</v>
      </c>
      <c r="H852">
        <f>'[1]Processed Data'!H1755</f>
        <v>50</v>
      </c>
      <c r="I852">
        <f>'[1]Processed Data'!I1755</f>
        <v>0</v>
      </c>
      <c r="J852">
        <f>'[1]Processed Data'!J1755</f>
        <v>4</v>
      </c>
      <c r="K852">
        <f>'[1]Processed Data'!K1755</f>
        <v>1</v>
      </c>
      <c r="L852">
        <f>'[1]Processed Data'!L1755</f>
        <v>0</v>
      </c>
      <c r="M852">
        <f>'[1]Processed Data'!M1755</f>
        <v>0</v>
      </c>
      <c r="N852">
        <f>'[1]Processed Data'!N1755</f>
        <v>0</v>
      </c>
      <c r="O852">
        <f>'[1]Processed Data'!O1755</f>
        <v>0</v>
      </c>
      <c r="P852">
        <f>'[1]Processed Data'!P1755</f>
        <v>0</v>
      </c>
      <c r="Q852">
        <f>'[1]Processed Data'!Q1755</f>
        <v>2</v>
      </c>
    </row>
    <row r="853" spans="2:17" hidden="1">
      <c r="B853">
        <f>'[1]Processed Data'!B1762</f>
        <v>2010</v>
      </c>
      <c r="C853">
        <f>'[1]Processed Data'!C1762</f>
        <v>79</v>
      </c>
      <c r="D853" t="str">
        <f>'[1]Processed Data'!D1762</f>
        <v>Stephen McGee</v>
      </c>
      <c r="E853">
        <v>2020</v>
      </c>
      <c r="F853">
        <f>'[1]Processed Data'!F1762</f>
        <v>22</v>
      </c>
      <c r="G853">
        <f>'[1]Processed Data'!G1762</f>
        <v>44</v>
      </c>
      <c r="H853">
        <f>'[1]Processed Data'!H1762</f>
        <v>50</v>
      </c>
      <c r="I853">
        <f>'[1]Processed Data'!I1762</f>
        <v>2</v>
      </c>
      <c r="J853">
        <f>'[1]Processed Data'!J1762</f>
        <v>0</v>
      </c>
      <c r="K853">
        <f>'[1]Processed Data'!K1762</f>
        <v>3</v>
      </c>
      <c r="L853">
        <f>'[1]Processed Data'!L1762</f>
        <v>13</v>
      </c>
      <c r="M853">
        <f>'[1]Processed Data'!M1762</f>
        <v>74</v>
      </c>
      <c r="N853">
        <f>'[1]Processed Data'!N1762</f>
        <v>0</v>
      </c>
      <c r="O853">
        <f>'[1]Processed Data'!O1762</f>
        <v>0</v>
      </c>
      <c r="P853">
        <f>'[1]Processed Data'!P1762</f>
        <v>0</v>
      </c>
      <c r="Q853">
        <f>'[1]Processed Data'!Q1762</f>
        <v>2</v>
      </c>
    </row>
    <row r="854" spans="2:17" hidden="1">
      <c r="B854">
        <f>'[1]Processed Data'!B1764</f>
        <v>2010</v>
      </c>
      <c r="C854">
        <f>'[1]Processed Data'!C1764</f>
        <v>81</v>
      </c>
      <c r="D854" t="str">
        <f>'[1]Processed Data'!D1764</f>
        <v>Levi Brown</v>
      </c>
      <c r="E854">
        <v>2020</v>
      </c>
      <c r="F854">
        <f>'[1]Processed Data'!F1764</f>
        <v>0</v>
      </c>
      <c r="G854">
        <f>'[1]Processed Data'!G1764</f>
        <v>0</v>
      </c>
      <c r="H854">
        <f>'[1]Processed Data'!H1764</f>
        <v>0</v>
      </c>
      <c r="I854">
        <f>'[1]Processed Data'!I1764</f>
        <v>0</v>
      </c>
      <c r="J854">
        <f>'[1]Processed Data'!J1764</f>
        <v>0</v>
      </c>
      <c r="K854">
        <f>'[1]Processed Data'!K1764</f>
        <v>0</v>
      </c>
      <c r="L854">
        <f>'[1]Processed Data'!L1764</f>
        <v>0</v>
      </c>
      <c r="M854">
        <f>'[1]Processed Data'!M1764</f>
        <v>0</v>
      </c>
      <c r="N854">
        <f>'[1]Processed Data'!N1764</f>
        <v>0</v>
      </c>
      <c r="O854">
        <f>'[1]Processed Data'!O1764</f>
        <v>0</v>
      </c>
      <c r="P854">
        <f>'[1]Processed Data'!P1764</f>
        <v>0</v>
      </c>
      <c r="Q854">
        <f>'[1]Processed Data'!Q1764</f>
        <v>16</v>
      </c>
    </row>
    <row r="855" spans="2:17" hidden="1">
      <c r="B855">
        <f>'[1]Processed Data'!B1772</f>
        <v>2010</v>
      </c>
      <c r="C855">
        <f>'[1]Processed Data'!C1772</f>
        <v>89</v>
      </c>
      <c r="D855" t="str">
        <f>'[1]Processed Data'!D1772</f>
        <v>Jordan Palmer</v>
      </c>
      <c r="E855">
        <v>2020</v>
      </c>
      <c r="F855">
        <f>'[1]Processed Data'!F1772</f>
        <v>3</v>
      </c>
      <c r="G855">
        <f>'[1]Processed Data'!G1772</f>
        <v>3</v>
      </c>
      <c r="H855">
        <f>'[1]Processed Data'!H1772</f>
        <v>100</v>
      </c>
      <c r="I855">
        <f>'[1]Processed Data'!I1772</f>
        <v>0</v>
      </c>
      <c r="J855">
        <f>'[1]Processed Data'!J1772</f>
        <v>0</v>
      </c>
      <c r="K855">
        <f>'[1]Processed Data'!K1772</f>
        <v>2</v>
      </c>
      <c r="L855">
        <f>'[1]Processed Data'!L1772</f>
        <v>0</v>
      </c>
      <c r="M855">
        <f>'[1]Processed Data'!M1772</f>
        <v>0</v>
      </c>
      <c r="N855">
        <f>'[1]Processed Data'!N1772</f>
        <v>0</v>
      </c>
      <c r="O855">
        <f>'[1]Processed Data'!O1772</f>
        <v>0</v>
      </c>
      <c r="P855">
        <f>'[1]Processed Data'!P1772</f>
        <v>0</v>
      </c>
      <c r="Q855">
        <f>'[1]Processed Data'!Q1772</f>
        <v>1</v>
      </c>
    </row>
    <row r="856" spans="2:17" hidden="1">
      <c r="B856">
        <f>'[1]Processed Data'!B1773</f>
        <v>2010</v>
      </c>
      <c r="C856">
        <f>'[1]Processed Data'!C1773</f>
        <v>90</v>
      </c>
      <c r="D856" t="str">
        <f>'[1]Processed Data'!D1773</f>
        <v>David Carr</v>
      </c>
      <c r="E856">
        <v>2020</v>
      </c>
      <c r="F856">
        <f>'[1]Processed Data'!F1773</f>
        <v>5</v>
      </c>
      <c r="G856">
        <f>'[1]Processed Data'!G1773</f>
        <v>13</v>
      </c>
      <c r="H856">
        <f>'[1]Processed Data'!H1773</f>
        <v>38.5</v>
      </c>
      <c r="I856">
        <f>'[1]Processed Data'!I1773</f>
        <v>0</v>
      </c>
      <c r="J856">
        <f>'[1]Processed Data'!J1773</f>
        <v>1</v>
      </c>
      <c r="K856">
        <f>'[1]Processed Data'!K1773</f>
        <v>1</v>
      </c>
      <c r="L856">
        <f>'[1]Processed Data'!L1773</f>
        <v>0</v>
      </c>
      <c r="M856">
        <f>'[1]Processed Data'!M1773</f>
        <v>0</v>
      </c>
      <c r="N856">
        <f>'[1]Processed Data'!N1773</f>
        <v>0</v>
      </c>
      <c r="O856">
        <f>'[1]Processed Data'!O1773</f>
        <v>0</v>
      </c>
      <c r="P856">
        <f>'[1]Processed Data'!P1773</f>
        <v>0</v>
      </c>
      <c r="Q856">
        <f>'[1]Processed Data'!Q1773</f>
        <v>1</v>
      </c>
    </row>
    <row r="857" spans="2:17" hidden="1">
      <c r="B857">
        <f>'[1]Processed Data'!B1774</f>
        <v>2010</v>
      </c>
      <c r="C857">
        <f>'[1]Processed Data'!C1774</f>
        <v>91</v>
      </c>
      <c r="D857" t="str">
        <f>'[1]Processed Data'!D1774</f>
        <v>Dennis Dixon</v>
      </c>
      <c r="E857">
        <v>2020</v>
      </c>
      <c r="F857">
        <f>'[1]Processed Data'!F1774</f>
        <v>22</v>
      </c>
      <c r="G857">
        <f>'[1]Processed Data'!G1774</f>
        <v>32</v>
      </c>
      <c r="H857">
        <f>'[1]Processed Data'!H1774</f>
        <v>68.8</v>
      </c>
      <c r="I857">
        <f>'[1]Processed Data'!I1774</f>
        <v>0</v>
      </c>
      <c r="J857">
        <f>'[1]Processed Data'!J1774</f>
        <v>1</v>
      </c>
      <c r="K857">
        <f>'[1]Processed Data'!K1774</f>
        <v>5</v>
      </c>
      <c r="L857">
        <f>'[1]Processed Data'!L1774</f>
        <v>5</v>
      </c>
      <c r="M857">
        <f>'[1]Processed Data'!M1774</f>
        <v>32</v>
      </c>
      <c r="N857">
        <f>'[1]Processed Data'!N1774</f>
        <v>0</v>
      </c>
      <c r="O857">
        <f>'[1]Processed Data'!O1774</f>
        <v>1</v>
      </c>
      <c r="P857">
        <f>'[1]Processed Data'!P1774</f>
        <v>0</v>
      </c>
      <c r="Q857">
        <f>'[1]Processed Data'!Q1774</f>
        <v>2</v>
      </c>
    </row>
    <row r="858" spans="2:17" hidden="1">
      <c r="B858">
        <f>'[1]Processed Data'!B1775</f>
        <v>2010</v>
      </c>
      <c r="C858">
        <f>'[1]Processed Data'!C1775</f>
        <v>92</v>
      </c>
      <c r="D858" t="str">
        <f>'[1]Processed Data'!D1775</f>
        <v>Derek Anderson</v>
      </c>
      <c r="E858">
        <v>2020</v>
      </c>
      <c r="F858">
        <f>'[1]Processed Data'!F1775</f>
        <v>169</v>
      </c>
      <c r="G858">
        <f>'[1]Processed Data'!G1775</f>
        <v>327</v>
      </c>
      <c r="H858">
        <f>'[1]Processed Data'!H1775</f>
        <v>51.7</v>
      </c>
      <c r="I858">
        <f>'[1]Processed Data'!I1775</f>
        <v>7</v>
      </c>
      <c r="J858">
        <f>'[1]Processed Data'!J1775</f>
        <v>10</v>
      </c>
      <c r="K858">
        <f>'[1]Processed Data'!K1775</f>
        <v>25</v>
      </c>
      <c r="L858">
        <f>'[1]Processed Data'!L1775</f>
        <v>5</v>
      </c>
      <c r="M858">
        <f>'[1]Processed Data'!M1775</f>
        <v>25</v>
      </c>
      <c r="N858">
        <f>'[1]Processed Data'!N1775</f>
        <v>0</v>
      </c>
      <c r="O858">
        <f>'[1]Processed Data'!O1775</f>
        <v>3</v>
      </c>
      <c r="P858">
        <f>'[1]Processed Data'!P1775</f>
        <v>0</v>
      </c>
      <c r="Q858">
        <f>'[1]Processed Data'!Q1775</f>
        <v>12</v>
      </c>
    </row>
    <row r="859" spans="2:17" hidden="1">
      <c r="B859">
        <f>'[1]Processed Data'!B1776</f>
        <v>2010</v>
      </c>
      <c r="C859">
        <f>'[1]Processed Data'!C1776</f>
        <v>93</v>
      </c>
      <c r="D859" t="str">
        <f>'[1]Processed Data'!D1776</f>
        <v>Eli Manning</v>
      </c>
      <c r="E859">
        <v>2020</v>
      </c>
      <c r="F859">
        <f>'[1]Processed Data'!F1776</f>
        <v>339</v>
      </c>
      <c r="G859">
        <f>'[1]Processed Data'!G1776</f>
        <v>539</v>
      </c>
      <c r="H859">
        <f>'[1]Processed Data'!H1776</f>
        <v>62.9</v>
      </c>
      <c r="I859">
        <f>'[1]Processed Data'!I1776</f>
        <v>31</v>
      </c>
      <c r="J859">
        <f>'[1]Processed Data'!J1776</f>
        <v>25</v>
      </c>
      <c r="K859">
        <f>'[1]Processed Data'!K1776</f>
        <v>16</v>
      </c>
      <c r="L859">
        <f>'[1]Processed Data'!L1776</f>
        <v>32</v>
      </c>
      <c r="M859">
        <f>'[1]Processed Data'!M1776</f>
        <v>70</v>
      </c>
      <c r="N859">
        <f>'[1]Processed Data'!N1776</f>
        <v>0</v>
      </c>
      <c r="O859">
        <f>'[1]Processed Data'!O1776</f>
        <v>5</v>
      </c>
      <c r="P859">
        <f>'[1]Processed Data'!P1776</f>
        <v>0</v>
      </c>
      <c r="Q859">
        <f>'[1]Processed Data'!Q1776</f>
        <v>16</v>
      </c>
    </row>
    <row r="860" spans="2:17" hidden="1">
      <c r="B860">
        <f>'[1]Processed Data'!B1777</f>
        <v>2010</v>
      </c>
      <c r="C860">
        <f>'[1]Processed Data'!C1777</f>
        <v>94</v>
      </c>
      <c r="D860" t="str">
        <f>'[1]Processed Data'!D1777</f>
        <v>Jason Campbell</v>
      </c>
      <c r="E860">
        <v>2020</v>
      </c>
      <c r="F860">
        <f>'[1]Processed Data'!F1777</f>
        <v>194</v>
      </c>
      <c r="G860">
        <f>'[1]Processed Data'!G1777</f>
        <v>329</v>
      </c>
      <c r="H860">
        <f>'[1]Processed Data'!H1777</f>
        <v>59</v>
      </c>
      <c r="I860">
        <f>'[1]Processed Data'!I1777</f>
        <v>13</v>
      </c>
      <c r="J860">
        <f>'[1]Processed Data'!J1777</f>
        <v>8</v>
      </c>
      <c r="K860">
        <f>'[1]Processed Data'!K1777</f>
        <v>33</v>
      </c>
      <c r="L860">
        <f>'[1]Processed Data'!L1777</f>
        <v>47</v>
      </c>
      <c r="M860">
        <f>'[1]Processed Data'!M1777</f>
        <v>222</v>
      </c>
      <c r="N860">
        <f>'[1]Processed Data'!N1777</f>
        <v>1</v>
      </c>
      <c r="O860">
        <f>'[1]Processed Data'!O1777</f>
        <v>1</v>
      </c>
      <c r="P860">
        <f>'[1]Processed Data'!P1777</f>
        <v>0</v>
      </c>
      <c r="Q860">
        <f>'[1]Processed Data'!Q1777</f>
        <v>13</v>
      </c>
    </row>
    <row r="861" spans="2:17" hidden="1">
      <c r="B861">
        <f>'[1]Processed Data'!B1778</f>
        <v>2010</v>
      </c>
      <c r="C861">
        <f>'[1]Processed Data'!C1778</f>
        <v>95</v>
      </c>
      <c r="D861" t="str">
        <f>'[1]Processed Data'!D1778</f>
        <v>Jay Cutler</v>
      </c>
      <c r="E861">
        <v>2020</v>
      </c>
      <c r="F861">
        <f>'[1]Processed Data'!F1778</f>
        <v>261</v>
      </c>
      <c r="G861">
        <f>'[1]Processed Data'!G1778</f>
        <v>432</v>
      </c>
      <c r="H861">
        <f>'[1]Processed Data'!H1778</f>
        <v>60.4</v>
      </c>
      <c r="I861">
        <f>'[1]Processed Data'!I1778</f>
        <v>23</v>
      </c>
      <c r="J861">
        <f>'[1]Processed Data'!J1778</f>
        <v>16</v>
      </c>
      <c r="K861">
        <f>'[1]Processed Data'!K1778</f>
        <v>52</v>
      </c>
      <c r="L861">
        <f>'[1]Processed Data'!L1778</f>
        <v>50</v>
      </c>
      <c r="M861">
        <f>'[1]Processed Data'!M1778</f>
        <v>232</v>
      </c>
      <c r="N861">
        <f>'[1]Processed Data'!N1778</f>
        <v>1</v>
      </c>
      <c r="O861">
        <f>'[1]Processed Data'!O1778</f>
        <v>6</v>
      </c>
      <c r="P861">
        <f>'[1]Processed Data'!P1778</f>
        <v>0</v>
      </c>
      <c r="Q861">
        <f>'[1]Processed Data'!Q1778</f>
        <v>15</v>
      </c>
    </row>
    <row r="862" spans="2:17" hidden="1">
      <c r="B862">
        <f>'[1]Processed Data'!B1779</f>
        <v>2010</v>
      </c>
      <c r="C862">
        <f>'[1]Processed Data'!C1779</f>
        <v>96</v>
      </c>
      <c r="D862" t="str">
        <f>'[1]Processed Data'!D1779</f>
        <v>Josh Freeman</v>
      </c>
      <c r="E862">
        <v>2020</v>
      </c>
      <c r="F862">
        <f>'[1]Processed Data'!F1779</f>
        <v>291</v>
      </c>
      <c r="G862">
        <f>'[1]Processed Data'!G1779</f>
        <v>474</v>
      </c>
      <c r="H862">
        <f>'[1]Processed Data'!H1779</f>
        <v>61.4</v>
      </c>
      <c r="I862">
        <f>'[1]Processed Data'!I1779</f>
        <v>25</v>
      </c>
      <c r="J862">
        <f>'[1]Processed Data'!J1779</f>
        <v>6</v>
      </c>
      <c r="K862">
        <f>'[1]Processed Data'!K1779</f>
        <v>28</v>
      </c>
      <c r="L862">
        <f>'[1]Processed Data'!L1779</f>
        <v>68</v>
      </c>
      <c r="M862">
        <f>'[1]Processed Data'!M1779</f>
        <v>364</v>
      </c>
      <c r="N862">
        <f>'[1]Processed Data'!N1779</f>
        <v>0</v>
      </c>
      <c r="O862">
        <f>'[1]Processed Data'!O1779</f>
        <v>3</v>
      </c>
      <c r="P862">
        <f>'[1]Processed Data'!P1779</f>
        <v>0</v>
      </c>
      <c r="Q862">
        <f>'[1]Processed Data'!Q1779</f>
        <v>16</v>
      </c>
    </row>
    <row r="863" spans="2:17" hidden="1">
      <c r="B863">
        <f>'[1]Processed Data'!B1780</f>
        <v>2010</v>
      </c>
      <c r="C863">
        <f>'[1]Processed Data'!C1780</f>
        <v>97</v>
      </c>
      <c r="D863" t="str">
        <f>'[1]Processed Data'!D1780</f>
        <v>Kellen Clemens</v>
      </c>
      <c r="E863">
        <v>2020</v>
      </c>
      <c r="F863">
        <f>'[1]Processed Data'!F1780</f>
        <v>1</v>
      </c>
      <c r="G863">
        <f>'[1]Processed Data'!G1780</f>
        <v>2</v>
      </c>
      <c r="H863">
        <f>'[1]Processed Data'!H1780</f>
        <v>50</v>
      </c>
      <c r="I863">
        <f>'[1]Processed Data'!I1780</f>
        <v>0</v>
      </c>
      <c r="J863">
        <f>'[1]Processed Data'!J1780</f>
        <v>0</v>
      </c>
      <c r="K863">
        <f>'[1]Processed Data'!K1780</f>
        <v>0</v>
      </c>
      <c r="L863">
        <f>'[1]Processed Data'!L1780</f>
        <v>2</v>
      </c>
      <c r="M863">
        <f>'[1]Processed Data'!M1780</f>
        <v>9</v>
      </c>
      <c r="N863">
        <f>'[1]Processed Data'!N1780</f>
        <v>1</v>
      </c>
      <c r="O863">
        <f>'[1]Processed Data'!O1780</f>
        <v>0</v>
      </c>
      <c r="P863">
        <f>'[1]Processed Data'!P1780</f>
        <v>0</v>
      </c>
      <c r="Q863">
        <f>'[1]Processed Data'!Q1780</f>
        <v>1</v>
      </c>
    </row>
    <row r="864" spans="2:17" hidden="1">
      <c r="B864">
        <f>'[1]Processed Data'!B1783</f>
        <v>2010</v>
      </c>
      <c r="C864">
        <f>'[1]Processed Data'!C1783</f>
        <v>100</v>
      </c>
      <c r="D864" t="str">
        <f>'[1]Processed Data'!D1783</f>
        <v>Bruce Gradkowski</v>
      </c>
      <c r="E864">
        <v>2020</v>
      </c>
      <c r="F864">
        <f>'[1]Processed Data'!F1783</f>
        <v>83</v>
      </c>
      <c r="G864">
        <f>'[1]Processed Data'!G1783</f>
        <v>157</v>
      </c>
      <c r="H864">
        <f>'[1]Processed Data'!H1783</f>
        <v>52.9</v>
      </c>
      <c r="I864">
        <f>'[1]Processed Data'!I1783</f>
        <v>5</v>
      </c>
      <c r="J864">
        <f>'[1]Processed Data'!J1783</f>
        <v>7</v>
      </c>
      <c r="K864">
        <f>'[1]Processed Data'!K1783</f>
        <v>10</v>
      </c>
      <c r="L864">
        <f>'[1]Processed Data'!L1783</f>
        <v>12</v>
      </c>
      <c r="M864">
        <f>'[1]Processed Data'!M1783</f>
        <v>41</v>
      </c>
      <c r="N864">
        <f>'[1]Processed Data'!N1783</f>
        <v>0</v>
      </c>
      <c r="O864">
        <f>'[1]Processed Data'!O1783</f>
        <v>1</v>
      </c>
      <c r="P864">
        <f>'[1]Processed Data'!P1783</f>
        <v>0</v>
      </c>
      <c r="Q864">
        <f>'[1]Processed Data'!Q1783</f>
        <v>6</v>
      </c>
    </row>
    <row r="865" spans="2:17" hidden="1">
      <c r="B865">
        <f>'[1]Processed Data'!B1784</f>
        <v>2010</v>
      </c>
      <c r="C865">
        <f>'[1]Processed Data'!C1784</f>
        <v>101</v>
      </c>
      <c r="D865" t="str">
        <f>'[1]Processed Data'!D1784</f>
        <v>Caleb Hanie</v>
      </c>
      <c r="E865">
        <v>2020</v>
      </c>
      <c r="F865">
        <f>'[1]Processed Data'!F1784</f>
        <v>5</v>
      </c>
      <c r="G865">
        <f>'[1]Processed Data'!G1784</f>
        <v>7</v>
      </c>
      <c r="H865">
        <f>'[1]Processed Data'!H1784</f>
        <v>71.400000000000006</v>
      </c>
      <c r="I865">
        <f>'[1]Processed Data'!I1784</f>
        <v>0</v>
      </c>
      <c r="J865">
        <f>'[1]Processed Data'!J1784</f>
        <v>0</v>
      </c>
      <c r="K865">
        <f>'[1]Processed Data'!K1784</f>
        <v>2</v>
      </c>
      <c r="L865">
        <f>'[1]Processed Data'!L1784</f>
        <v>1</v>
      </c>
      <c r="M865">
        <f>'[1]Processed Data'!M1784</f>
        <v>-1</v>
      </c>
      <c r="N865">
        <f>'[1]Processed Data'!N1784</f>
        <v>0</v>
      </c>
      <c r="O865">
        <f>'[1]Processed Data'!O1784</f>
        <v>0</v>
      </c>
      <c r="P865">
        <f>'[1]Processed Data'!P1784</f>
        <v>0</v>
      </c>
      <c r="Q865">
        <f>'[1]Processed Data'!Q1784</f>
        <v>2</v>
      </c>
    </row>
    <row r="866" spans="2:17" hidden="1">
      <c r="B866">
        <f>'[1]Processed Data'!B1785</f>
        <v>2010</v>
      </c>
      <c r="C866">
        <f>'[1]Processed Data'!C1785</f>
        <v>102</v>
      </c>
      <c r="D866" t="str">
        <f>'[1]Processed Data'!D1785</f>
        <v>Carson Palmer</v>
      </c>
      <c r="E866">
        <v>2020</v>
      </c>
      <c r="F866">
        <f>'[1]Processed Data'!F1785</f>
        <v>362</v>
      </c>
      <c r="G866">
        <f>'[1]Processed Data'!G1785</f>
        <v>586</v>
      </c>
      <c r="H866">
        <f>'[1]Processed Data'!H1785</f>
        <v>61.8</v>
      </c>
      <c r="I866">
        <f>'[1]Processed Data'!I1785</f>
        <v>26</v>
      </c>
      <c r="J866">
        <f>'[1]Processed Data'!J1785</f>
        <v>20</v>
      </c>
      <c r="K866">
        <f>'[1]Processed Data'!K1785</f>
        <v>26</v>
      </c>
      <c r="L866">
        <f>'[1]Processed Data'!L1785</f>
        <v>32</v>
      </c>
      <c r="M866">
        <f>'[1]Processed Data'!M1785</f>
        <v>50</v>
      </c>
      <c r="N866">
        <f>'[1]Processed Data'!N1785</f>
        <v>0</v>
      </c>
      <c r="O866">
        <f>'[1]Processed Data'!O1785</f>
        <v>3</v>
      </c>
      <c r="P866">
        <f>'[1]Processed Data'!P1785</f>
        <v>0</v>
      </c>
      <c r="Q866">
        <f>'[1]Processed Data'!Q1785</f>
        <v>16</v>
      </c>
    </row>
    <row r="867" spans="2:17" hidden="1">
      <c r="B867">
        <f>'[1]Processed Data'!B1787</f>
        <v>2010</v>
      </c>
      <c r="C867">
        <f>'[1]Processed Data'!C1787</f>
        <v>104</v>
      </c>
      <c r="D867" t="str">
        <f>'[1]Processed Data'!D1787</f>
        <v>Sam Bradford</v>
      </c>
      <c r="E867">
        <v>2020</v>
      </c>
      <c r="F867">
        <f>'[1]Processed Data'!F1787</f>
        <v>354</v>
      </c>
      <c r="G867">
        <f>'[1]Processed Data'!G1787</f>
        <v>590</v>
      </c>
      <c r="H867">
        <f>'[1]Processed Data'!H1787</f>
        <v>60</v>
      </c>
      <c r="I867">
        <f>'[1]Processed Data'!I1787</f>
        <v>18</v>
      </c>
      <c r="J867">
        <f>'[1]Processed Data'!J1787</f>
        <v>15</v>
      </c>
      <c r="K867">
        <f>'[1]Processed Data'!K1787</f>
        <v>34</v>
      </c>
      <c r="L867">
        <f>'[1]Processed Data'!L1787</f>
        <v>27</v>
      </c>
      <c r="M867">
        <f>'[1]Processed Data'!M1787</f>
        <v>63</v>
      </c>
      <c r="N867">
        <f>'[1]Processed Data'!N1787</f>
        <v>1</v>
      </c>
      <c r="O867">
        <f>'[1]Processed Data'!O1787</f>
        <v>2</v>
      </c>
      <c r="P867">
        <f>'[1]Processed Data'!P1787</f>
        <v>0</v>
      </c>
      <c r="Q867">
        <f>'[1]Processed Data'!Q1787</f>
        <v>16</v>
      </c>
    </row>
    <row r="868" spans="2:17" hidden="1">
      <c r="B868">
        <f>'[1]Processed Data'!B1788</f>
        <v>2010</v>
      </c>
      <c r="C868">
        <f>'[1]Processed Data'!C1788</f>
        <v>105</v>
      </c>
      <c r="D868" t="str">
        <f>'[1]Processed Data'!D1788</f>
        <v>Tony Romo</v>
      </c>
      <c r="E868">
        <v>2020</v>
      </c>
      <c r="F868">
        <f>'[1]Processed Data'!F1788</f>
        <v>148</v>
      </c>
      <c r="G868">
        <f>'[1]Processed Data'!G1788</f>
        <v>213</v>
      </c>
      <c r="H868">
        <f>'[1]Processed Data'!H1788</f>
        <v>69.5</v>
      </c>
      <c r="I868">
        <f>'[1]Processed Data'!I1788</f>
        <v>11</v>
      </c>
      <c r="J868">
        <f>'[1]Processed Data'!J1788</f>
        <v>7</v>
      </c>
      <c r="K868">
        <f>'[1]Processed Data'!K1788</f>
        <v>7</v>
      </c>
      <c r="L868">
        <f>'[1]Processed Data'!L1788</f>
        <v>6</v>
      </c>
      <c r="M868">
        <f>'[1]Processed Data'!M1788</f>
        <v>38</v>
      </c>
      <c r="N868">
        <f>'[1]Processed Data'!N1788</f>
        <v>0</v>
      </c>
      <c r="O868">
        <f>'[1]Processed Data'!O1788</f>
        <v>0</v>
      </c>
      <c r="P868">
        <f>'[1]Processed Data'!P1788</f>
        <v>0</v>
      </c>
      <c r="Q868">
        <f>'[1]Processed Data'!Q1788</f>
        <v>6</v>
      </c>
    </row>
    <row r="869" spans="2:17" hidden="1">
      <c r="B869">
        <f>'[1]Processed Data'!B1789</f>
        <v>2010</v>
      </c>
      <c r="C869">
        <f>'[1]Processed Data'!C1789</f>
        <v>106</v>
      </c>
      <c r="D869" t="str">
        <f>'[1]Processed Data'!D1789</f>
        <v>Trent Edwards</v>
      </c>
      <c r="E869">
        <v>2020</v>
      </c>
      <c r="F869">
        <f>'[1]Processed Data'!F1789</f>
        <v>55</v>
      </c>
      <c r="G869">
        <f>'[1]Processed Data'!G1789</f>
        <v>101</v>
      </c>
      <c r="H869">
        <f>'[1]Processed Data'!H1789</f>
        <v>54.5</v>
      </c>
      <c r="I869">
        <f>'[1]Processed Data'!I1789</f>
        <v>2</v>
      </c>
      <c r="J869">
        <f>'[1]Processed Data'!J1789</f>
        <v>5</v>
      </c>
      <c r="K869">
        <f>'[1]Processed Data'!K1789</f>
        <v>11</v>
      </c>
      <c r="L869">
        <f>'[1]Processed Data'!L1789</f>
        <v>14</v>
      </c>
      <c r="M869">
        <f>'[1]Processed Data'!M1789</f>
        <v>58</v>
      </c>
      <c r="N869">
        <f>'[1]Processed Data'!N1789</f>
        <v>0</v>
      </c>
      <c r="O869">
        <f>'[1]Processed Data'!O1789</f>
        <v>0</v>
      </c>
      <c r="P869">
        <f>'[1]Processed Data'!P1789</f>
        <v>0</v>
      </c>
      <c r="Q869">
        <f>'[1]Processed Data'!Q1789</f>
        <v>5</v>
      </c>
    </row>
    <row r="870" spans="2:17" hidden="1">
      <c r="B870">
        <f>'[1]Processed Data'!B1790</f>
        <v>2010</v>
      </c>
      <c r="C870">
        <f>'[1]Processed Data'!C1790</f>
        <v>107</v>
      </c>
      <c r="D870" t="str">
        <f>'[1]Processed Data'!D1790</f>
        <v>Tyler Thigpen</v>
      </c>
      <c r="E870">
        <v>2020</v>
      </c>
      <c r="F870">
        <f>'[1]Processed Data'!F1790</f>
        <v>33</v>
      </c>
      <c r="G870">
        <f>'[1]Processed Data'!G1790</f>
        <v>62</v>
      </c>
      <c r="H870">
        <f>'[1]Processed Data'!H1790</f>
        <v>53.2</v>
      </c>
      <c r="I870">
        <f>'[1]Processed Data'!I1790</f>
        <v>2</v>
      </c>
      <c r="J870">
        <f>'[1]Processed Data'!J1790</f>
        <v>2</v>
      </c>
      <c r="K870">
        <f>'[1]Processed Data'!K1790</f>
        <v>8</v>
      </c>
      <c r="L870">
        <f>'[1]Processed Data'!L1790</f>
        <v>13</v>
      </c>
      <c r="M870">
        <f>'[1]Processed Data'!M1790</f>
        <v>73</v>
      </c>
      <c r="N870">
        <f>'[1]Processed Data'!N1790</f>
        <v>0</v>
      </c>
      <c r="O870">
        <f>'[1]Processed Data'!O1790</f>
        <v>0</v>
      </c>
      <c r="P870">
        <f>'[1]Processed Data'!P1790</f>
        <v>0</v>
      </c>
      <c r="Q870">
        <f>'[1]Processed Data'!Q1790</f>
        <v>5</v>
      </c>
    </row>
    <row r="871" spans="2:17" hidden="1">
      <c r="B871">
        <f>'[1]Processed Data'!B1791</f>
        <v>2010</v>
      </c>
      <c r="C871">
        <f>'[1]Processed Data'!C1791</f>
        <v>108</v>
      </c>
      <c r="D871" t="str">
        <f>'[1]Processed Data'!D1791</f>
        <v>Jimmy Clausen</v>
      </c>
      <c r="E871">
        <v>2020</v>
      </c>
      <c r="F871">
        <f>'[1]Processed Data'!F1791</f>
        <v>157</v>
      </c>
      <c r="G871">
        <f>'[1]Processed Data'!G1791</f>
        <v>299</v>
      </c>
      <c r="H871">
        <f>'[1]Processed Data'!H1791</f>
        <v>52.5</v>
      </c>
      <c r="I871">
        <f>'[1]Processed Data'!I1791</f>
        <v>3</v>
      </c>
      <c r="J871">
        <f>'[1]Processed Data'!J1791</f>
        <v>9</v>
      </c>
      <c r="K871">
        <f>'[1]Processed Data'!K1791</f>
        <v>33</v>
      </c>
      <c r="L871">
        <f>'[1]Processed Data'!L1791</f>
        <v>23</v>
      </c>
      <c r="M871">
        <f>'[1]Processed Data'!M1791</f>
        <v>57</v>
      </c>
      <c r="N871">
        <f>'[1]Processed Data'!N1791</f>
        <v>0</v>
      </c>
      <c r="O871">
        <f>'[1]Processed Data'!O1791</f>
        <v>2</v>
      </c>
      <c r="P871">
        <f>'[1]Processed Data'!P1791</f>
        <v>0</v>
      </c>
      <c r="Q871">
        <f>'[1]Processed Data'!Q1791</f>
        <v>13</v>
      </c>
    </row>
    <row r="872" spans="2:17" hidden="1">
      <c r="B872">
        <f>'[1]Processed Data'!B1792</f>
        <v>2010</v>
      </c>
      <c r="C872">
        <f>'[1]Processed Data'!C1792</f>
        <v>109</v>
      </c>
      <c r="D872" t="str">
        <f>'[1]Processed Data'!D1792</f>
        <v>Shaun Hill</v>
      </c>
      <c r="E872">
        <v>2020</v>
      </c>
      <c r="F872">
        <f>'[1]Processed Data'!F1792</f>
        <v>257</v>
      </c>
      <c r="G872">
        <f>'[1]Processed Data'!G1792</f>
        <v>416</v>
      </c>
      <c r="H872">
        <f>'[1]Processed Data'!H1792</f>
        <v>61.8</v>
      </c>
      <c r="I872">
        <f>'[1]Processed Data'!I1792</f>
        <v>16</v>
      </c>
      <c r="J872">
        <f>'[1]Processed Data'!J1792</f>
        <v>12</v>
      </c>
      <c r="K872">
        <f>'[1]Processed Data'!K1792</f>
        <v>17</v>
      </c>
      <c r="L872">
        <f>'[1]Processed Data'!L1792</f>
        <v>22</v>
      </c>
      <c r="M872">
        <f>'[1]Processed Data'!M1792</f>
        <v>123</v>
      </c>
      <c r="N872">
        <f>'[1]Processed Data'!N1792</f>
        <v>0</v>
      </c>
      <c r="O872">
        <f>'[1]Processed Data'!O1792</f>
        <v>1</v>
      </c>
      <c r="P872">
        <f>'[1]Processed Data'!P1792</f>
        <v>0</v>
      </c>
      <c r="Q872">
        <f>'[1]Processed Data'!Q1792</f>
        <v>11</v>
      </c>
    </row>
    <row r="873" spans="2:17" hidden="1">
      <c r="B873">
        <f>'[1]Processed Data'!B1793</f>
        <v>2010</v>
      </c>
      <c r="C873">
        <f>'[1]Processed Data'!C1793</f>
        <v>110</v>
      </c>
      <c r="D873" t="str">
        <f>'[1]Processed Data'!D1793</f>
        <v>John Skelton</v>
      </c>
      <c r="E873">
        <v>2020</v>
      </c>
      <c r="F873">
        <f>'[1]Processed Data'!F1793</f>
        <v>60</v>
      </c>
      <c r="G873">
        <f>'[1]Processed Data'!G1793</f>
        <v>126</v>
      </c>
      <c r="H873">
        <f>'[1]Processed Data'!H1793</f>
        <v>47.6</v>
      </c>
      <c r="I873">
        <f>'[1]Processed Data'!I1793</f>
        <v>2</v>
      </c>
      <c r="J873">
        <f>'[1]Processed Data'!J1793</f>
        <v>2</v>
      </c>
      <c r="K873">
        <f>'[1]Processed Data'!K1793</f>
        <v>9</v>
      </c>
      <c r="L873">
        <f>'[1]Processed Data'!L1793</f>
        <v>10</v>
      </c>
      <c r="M873">
        <f>'[1]Processed Data'!M1793</f>
        <v>49</v>
      </c>
      <c r="N873">
        <f>'[1]Processed Data'!N1793</f>
        <v>0</v>
      </c>
      <c r="O873">
        <f>'[1]Processed Data'!O1793</f>
        <v>1</v>
      </c>
      <c r="P873">
        <f>'[1]Processed Data'!P1793</f>
        <v>0</v>
      </c>
      <c r="Q873">
        <f>'[1]Processed Data'!Q1793</f>
        <v>5</v>
      </c>
    </row>
    <row r="874" spans="2:17" hidden="1">
      <c r="B874">
        <f>'[1]Processed Data'!B1794</f>
        <v>2010</v>
      </c>
      <c r="C874">
        <f>'[1]Processed Data'!C1794</f>
        <v>111</v>
      </c>
      <c r="D874" t="str">
        <f>'[1]Processed Data'!D1794</f>
        <v>Charlie Whitehurst</v>
      </c>
      <c r="E874">
        <v>2020</v>
      </c>
      <c r="F874">
        <f>'[1]Processed Data'!F1794</f>
        <v>57</v>
      </c>
      <c r="G874">
        <f>'[1]Processed Data'!G1794</f>
        <v>99</v>
      </c>
      <c r="H874">
        <f>'[1]Processed Data'!H1794</f>
        <v>57.6</v>
      </c>
      <c r="I874">
        <f>'[1]Processed Data'!I1794</f>
        <v>2</v>
      </c>
      <c r="J874">
        <f>'[1]Processed Data'!J1794</f>
        <v>3</v>
      </c>
      <c r="K874">
        <f>'[1]Processed Data'!K1794</f>
        <v>5</v>
      </c>
      <c r="L874">
        <f>'[1]Processed Data'!L1794</f>
        <v>20</v>
      </c>
      <c r="M874">
        <f>'[1]Processed Data'!M1794</f>
        <v>43</v>
      </c>
      <c r="N874">
        <f>'[1]Processed Data'!N1794</f>
        <v>1</v>
      </c>
      <c r="O874">
        <f>'[1]Processed Data'!O1794</f>
        <v>0</v>
      </c>
      <c r="P874">
        <f>'[1]Processed Data'!P1794</f>
        <v>0</v>
      </c>
      <c r="Q874">
        <f>'[1]Processed Data'!Q1794</f>
        <v>6</v>
      </c>
    </row>
    <row r="875" spans="2:17" hidden="1">
      <c r="B875">
        <f>'[1]Processed Data'!B1795</f>
        <v>2010</v>
      </c>
      <c r="C875">
        <f>'[1]Processed Data'!C1795</f>
        <v>112</v>
      </c>
      <c r="D875" t="str">
        <f>'[1]Processed Data'!D1795</f>
        <v>Dan Orlovsky</v>
      </c>
      <c r="E875">
        <v>2020</v>
      </c>
      <c r="F875">
        <f>'[1]Processed Data'!F1795</f>
        <v>0</v>
      </c>
      <c r="G875">
        <f>'[1]Processed Data'!G1795</f>
        <v>0</v>
      </c>
      <c r="H875">
        <f>'[1]Processed Data'!H1795</f>
        <v>0</v>
      </c>
      <c r="I875">
        <f>'[1]Processed Data'!I1795</f>
        <v>0</v>
      </c>
      <c r="J875">
        <f>'[1]Processed Data'!J1795</f>
        <v>0</v>
      </c>
      <c r="K875">
        <f>'[1]Processed Data'!K1795</f>
        <v>0</v>
      </c>
      <c r="L875">
        <f>'[1]Processed Data'!L1795</f>
        <v>0</v>
      </c>
      <c r="M875">
        <f>'[1]Processed Data'!M1795</f>
        <v>0</v>
      </c>
      <c r="N875">
        <f>'[1]Processed Data'!N1795</f>
        <v>0</v>
      </c>
      <c r="O875">
        <f>'[1]Processed Data'!O1795</f>
        <v>0</v>
      </c>
      <c r="P875">
        <f>'[1]Processed Data'!P1795</f>
        <v>0</v>
      </c>
      <c r="Q875">
        <f>'[1]Processed Data'!Q1795</f>
        <v>1</v>
      </c>
    </row>
    <row r="876" spans="2:17" hidden="1">
      <c r="B876">
        <f>'[1]Processed Data'!B1796</f>
        <v>2010</v>
      </c>
      <c r="C876">
        <f>'[1]Processed Data'!C1796</f>
        <v>113</v>
      </c>
      <c r="D876" t="str">
        <f>'[1]Processed Data'!D1796</f>
        <v>Tarvaris Jackson</v>
      </c>
      <c r="E876">
        <v>2020</v>
      </c>
      <c r="F876">
        <f>'[1]Processed Data'!F1796</f>
        <v>34</v>
      </c>
      <c r="G876">
        <f>'[1]Processed Data'!G1796</f>
        <v>58</v>
      </c>
      <c r="H876">
        <f>'[1]Processed Data'!H1796</f>
        <v>58.6</v>
      </c>
      <c r="I876">
        <f>'[1]Processed Data'!I1796</f>
        <v>3</v>
      </c>
      <c r="J876">
        <f>'[1]Processed Data'!J1796</f>
        <v>4</v>
      </c>
      <c r="K876">
        <f>'[1]Processed Data'!K1796</f>
        <v>6</v>
      </c>
      <c r="L876">
        <f>'[1]Processed Data'!L1796</f>
        <v>7</v>
      </c>
      <c r="M876">
        <f>'[1]Processed Data'!M1796</f>
        <v>63</v>
      </c>
      <c r="N876">
        <f>'[1]Processed Data'!N1796</f>
        <v>0</v>
      </c>
      <c r="O876">
        <f>'[1]Processed Data'!O1796</f>
        <v>0</v>
      </c>
      <c r="P876">
        <f>'[1]Processed Data'!P1796</f>
        <v>0</v>
      </c>
      <c r="Q876">
        <f>'[1]Processed Data'!Q1796</f>
        <v>3</v>
      </c>
    </row>
    <row r="877" spans="2:17" hidden="1">
      <c r="B877">
        <f>'[1]Processed Data'!B1797</f>
        <v>2010</v>
      </c>
      <c r="C877">
        <f>'[1]Processed Data'!C1797</f>
        <v>114</v>
      </c>
      <c r="D877" t="str">
        <f>'[1]Processed Data'!D1797</f>
        <v>Seneca Wallace</v>
      </c>
      <c r="E877">
        <v>2020</v>
      </c>
      <c r="F877">
        <f>'[1]Processed Data'!F1797</f>
        <v>64</v>
      </c>
      <c r="G877">
        <f>'[1]Processed Data'!G1797</f>
        <v>101</v>
      </c>
      <c r="H877">
        <f>'[1]Processed Data'!H1797</f>
        <v>63.4</v>
      </c>
      <c r="I877">
        <f>'[1]Processed Data'!I1797</f>
        <v>4</v>
      </c>
      <c r="J877">
        <f>'[1]Processed Data'!J1797</f>
        <v>2</v>
      </c>
      <c r="K877">
        <f>'[1]Processed Data'!K1797</f>
        <v>6</v>
      </c>
      <c r="L877">
        <f>'[1]Processed Data'!L1797</f>
        <v>7</v>
      </c>
      <c r="M877">
        <f>'[1]Processed Data'!M1797</f>
        <v>9</v>
      </c>
      <c r="N877">
        <f>'[1]Processed Data'!N1797</f>
        <v>0</v>
      </c>
      <c r="O877">
        <f>'[1]Processed Data'!O1797</f>
        <v>0</v>
      </c>
      <c r="P877">
        <f>'[1]Processed Data'!P1797</f>
        <v>0</v>
      </c>
      <c r="Q877">
        <f>'[1]Processed Data'!Q1797</f>
        <v>8</v>
      </c>
    </row>
    <row r="878" spans="2:17" hidden="1">
      <c r="B878">
        <f>'[1]Processed Data'!B1798</f>
        <v>2010</v>
      </c>
      <c r="C878">
        <f>'[1]Processed Data'!C1798</f>
        <v>115</v>
      </c>
      <c r="D878" t="str">
        <f>'[1]Processed Data'!D1798</f>
        <v>Kevin Kolb</v>
      </c>
      <c r="E878">
        <v>2020</v>
      </c>
      <c r="F878">
        <f>'[1]Processed Data'!F1798</f>
        <v>115</v>
      </c>
      <c r="G878">
        <f>'[1]Processed Data'!G1798</f>
        <v>189</v>
      </c>
      <c r="H878">
        <f>'[1]Processed Data'!H1798</f>
        <v>60.8</v>
      </c>
      <c r="I878">
        <f>'[1]Processed Data'!I1798</f>
        <v>7</v>
      </c>
      <c r="J878">
        <f>'[1]Processed Data'!J1798</f>
        <v>7</v>
      </c>
      <c r="K878">
        <f>'[1]Processed Data'!K1798</f>
        <v>15</v>
      </c>
      <c r="L878">
        <f>'[1]Processed Data'!L1798</f>
        <v>15</v>
      </c>
      <c r="M878">
        <f>'[1]Processed Data'!M1798</f>
        <v>65</v>
      </c>
      <c r="N878">
        <f>'[1]Processed Data'!N1798</f>
        <v>0</v>
      </c>
      <c r="O878">
        <f>'[1]Processed Data'!O1798</f>
        <v>3</v>
      </c>
      <c r="P878">
        <f>'[1]Processed Data'!P1798</f>
        <v>0</v>
      </c>
      <c r="Q878">
        <f>'[1]Processed Data'!Q1798</f>
        <v>7</v>
      </c>
    </row>
    <row r="879" spans="2:17" hidden="1">
      <c r="B879">
        <f>'[1]Processed Data'!B1799</f>
        <v>2010</v>
      </c>
      <c r="C879">
        <f>'[1]Processed Data'!C1799</f>
        <v>116</v>
      </c>
      <c r="D879" t="str">
        <f>'[1]Processed Data'!D1799</f>
        <v>Matt Cassel</v>
      </c>
      <c r="E879">
        <v>2020</v>
      </c>
      <c r="F879">
        <f>'[1]Processed Data'!F1799</f>
        <v>262</v>
      </c>
      <c r="G879">
        <f>'[1]Processed Data'!G1799</f>
        <v>450</v>
      </c>
      <c r="H879">
        <f>'[1]Processed Data'!H1799</f>
        <v>58.2</v>
      </c>
      <c r="I879">
        <f>'[1]Processed Data'!I1799</f>
        <v>27</v>
      </c>
      <c r="J879">
        <f>'[1]Processed Data'!J1799</f>
        <v>7</v>
      </c>
      <c r="K879">
        <f>'[1]Processed Data'!K1799</f>
        <v>26</v>
      </c>
      <c r="L879">
        <f>'[1]Processed Data'!L1799</f>
        <v>33</v>
      </c>
      <c r="M879">
        <f>'[1]Processed Data'!M1799</f>
        <v>125</v>
      </c>
      <c r="N879">
        <f>'[1]Processed Data'!N1799</f>
        <v>0</v>
      </c>
      <c r="O879">
        <f>'[1]Processed Data'!O1799</f>
        <v>1</v>
      </c>
      <c r="P879">
        <f>'[1]Processed Data'!P1799</f>
        <v>0</v>
      </c>
      <c r="Q879">
        <f>'[1]Processed Data'!Q1799</f>
        <v>15</v>
      </c>
    </row>
    <row r="880" spans="2:17" hidden="1">
      <c r="B880">
        <f>'[1]Processed Data'!B1800</f>
        <v>2010</v>
      </c>
      <c r="C880">
        <f>'[1]Processed Data'!C1800</f>
        <v>117</v>
      </c>
      <c r="D880" t="str">
        <f>'[1]Processed Data'!D1800</f>
        <v>Kyle Orton</v>
      </c>
      <c r="E880">
        <v>2020</v>
      </c>
      <c r="F880">
        <f>'[1]Processed Data'!F1800</f>
        <v>293</v>
      </c>
      <c r="G880">
        <f>'[1]Processed Data'!G1800</f>
        <v>498</v>
      </c>
      <c r="H880">
        <f>'[1]Processed Data'!H1800</f>
        <v>58.8</v>
      </c>
      <c r="I880">
        <f>'[1]Processed Data'!I1800</f>
        <v>20</v>
      </c>
      <c r="J880">
        <f>'[1]Processed Data'!J1800</f>
        <v>9</v>
      </c>
      <c r="K880">
        <f>'[1]Processed Data'!K1800</f>
        <v>34</v>
      </c>
      <c r="L880">
        <f>'[1]Processed Data'!L1800</f>
        <v>22</v>
      </c>
      <c r="M880">
        <f>'[1]Processed Data'!M1800</f>
        <v>98</v>
      </c>
      <c r="N880">
        <f>'[1]Processed Data'!N1800</f>
        <v>0</v>
      </c>
      <c r="O880">
        <f>'[1]Processed Data'!O1800</f>
        <v>4</v>
      </c>
      <c r="P880">
        <f>'[1]Processed Data'!P1800</f>
        <v>0</v>
      </c>
      <c r="Q880">
        <f>'[1]Processed Data'!Q1800</f>
        <v>13</v>
      </c>
    </row>
    <row r="881" spans="2:17" hidden="1">
      <c r="B881">
        <f>'[1]Processed Data'!B1801</f>
        <v>2010</v>
      </c>
      <c r="C881">
        <f>'[1]Processed Data'!C1801</f>
        <v>118</v>
      </c>
      <c r="D881" t="str">
        <f>'[1]Processed Data'!D1801</f>
        <v>Mark Sanchez</v>
      </c>
      <c r="E881">
        <v>2020</v>
      </c>
      <c r="F881">
        <f>'[1]Processed Data'!F1801</f>
        <v>278</v>
      </c>
      <c r="G881">
        <f>'[1]Processed Data'!G1801</f>
        <v>507</v>
      </c>
      <c r="H881">
        <f>'[1]Processed Data'!H1801</f>
        <v>54.8</v>
      </c>
      <c r="I881">
        <f>'[1]Processed Data'!I1801</f>
        <v>17</v>
      </c>
      <c r="J881">
        <f>'[1]Processed Data'!J1801</f>
        <v>13</v>
      </c>
      <c r="K881">
        <f>'[1]Processed Data'!K1801</f>
        <v>27</v>
      </c>
      <c r="L881">
        <f>'[1]Processed Data'!L1801</f>
        <v>30</v>
      </c>
      <c r="M881">
        <f>'[1]Processed Data'!M1801</f>
        <v>105</v>
      </c>
      <c r="N881">
        <f>'[1]Processed Data'!N1801</f>
        <v>3</v>
      </c>
      <c r="O881">
        <f>'[1]Processed Data'!O1801</f>
        <v>1</v>
      </c>
      <c r="P881">
        <f>'[1]Processed Data'!P1801</f>
        <v>0</v>
      </c>
      <c r="Q881">
        <f>'[1]Processed Data'!Q1801</f>
        <v>16</v>
      </c>
    </row>
    <row r="882" spans="2:17" hidden="1">
      <c r="B882">
        <f>'[1]Processed Data'!B1802</f>
        <v>2010</v>
      </c>
      <c r="C882">
        <f>'[1]Processed Data'!C1802</f>
        <v>119</v>
      </c>
      <c r="D882" t="str">
        <f>'[1]Processed Data'!D1802</f>
        <v>Matt Flynn</v>
      </c>
      <c r="E882">
        <v>2020</v>
      </c>
      <c r="F882">
        <f>'[1]Processed Data'!F1802</f>
        <v>40</v>
      </c>
      <c r="G882">
        <f>'[1]Processed Data'!G1802</f>
        <v>66</v>
      </c>
      <c r="H882">
        <f>'[1]Processed Data'!H1802</f>
        <v>60.6</v>
      </c>
      <c r="I882">
        <f>'[1]Processed Data'!I1802</f>
        <v>3</v>
      </c>
      <c r="J882">
        <f>'[1]Processed Data'!J1802</f>
        <v>2</v>
      </c>
      <c r="K882">
        <f>'[1]Processed Data'!K1802</f>
        <v>7</v>
      </c>
      <c r="L882">
        <f>'[1]Processed Data'!L1802</f>
        <v>9</v>
      </c>
      <c r="M882">
        <f>'[1]Processed Data'!M1802</f>
        <v>26</v>
      </c>
      <c r="N882">
        <f>'[1]Processed Data'!N1802</f>
        <v>0</v>
      </c>
      <c r="O882">
        <f>'[1]Processed Data'!O1802</f>
        <v>1</v>
      </c>
      <c r="P882">
        <f>'[1]Processed Data'!P1802</f>
        <v>0</v>
      </c>
      <c r="Q882">
        <f>'[1]Processed Data'!Q1802</f>
        <v>7</v>
      </c>
    </row>
    <row r="883" spans="2:17" hidden="1">
      <c r="B883">
        <f>'[1]Processed Data'!B1803</f>
        <v>2010</v>
      </c>
      <c r="C883">
        <f>'[1]Processed Data'!C1803</f>
        <v>120</v>
      </c>
      <c r="D883" t="str">
        <f>'[1]Processed Data'!D1803</f>
        <v>Rex Grossman</v>
      </c>
      <c r="E883">
        <v>2020</v>
      </c>
      <c r="F883">
        <f>'[1]Processed Data'!F1803</f>
        <v>74</v>
      </c>
      <c r="G883">
        <f>'[1]Processed Data'!G1803</f>
        <v>133</v>
      </c>
      <c r="H883">
        <f>'[1]Processed Data'!H1803</f>
        <v>55.6</v>
      </c>
      <c r="I883">
        <f>'[1]Processed Data'!I1803</f>
        <v>7</v>
      </c>
      <c r="J883">
        <f>'[1]Processed Data'!J1803</f>
        <v>4</v>
      </c>
      <c r="K883">
        <f>'[1]Processed Data'!K1803</f>
        <v>9</v>
      </c>
      <c r="L883">
        <f>'[1]Processed Data'!L1803</f>
        <v>3</v>
      </c>
      <c r="M883">
        <f>'[1]Processed Data'!M1803</f>
        <v>6</v>
      </c>
      <c r="N883">
        <f>'[1]Processed Data'!N1803</f>
        <v>0</v>
      </c>
      <c r="O883">
        <f>'[1]Processed Data'!O1803</f>
        <v>4</v>
      </c>
      <c r="P883">
        <f>'[1]Processed Data'!P1803</f>
        <v>0</v>
      </c>
      <c r="Q883">
        <f>'[1]Processed Data'!Q1803</f>
        <v>4</v>
      </c>
    </row>
    <row r="884" spans="2:17" hidden="1">
      <c r="B884">
        <f>'[1]Processed Data'!B1804</f>
        <v>2010</v>
      </c>
      <c r="C884">
        <f>'[1]Processed Data'!C1804</f>
        <v>121</v>
      </c>
      <c r="D884" t="str">
        <f>'[1]Processed Data'!D1804</f>
        <v>Matt Hasselbeck</v>
      </c>
      <c r="E884">
        <v>2020</v>
      </c>
      <c r="F884">
        <f>'[1]Processed Data'!F1804</f>
        <v>266</v>
      </c>
      <c r="G884">
        <f>'[1]Processed Data'!G1804</f>
        <v>444</v>
      </c>
      <c r="H884">
        <f>'[1]Processed Data'!H1804</f>
        <v>59.9</v>
      </c>
      <c r="I884">
        <f>'[1]Processed Data'!I1804</f>
        <v>12</v>
      </c>
      <c r="J884">
        <f>'[1]Processed Data'!J1804</f>
        <v>17</v>
      </c>
      <c r="K884">
        <f>'[1]Processed Data'!K1804</f>
        <v>29</v>
      </c>
      <c r="L884">
        <f>'[1]Processed Data'!L1804</f>
        <v>23</v>
      </c>
      <c r="M884">
        <f>'[1]Processed Data'!M1804</f>
        <v>60</v>
      </c>
      <c r="N884">
        <f>'[1]Processed Data'!N1804</f>
        <v>3</v>
      </c>
      <c r="O884">
        <f>'[1]Processed Data'!O1804</f>
        <v>5</v>
      </c>
      <c r="P884">
        <f>'[1]Processed Data'!P1804</f>
        <v>0</v>
      </c>
      <c r="Q884">
        <f>'[1]Processed Data'!Q1804</f>
        <v>14</v>
      </c>
    </row>
    <row r="885" spans="2:17" hidden="1">
      <c r="B885">
        <f>'[1]Processed Data'!B1805</f>
        <v>2010</v>
      </c>
      <c r="C885">
        <f>'[1]Processed Data'!C1805</f>
        <v>122</v>
      </c>
      <c r="D885" t="str">
        <f>'[1]Processed Data'!D1805</f>
        <v>Michael Vick</v>
      </c>
      <c r="E885">
        <v>2020</v>
      </c>
      <c r="F885">
        <f>'[1]Processed Data'!F1805</f>
        <v>233</v>
      </c>
      <c r="G885">
        <f>'[1]Processed Data'!G1805</f>
        <v>372</v>
      </c>
      <c r="H885">
        <f>'[1]Processed Data'!H1805</f>
        <v>62.6</v>
      </c>
      <c r="I885">
        <f>'[1]Processed Data'!I1805</f>
        <v>21</v>
      </c>
      <c r="J885">
        <f>'[1]Processed Data'!J1805</f>
        <v>6</v>
      </c>
      <c r="K885">
        <f>'[1]Processed Data'!K1805</f>
        <v>34</v>
      </c>
      <c r="L885">
        <f>'[1]Processed Data'!L1805</f>
        <v>100</v>
      </c>
      <c r="M885">
        <f>'[1]Processed Data'!M1805</f>
        <v>676</v>
      </c>
      <c r="N885">
        <f>'[1]Processed Data'!N1805</f>
        <v>9</v>
      </c>
      <c r="O885">
        <f>'[1]Processed Data'!O1805</f>
        <v>3</v>
      </c>
      <c r="P885">
        <f>'[1]Processed Data'!P1805</f>
        <v>0</v>
      </c>
      <c r="Q885">
        <f>'[1]Processed Data'!Q1805</f>
        <v>12</v>
      </c>
    </row>
    <row r="886" spans="2:17" hidden="1">
      <c r="B886">
        <f>'[1]Processed Data'!B1806</f>
        <v>2010</v>
      </c>
      <c r="C886">
        <f>'[1]Processed Data'!C1806</f>
        <v>123</v>
      </c>
      <c r="D886" t="str">
        <f>'[1]Processed Data'!D1806</f>
        <v>Peyton Manning</v>
      </c>
      <c r="E886">
        <v>2020</v>
      </c>
      <c r="F886">
        <f>'[1]Processed Data'!F1806</f>
        <v>450</v>
      </c>
      <c r="G886">
        <f>'[1]Processed Data'!G1806</f>
        <v>679</v>
      </c>
      <c r="H886">
        <f>'[1]Processed Data'!H1806</f>
        <v>66.3</v>
      </c>
      <c r="I886">
        <f>'[1]Processed Data'!I1806</f>
        <v>33</v>
      </c>
      <c r="J886">
        <f>'[1]Processed Data'!J1806</f>
        <v>17</v>
      </c>
      <c r="K886">
        <f>'[1]Processed Data'!K1806</f>
        <v>16</v>
      </c>
      <c r="L886">
        <f>'[1]Processed Data'!L1806</f>
        <v>18</v>
      </c>
      <c r="M886">
        <f>'[1]Processed Data'!M1806</f>
        <v>18</v>
      </c>
      <c r="N886">
        <f>'[1]Processed Data'!N1806</f>
        <v>0</v>
      </c>
      <c r="O886">
        <f>'[1]Processed Data'!O1806</f>
        <v>1</v>
      </c>
      <c r="P886">
        <f>'[1]Processed Data'!P1806</f>
        <v>0</v>
      </c>
      <c r="Q886">
        <f>'[1]Processed Data'!Q1806</f>
        <v>16</v>
      </c>
    </row>
    <row r="887" spans="2:17" hidden="1">
      <c r="B887">
        <f>'[1]Processed Data'!B1807</f>
        <v>2010</v>
      </c>
      <c r="C887">
        <f>'[1]Processed Data'!C1807</f>
        <v>124</v>
      </c>
      <c r="D887" t="str">
        <f>'[1]Processed Data'!D1807</f>
        <v>Philip Rivers</v>
      </c>
      <c r="E887">
        <v>2020</v>
      </c>
      <c r="F887">
        <f>'[1]Processed Data'!F1807</f>
        <v>357</v>
      </c>
      <c r="G887">
        <f>'[1]Processed Data'!G1807</f>
        <v>541</v>
      </c>
      <c r="H887">
        <f>'[1]Processed Data'!H1807</f>
        <v>66</v>
      </c>
      <c r="I887">
        <f>'[1]Processed Data'!I1807</f>
        <v>30</v>
      </c>
      <c r="J887">
        <f>'[1]Processed Data'!J1807</f>
        <v>13</v>
      </c>
      <c r="K887">
        <f>'[1]Processed Data'!K1807</f>
        <v>38</v>
      </c>
      <c r="L887">
        <f>'[1]Processed Data'!L1807</f>
        <v>29</v>
      </c>
      <c r="M887">
        <f>'[1]Processed Data'!M1807</f>
        <v>52</v>
      </c>
      <c r="N887">
        <f>'[1]Processed Data'!N1807</f>
        <v>0</v>
      </c>
      <c r="O887">
        <f>'[1]Processed Data'!O1807</f>
        <v>4</v>
      </c>
      <c r="P887">
        <f>'[1]Processed Data'!P1807</f>
        <v>0</v>
      </c>
      <c r="Q887">
        <f>'[1]Processed Data'!Q1807</f>
        <v>16</v>
      </c>
    </row>
    <row r="888" spans="2:17" hidden="1">
      <c r="B888">
        <f>'[1]Processed Data'!B1847</f>
        <v>2009</v>
      </c>
      <c r="C888">
        <f>'[1]Processed Data'!C1847</f>
        <v>1</v>
      </c>
      <c r="D888" t="str">
        <f>'[1]Processed Data'!D1847</f>
        <v>Aaron Rodgers</v>
      </c>
      <c r="E888">
        <v>2020</v>
      </c>
      <c r="F888">
        <f>'[1]Processed Data'!F1847</f>
        <v>350</v>
      </c>
      <c r="G888">
        <f>'[1]Processed Data'!G1847</f>
        <v>541</v>
      </c>
      <c r="H888">
        <f>'[1]Processed Data'!H1847</f>
        <v>64.7</v>
      </c>
      <c r="I888">
        <f>'[1]Processed Data'!I1847</f>
        <v>30</v>
      </c>
      <c r="J888">
        <f>'[1]Processed Data'!J1847</f>
        <v>7</v>
      </c>
      <c r="K888">
        <f>'[1]Processed Data'!K1847</f>
        <v>50</v>
      </c>
      <c r="L888">
        <f>'[1]Processed Data'!L1847</f>
        <v>58</v>
      </c>
      <c r="M888">
        <f>'[1]Processed Data'!M1847</f>
        <v>316</v>
      </c>
      <c r="N888">
        <f>'[1]Processed Data'!N1847</f>
        <v>5</v>
      </c>
      <c r="O888">
        <f>'[1]Processed Data'!O1847</f>
        <v>4</v>
      </c>
      <c r="P888">
        <f>'[1]Processed Data'!P1847</f>
        <v>337</v>
      </c>
      <c r="Q888">
        <f>'[1]Processed Data'!Q1847</f>
        <v>16</v>
      </c>
    </row>
    <row r="889" spans="2:17" hidden="1">
      <c r="B889">
        <f>'[1]Processed Data'!B1848</f>
        <v>2009</v>
      </c>
      <c r="C889">
        <f>'[1]Processed Data'!C1848</f>
        <v>2</v>
      </c>
      <c r="D889" t="str">
        <f>'[1]Processed Data'!D1848</f>
        <v>Drew Brees</v>
      </c>
      <c r="E889">
        <v>2020</v>
      </c>
      <c r="F889">
        <f>'[1]Processed Data'!F1848</f>
        <v>363</v>
      </c>
      <c r="G889">
        <f>'[1]Processed Data'!G1848</f>
        <v>514</v>
      </c>
      <c r="H889">
        <f>'[1]Processed Data'!H1848</f>
        <v>70.599999999999994</v>
      </c>
      <c r="I889">
        <f>'[1]Processed Data'!I1848</f>
        <v>34</v>
      </c>
      <c r="J889">
        <f>'[1]Processed Data'!J1848</f>
        <v>11</v>
      </c>
      <c r="K889">
        <f>'[1]Processed Data'!K1848</f>
        <v>20</v>
      </c>
      <c r="L889">
        <f>'[1]Processed Data'!L1848</f>
        <v>22</v>
      </c>
      <c r="M889">
        <f>'[1]Processed Data'!M1848</f>
        <v>33</v>
      </c>
      <c r="N889">
        <f>'[1]Processed Data'!N1848</f>
        <v>2</v>
      </c>
      <c r="O889">
        <f>'[1]Processed Data'!O1848</f>
        <v>6</v>
      </c>
      <c r="P889">
        <f>'[1]Processed Data'!P1848</f>
        <v>292.8</v>
      </c>
      <c r="Q889">
        <f>'[1]Processed Data'!Q1848</f>
        <v>15</v>
      </c>
    </row>
    <row r="890" spans="2:17" hidden="1">
      <c r="B890">
        <f>'[1]Processed Data'!B1849</f>
        <v>2009</v>
      </c>
      <c r="C890">
        <f>'[1]Processed Data'!C1849</f>
        <v>3</v>
      </c>
      <c r="D890" t="str">
        <f>'[1]Processed Data'!D1849</f>
        <v>Matt Schaub</v>
      </c>
      <c r="E890">
        <v>2020</v>
      </c>
      <c r="F890">
        <f>'[1]Processed Data'!F1849</f>
        <v>396</v>
      </c>
      <c r="G890">
        <f>'[1]Processed Data'!G1849</f>
        <v>583</v>
      </c>
      <c r="H890">
        <f>'[1]Processed Data'!H1849</f>
        <v>67.900000000000006</v>
      </c>
      <c r="I890">
        <f>'[1]Processed Data'!I1849</f>
        <v>29</v>
      </c>
      <c r="J890">
        <f>'[1]Processed Data'!J1849</f>
        <v>15</v>
      </c>
      <c r="K890">
        <f>'[1]Processed Data'!K1849</f>
        <v>25</v>
      </c>
      <c r="L890">
        <f>'[1]Processed Data'!L1849</f>
        <v>48</v>
      </c>
      <c r="M890">
        <f>'[1]Processed Data'!M1849</f>
        <v>57</v>
      </c>
      <c r="N890">
        <f>'[1]Processed Data'!N1849</f>
        <v>0</v>
      </c>
      <c r="O890">
        <f>'[1]Processed Data'!O1849</f>
        <v>2</v>
      </c>
      <c r="P890">
        <f>'[1]Processed Data'!P1849</f>
        <v>278.5</v>
      </c>
      <c r="Q890">
        <f>'[1]Processed Data'!Q1849</f>
        <v>16</v>
      </c>
    </row>
    <row r="891" spans="2:17" hidden="1">
      <c r="B891">
        <f>'[1]Processed Data'!B1850</f>
        <v>2009</v>
      </c>
      <c r="C891">
        <f>'[1]Processed Data'!C1850</f>
        <v>4</v>
      </c>
      <c r="D891" t="str">
        <f>'[1]Processed Data'!D1850</f>
        <v>Tom Brady</v>
      </c>
      <c r="E891">
        <v>2020</v>
      </c>
      <c r="F891">
        <f>'[1]Processed Data'!F1850</f>
        <v>371</v>
      </c>
      <c r="G891">
        <f>'[1]Processed Data'!G1850</f>
        <v>565</v>
      </c>
      <c r="H891">
        <f>'[1]Processed Data'!H1850</f>
        <v>65.7</v>
      </c>
      <c r="I891">
        <f>'[1]Processed Data'!I1850</f>
        <v>28</v>
      </c>
      <c r="J891">
        <f>'[1]Processed Data'!J1850</f>
        <v>13</v>
      </c>
      <c r="K891">
        <f>'[1]Processed Data'!K1850</f>
        <v>16</v>
      </c>
      <c r="L891">
        <f>'[1]Processed Data'!L1850</f>
        <v>29</v>
      </c>
      <c r="M891">
        <f>'[1]Processed Data'!M1850</f>
        <v>44</v>
      </c>
      <c r="N891">
        <f>'[1]Processed Data'!N1850</f>
        <v>1</v>
      </c>
      <c r="O891">
        <f>'[1]Processed Data'!O1850</f>
        <v>2</v>
      </c>
      <c r="P891">
        <f>'[1]Processed Data'!P1850</f>
        <v>268.3</v>
      </c>
      <c r="Q891">
        <f>'[1]Processed Data'!Q1850</f>
        <v>16</v>
      </c>
    </row>
    <row r="892" spans="2:17" hidden="1">
      <c r="B892">
        <f>'[1]Processed Data'!B1851</f>
        <v>2009</v>
      </c>
      <c r="C892">
        <f>'[1]Processed Data'!C1851</f>
        <v>5</v>
      </c>
      <c r="D892" t="str">
        <f>'[1]Processed Data'!D1851</f>
        <v>Ben Roethlisberger</v>
      </c>
      <c r="E892">
        <v>2020</v>
      </c>
      <c r="F892">
        <f>'[1]Processed Data'!F1851</f>
        <v>337</v>
      </c>
      <c r="G892">
        <f>'[1]Processed Data'!G1851</f>
        <v>506</v>
      </c>
      <c r="H892">
        <f>'[1]Processed Data'!H1851</f>
        <v>66.599999999999994</v>
      </c>
      <c r="I892">
        <f>'[1]Processed Data'!I1851</f>
        <v>26</v>
      </c>
      <c r="J892">
        <f>'[1]Processed Data'!J1851</f>
        <v>12</v>
      </c>
      <c r="K892">
        <f>'[1]Processed Data'!K1851</f>
        <v>50</v>
      </c>
      <c r="L892">
        <f>'[1]Processed Data'!L1851</f>
        <v>40</v>
      </c>
      <c r="M892">
        <f>'[1]Processed Data'!M1851</f>
        <v>82</v>
      </c>
      <c r="N892">
        <f>'[1]Processed Data'!N1851</f>
        <v>2</v>
      </c>
      <c r="O892">
        <f>'[1]Processed Data'!O1851</f>
        <v>3</v>
      </c>
      <c r="P892">
        <f>'[1]Processed Data'!P1851</f>
        <v>267.2</v>
      </c>
      <c r="Q892">
        <f>'[1]Processed Data'!Q1851</f>
        <v>15</v>
      </c>
    </row>
    <row r="893" spans="2:17" hidden="1">
      <c r="B893">
        <f>'[1]Processed Data'!B1852</f>
        <v>2009</v>
      </c>
      <c r="C893">
        <f>'[1]Processed Data'!C1852</f>
        <v>6</v>
      </c>
      <c r="D893" t="str">
        <f>'[1]Processed Data'!D1852</f>
        <v>Joe Flacco</v>
      </c>
      <c r="E893">
        <v>2020</v>
      </c>
      <c r="F893">
        <f>'[1]Processed Data'!F1852</f>
        <v>315</v>
      </c>
      <c r="G893">
        <f>'[1]Processed Data'!G1852</f>
        <v>499</v>
      </c>
      <c r="H893">
        <f>'[1]Processed Data'!H1852</f>
        <v>63.1</v>
      </c>
      <c r="I893">
        <f>'[1]Processed Data'!I1852</f>
        <v>21</v>
      </c>
      <c r="J893">
        <f>'[1]Processed Data'!J1852</f>
        <v>12</v>
      </c>
      <c r="K893">
        <f>'[1]Processed Data'!K1852</f>
        <v>36</v>
      </c>
      <c r="L893">
        <f>'[1]Processed Data'!L1852</f>
        <v>35</v>
      </c>
      <c r="M893">
        <f>'[1]Processed Data'!M1852</f>
        <v>56</v>
      </c>
      <c r="N893">
        <f>'[1]Processed Data'!N1852</f>
        <v>0</v>
      </c>
      <c r="O893">
        <f>'[1]Processed Data'!O1852</f>
        <v>2</v>
      </c>
      <c r="P893">
        <f>'[1]Processed Data'!P1852</f>
        <v>206.2</v>
      </c>
      <c r="Q893">
        <f>'[1]Processed Data'!Q1852</f>
        <v>16</v>
      </c>
    </row>
    <row r="894" spans="2:17" hidden="1">
      <c r="B894">
        <f>'[1]Processed Data'!B1853</f>
        <v>2009</v>
      </c>
      <c r="C894">
        <f>'[1]Processed Data'!C1853</f>
        <v>7</v>
      </c>
      <c r="D894" t="str">
        <f>'[1]Processed Data'!D1853</f>
        <v>Matt Ryan</v>
      </c>
      <c r="E894">
        <v>2020</v>
      </c>
      <c r="F894">
        <f>'[1]Processed Data'!F1853</f>
        <v>263</v>
      </c>
      <c r="G894">
        <f>'[1]Processed Data'!G1853</f>
        <v>451</v>
      </c>
      <c r="H894">
        <f>'[1]Processed Data'!H1853</f>
        <v>58.3</v>
      </c>
      <c r="I894">
        <f>'[1]Processed Data'!I1853</f>
        <v>22</v>
      </c>
      <c r="J894">
        <f>'[1]Processed Data'!J1853</f>
        <v>14</v>
      </c>
      <c r="K894">
        <f>'[1]Processed Data'!K1853</f>
        <v>19</v>
      </c>
      <c r="L894">
        <f>'[1]Processed Data'!L1853</f>
        <v>30</v>
      </c>
      <c r="M894">
        <f>'[1]Processed Data'!M1853</f>
        <v>49</v>
      </c>
      <c r="N894">
        <f>'[1]Processed Data'!N1853</f>
        <v>1</v>
      </c>
      <c r="O894">
        <f>'[1]Processed Data'!O1853</f>
        <v>2</v>
      </c>
      <c r="P894">
        <f>'[1]Processed Data'!P1853</f>
        <v>183.7</v>
      </c>
      <c r="Q894">
        <f>'[1]Processed Data'!Q1853</f>
        <v>14</v>
      </c>
    </row>
    <row r="895" spans="2:17" hidden="1">
      <c r="B895">
        <f>'[1]Processed Data'!B1854</f>
        <v>2009</v>
      </c>
      <c r="C895">
        <f>'[1]Processed Data'!C1854</f>
        <v>8</v>
      </c>
      <c r="D895" t="str">
        <f>'[1]Processed Data'!D1854</f>
        <v>Alex Smith</v>
      </c>
      <c r="E895">
        <v>2020</v>
      </c>
      <c r="F895">
        <f>'[1]Processed Data'!F1854</f>
        <v>225</v>
      </c>
      <c r="G895">
        <f>'[1]Processed Data'!G1854</f>
        <v>372</v>
      </c>
      <c r="H895">
        <f>'[1]Processed Data'!H1854</f>
        <v>60.5</v>
      </c>
      <c r="I895">
        <f>'[1]Processed Data'!I1854</f>
        <v>18</v>
      </c>
      <c r="J895">
        <f>'[1]Processed Data'!J1854</f>
        <v>12</v>
      </c>
      <c r="K895">
        <f>'[1]Processed Data'!K1854</f>
        <v>22</v>
      </c>
      <c r="L895">
        <f>'[1]Processed Data'!L1854</f>
        <v>24</v>
      </c>
      <c r="M895">
        <f>'[1]Processed Data'!M1854</f>
        <v>51</v>
      </c>
      <c r="N895">
        <f>'[1]Processed Data'!N1854</f>
        <v>0</v>
      </c>
      <c r="O895">
        <f>'[1]Processed Data'!O1854</f>
        <v>1</v>
      </c>
      <c r="P895">
        <f>'[1]Processed Data'!P1854</f>
        <v>145</v>
      </c>
      <c r="Q895">
        <f>'[1]Processed Data'!Q1854</f>
        <v>11</v>
      </c>
    </row>
    <row r="896" spans="2:17" hidden="1">
      <c r="B896">
        <f>'[1]Processed Data'!B1855</f>
        <v>2009</v>
      </c>
      <c r="C896">
        <f>'[1]Processed Data'!C1855</f>
        <v>9</v>
      </c>
      <c r="D896" t="str">
        <f>'[1]Processed Data'!D1855</f>
        <v>Chad Henne</v>
      </c>
      <c r="E896">
        <v>2020</v>
      </c>
      <c r="F896">
        <f>'[1]Processed Data'!F1855</f>
        <v>274</v>
      </c>
      <c r="G896">
        <f>'[1]Processed Data'!G1855</f>
        <v>451</v>
      </c>
      <c r="H896">
        <f>'[1]Processed Data'!H1855</f>
        <v>60.8</v>
      </c>
      <c r="I896">
        <f>'[1]Processed Data'!I1855</f>
        <v>12</v>
      </c>
      <c r="J896">
        <f>'[1]Processed Data'!J1855</f>
        <v>14</v>
      </c>
      <c r="K896">
        <f>'[1]Processed Data'!K1855</f>
        <v>26</v>
      </c>
      <c r="L896">
        <f>'[1]Processed Data'!L1855</f>
        <v>16</v>
      </c>
      <c r="M896">
        <f>'[1]Processed Data'!M1855</f>
        <v>32</v>
      </c>
      <c r="N896">
        <f>'[1]Processed Data'!N1855</f>
        <v>1</v>
      </c>
      <c r="O896">
        <f>'[1]Processed Data'!O1855</f>
        <v>0</v>
      </c>
      <c r="P896">
        <f>'[1]Processed Data'!P1855</f>
        <v>144.4</v>
      </c>
      <c r="Q896">
        <f>'[1]Processed Data'!Q1855</f>
        <v>14</v>
      </c>
    </row>
    <row r="897" spans="2:17" hidden="1">
      <c r="B897">
        <f>'[1]Processed Data'!B1856</f>
        <v>2009</v>
      </c>
      <c r="C897">
        <f>'[1]Processed Data'!C1856</f>
        <v>10</v>
      </c>
      <c r="D897" t="str">
        <f>'[1]Processed Data'!D1856</f>
        <v>Matthew Stafford</v>
      </c>
      <c r="E897">
        <v>2020</v>
      </c>
      <c r="F897">
        <f>'[1]Processed Data'!F1856</f>
        <v>201</v>
      </c>
      <c r="G897">
        <f>'[1]Processed Data'!G1856</f>
        <v>377</v>
      </c>
      <c r="H897">
        <f>'[1]Processed Data'!H1856</f>
        <v>53.3</v>
      </c>
      <c r="I897">
        <f>'[1]Processed Data'!I1856</f>
        <v>13</v>
      </c>
      <c r="J897">
        <f>'[1]Processed Data'!J1856</f>
        <v>20</v>
      </c>
      <c r="K897">
        <f>'[1]Processed Data'!K1856</f>
        <v>24</v>
      </c>
      <c r="L897">
        <f>'[1]Processed Data'!L1856</f>
        <v>20</v>
      </c>
      <c r="M897">
        <f>'[1]Processed Data'!M1856</f>
        <v>108</v>
      </c>
      <c r="N897">
        <f>'[1]Processed Data'!N1856</f>
        <v>2</v>
      </c>
      <c r="O897">
        <f>'[1]Processed Data'!O1856</f>
        <v>1</v>
      </c>
      <c r="P897">
        <f>'[1]Processed Data'!P1856</f>
        <v>123.4</v>
      </c>
      <c r="Q897">
        <f>'[1]Processed Data'!Q1856</f>
        <v>10</v>
      </c>
    </row>
    <row r="898" spans="2:17" hidden="1">
      <c r="B898">
        <f>'[1]Processed Data'!B1857</f>
        <v>2009</v>
      </c>
      <c r="C898">
        <f>'[1]Processed Data'!C1857</f>
        <v>11</v>
      </c>
      <c r="D898" t="str">
        <f>'[1]Processed Data'!D1857</f>
        <v>Ryan Fitzpatrick</v>
      </c>
      <c r="E898">
        <v>2020</v>
      </c>
      <c r="F898">
        <f>'[1]Processed Data'!F1857</f>
        <v>127</v>
      </c>
      <c r="G898">
        <f>'[1]Processed Data'!G1857</f>
        <v>227</v>
      </c>
      <c r="H898">
        <f>'[1]Processed Data'!H1857</f>
        <v>55.9</v>
      </c>
      <c r="I898">
        <f>'[1]Processed Data'!I1857</f>
        <v>9</v>
      </c>
      <c r="J898">
        <f>'[1]Processed Data'!J1857</f>
        <v>10</v>
      </c>
      <c r="K898">
        <f>'[1]Processed Data'!K1857</f>
        <v>21</v>
      </c>
      <c r="L898">
        <f>'[1]Processed Data'!L1857</f>
        <v>31</v>
      </c>
      <c r="M898">
        <f>'[1]Processed Data'!M1857</f>
        <v>141</v>
      </c>
      <c r="N898">
        <f>'[1]Processed Data'!N1857</f>
        <v>1</v>
      </c>
      <c r="O898">
        <f>'[1]Processed Data'!O1857</f>
        <v>2</v>
      </c>
      <c r="P898">
        <f>'[1]Processed Data'!P1857</f>
        <v>88.8</v>
      </c>
      <c r="Q898">
        <f>'[1]Processed Data'!Q1857</f>
        <v>10</v>
      </c>
    </row>
    <row r="899" spans="2:17" hidden="1">
      <c r="B899">
        <f>'[1]Processed Data'!B1858</f>
        <v>2009</v>
      </c>
      <c r="C899">
        <f>'[1]Processed Data'!C1858</f>
        <v>12</v>
      </c>
      <c r="D899" t="str">
        <f>'[1]Processed Data'!D1858</f>
        <v>Matt Moore</v>
      </c>
      <c r="E899">
        <v>2020</v>
      </c>
      <c r="F899">
        <f>'[1]Processed Data'!F1858</f>
        <v>85</v>
      </c>
      <c r="G899">
        <f>'[1]Processed Data'!G1858</f>
        <v>138</v>
      </c>
      <c r="H899">
        <f>'[1]Processed Data'!H1858</f>
        <v>61.6</v>
      </c>
      <c r="I899">
        <f>'[1]Processed Data'!I1858</f>
        <v>8</v>
      </c>
      <c r="J899">
        <f>'[1]Processed Data'!J1858</f>
        <v>2</v>
      </c>
      <c r="K899">
        <f>'[1]Processed Data'!K1858</f>
        <v>9</v>
      </c>
      <c r="L899">
        <f>'[1]Processed Data'!L1858</f>
        <v>12</v>
      </c>
      <c r="M899">
        <f>'[1]Processed Data'!M1858</f>
        <v>-3</v>
      </c>
      <c r="N899">
        <f>'[1]Processed Data'!N1858</f>
        <v>0</v>
      </c>
      <c r="O899">
        <f>'[1]Processed Data'!O1858</f>
        <v>0</v>
      </c>
      <c r="P899">
        <f>'[1]Processed Data'!P1858</f>
        <v>69.8</v>
      </c>
      <c r="Q899">
        <f>'[1]Processed Data'!Q1858</f>
        <v>7</v>
      </c>
    </row>
    <row r="900" spans="2:17" hidden="1">
      <c r="B900">
        <f>'[1]Processed Data'!B1859</f>
        <v>2009</v>
      </c>
      <c r="C900">
        <f>'[1]Processed Data'!C1859</f>
        <v>13</v>
      </c>
      <c r="D900" t="str">
        <f>'[1]Processed Data'!D1859</f>
        <v>Josh Johnson</v>
      </c>
      <c r="E900">
        <v>2020</v>
      </c>
      <c r="F900">
        <f>'[1]Processed Data'!F1859</f>
        <v>63</v>
      </c>
      <c r="G900">
        <f>'[1]Processed Data'!G1859</f>
        <v>125</v>
      </c>
      <c r="H900">
        <f>'[1]Processed Data'!H1859</f>
        <v>50.4</v>
      </c>
      <c r="I900">
        <f>'[1]Processed Data'!I1859</f>
        <v>4</v>
      </c>
      <c r="J900">
        <f>'[1]Processed Data'!J1859</f>
        <v>8</v>
      </c>
      <c r="K900">
        <f>'[1]Processed Data'!K1859</f>
        <v>11</v>
      </c>
      <c r="L900">
        <f>'[1]Processed Data'!L1859</f>
        <v>22</v>
      </c>
      <c r="M900">
        <f>'[1]Processed Data'!M1859</f>
        <v>148</v>
      </c>
      <c r="N900">
        <f>'[1]Processed Data'!N1859</f>
        <v>0</v>
      </c>
      <c r="O900">
        <f>'[1]Processed Data'!O1859</f>
        <v>1</v>
      </c>
      <c r="P900">
        <f>'[1]Processed Data'!P1859</f>
        <v>40.1</v>
      </c>
      <c r="Q900">
        <f>'[1]Processed Data'!Q1859</f>
        <v>6</v>
      </c>
    </row>
    <row r="901" spans="2:17" hidden="1">
      <c r="B901">
        <f>'[1]Processed Data'!B1860</f>
        <v>2009</v>
      </c>
      <c r="C901">
        <f>'[1]Processed Data'!C1860</f>
        <v>14</v>
      </c>
      <c r="D901" t="str">
        <f>'[1]Processed Data'!D1860</f>
        <v>Brian Hoyer</v>
      </c>
      <c r="E901">
        <v>2020</v>
      </c>
      <c r="F901">
        <f>'[1]Processed Data'!F1860</f>
        <v>19</v>
      </c>
      <c r="G901">
        <f>'[1]Processed Data'!G1860</f>
        <v>27</v>
      </c>
      <c r="H901">
        <f>'[1]Processed Data'!H1860</f>
        <v>70.400000000000006</v>
      </c>
      <c r="I901">
        <f>'[1]Processed Data'!I1860</f>
        <v>0</v>
      </c>
      <c r="J901">
        <f>'[1]Processed Data'!J1860</f>
        <v>0</v>
      </c>
      <c r="K901">
        <f>'[1]Processed Data'!K1860</f>
        <v>2</v>
      </c>
      <c r="L901">
        <f>'[1]Processed Data'!L1860</f>
        <v>10</v>
      </c>
      <c r="M901">
        <f>'[1]Processed Data'!M1860</f>
        <v>25</v>
      </c>
      <c r="N901">
        <f>'[1]Processed Data'!N1860</f>
        <v>1</v>
      </c>
      <c r="O901">
        <f>'[1]Processed Data'!O1860</f>
        <v>0</v>
      </c>
      <c r="P901">
        <f>'[1]Processed Data'!P1860</f>
        <v>14.2</v>
      </c>
      <c r="Q901">
        <f>'[1]Processed Data'!Q1860</f>
        <v>5</v>
      </c>
    </row>
    <row r="902" spans="2:17" hidden="1">
      <c r="B902">
        <f>'[1]Processed Data'!B1861</f>
        <v>2009</v>
      </c>
      <c r="C902">
        <f>'[1]Processed Data'!C1861</f>
        <v>15</v>
      </c>
      <c r="D902" t="str">
        <f>'[1]Processed Data'!D1861</f>
        <v>Drew Stanton</v>
      </c>
      <c r="E902">
        <v>2020</v>
      </c>
      <c r="F902">
        <f>'[1]Processed Data'!F1861</f>
        <v>26</v>
      </c>
      <c r="G902">
        <f>'[1]Processed Data'!G1861</f>
        <v>51</v>
      </c>
      <c r="H902">
        <f>'[1]Processed Data'!H1861</f>
        <v>51</v>
      </c>
      <c r="I902">
        <f>'[1]Processed Data'!I1861</f>
        <v>0</v>
      </c>
      <c r="J902">
        <f>'[1]Processed Data'!J1861</f>
        <v>6</v>
      </c>
      <c r="K902">
        <f>'[1]Processed Data'!K1861</f>
        <v>5</v>
      </c>
      <c r="L902">
        <f>'[1]Processed Data'!L1861</f>
        <v>9</v>
      </c>
      <c r="M902">
        <f>'[1]Processed Data'!M1861</f>
        <v>33</v>
      </c>
      <c r="N902">
        <f>'[1]Processed Data'!N1861</f>
        <v>1</v>
      </c>
      <c r="O902">
        <f>'[1]Processed Data'!O1861</f>
        <v>1</v>
      </c>
      <c r="P902">
        <f>'[1]Processed Data'!P1861</f>
        <v>5.7</v>
      </c>
      <c r="Q902">
        <f>'[1]Processed Data'!Q1861</f>
        <v>3</v>
      </c>
    </row>
    <row r="903" spans="2:17" hidden="1">
      <c r="B903">
        <f>'[1]Processed Data'!B1862</f>
        <v>2009</v>
      </c>
      <c r="C903">
        <f>'[1]Processed Data'!C1862</f>
        <v>16</v>
      </c>
      <c r="D903" t="str">
        <f>'[1]Processed Data'!D1862</f>
        <v>Josh McCown</v>
      </c>
      <c r="E903">
        <v>2020</v>
      </c>
      <c r="F903">
        <f>'[1]Processed Data'!F1862</f>
        <v>1</v>
      </c>
      <c r="G903">
        <f>'[1]Processed Data'!G1862</f>
        <v>6</v>
      </c>
      <c r="H903">
        <f>'[1]Processed Data'!H1862</f>
        <v>16.7</v>
      </c>
      <c r="I903">
        <f>'[1]Processed Data'!I1862</f>
        <v>0</v>
      </c>
      <c r="J903">
        <f>'[1]Processed Data'!J1862</f>
        <v>0</v>
      </c>
      <c r="K903">
        <f>'[1]Processed Data'!K1862</f>
        <v>1</v>
      </c>
      <c r="L903">
        <f>'[1]Processed Data'!L1862</f>
        <v>0</v>
      </c>
      <c r="M903">
        <f>'[1]Processed Data'!M1862</f>
        <v>0</v>
      </c>
      <c r="N903">
        <f>'[1]Processed Data'!N1862</f>
        <v>0</v>
      </c>
      <c r="O903">
        <f>'[1]Processed Data'!O1862</f>
        <v>0</v>
      </c>
      <c r="P903">
        <f>'[1]Processed Data'!P1862</f>
        <v>0.1</v>
      </c>
      <c r="Q903">
        <f>'[1]Processed Data'!Q1862</f>
        <v>1</v>
      </c>
    </row>
    <row r="904" spans="2:17" hidden="1">
      <c r="B904">
        <f>'[1]Processed Data'!B1863</f>
        <v>2009</v>
      </c>
      <c r="C904">
        <f>'[1]Processed Data'!C1863</f>
        <v>17</v>
      </c>
      <c r="D904" t="str">
        <f>'[1]Processed Data'!D1863</f>
        <v>Luke McCown</v>
      </c>
      <c r="E904">
        <v>2020</v>
      </c>
      <c r="F904">
        <f>'[1]Processed Data'!F1863</f>
        <v>1</v>
      </c>
      <c r="G904">
        <f>'[1]Processed Data'!G1863</f>
        <v>3</v>
      </c>
      <c r="H904">
        <f>'[1]Processed Data'!H1863</f>
        <v>33.299999999999997</v>
      </c>
      <c r="I904">
        <f>'[1]Processed Data'!I1863</f>
        <v>0</v>
      </c>
      <c r="J904">
        <f>'[1]Processed Data'!J1863</f>
        <v>0</v>
      </c>
      <c r="K904">
        <f>'[1]Processed Data'!K1863</f>
        <v>2</v>
      </c>
      <c r="L904">
        <f>'[1]Processed Data'!L1863</f>
        <v>0</v>
      </c>
      <c r="M904">
        <f>'[1]Processed Data'!M1863</f>
        <v>0</v>
      </c>
      <c r="N904">
        <f>'[1]Processed Data'!N1863</f>
        <v>0</v>
      </c>
      <c r="O904">
        <f>'[1]Processed Data'!O1863</f>
        <v>0</v>
      </c>
      <c r="P904">
        <f>'[1]Processed Data'!P1863</f>
        <v>0.1</v>
      </c>
      <c r="Q904">
        <f>'[1]Processed Data'!Q1863</f>
        <v>3</v>
      </c>
    </row>
    <row r="905" spans="2:17" hidden="1">
      <c r="B905">
        <f>'[1]Processed Data'!B1924</f>
        <v>2009</v>
      </c>
      <c r="C905">
        <f>'[1]Processed Data'!C1924</f>
        <v>78</v>
      </c>
      <c r="D905" t="str">
        <f>'[1]Processed Data'!D1924</f>
        <v>Levi Brown</v>
      </c>
      <c r="E905">
        <v>2020</v>
      </c>
      <c r="F905">
        <f>'[1]Processed Data'!F1924</f>
        <v>0</v>
      </c>
      <c r="G905">
        <f>'[1]Processed Data'!G1924</f>
        <v>0</v>
      </c>
      <c r="H905">
        <f>'[1]Processed Data'!H1924</f>
        <v>0</v>
      </c>
      <c r="I905">
        <f>'[1]Processed Data'!I1924</f>
        <v>0</v>
      </c>
      <c r="J905">
        <f>'[1]Processed Data'!J1924</f>
        <v>0</v>
      </c>
      <c r="K905">
        <f>'[1]Processed Data'!K1924</f>
        <v>0</v>
      </c>
      <c r="L905">
        <f>'[1]Processed Data'!L1924</f>
        <v>0</v>
      </c>
      <c r="M905">
        <f>'[1]Processed Data'!M1924</f>
        <v>0</v>
      </c>
      <c r="N905">
        <f>'[1]Processed Data'!N1924</f>
        <v>0</v>
      </c>
      <c r="O905">
        <f>'[1]Processed Data'!O1924</f>
        <v>0</v>
      </c>
      <c r="P905">
        <f>'[1]Processed Data'!P1924</f>
        <v>0</v>
      </c>
      <c r="Q905">
        <f>'[1]Processed Data'!Q1924</f>
        <v>16</v>
      </c>
    </row>
    <row r="906" spans="2:17" hidden="1">
      <c r="B906">
        <f>'[1]Processed Data'!B1931</f>
        <v>2009</v>
      </c>
      <c r="C906">
        <f>'[1]Processed Data'!C1931</f>
        <v>85</v>
      </c>
      <c r="D906" t="str">
        <f>'[1]Processed Data'!D1931</f>
        <v>Eli Manning</v>
      </c>
      <c r="E906">
        <v>2020</v>
      </c>
      <c r="F906">
        <f>'[1]Processed Data'!F1931</f>
        <v>317</v>
      </c>
      <c r="G906">
        <f>'[1]Processed Data'!G1931</f>
        <v>509</v>
      </c>
      <c r="H906">
        <f>'[1]Processed Data'!H1931</f>
        <v>62.3</v>
      </c>
      <c r="I906">
        <f>'[1]Processed Data'!I1931</f>
        <v>27</v>
      </c>
      <c r="J906">
        <f>'[1]Processed Data'!J1931</f>
        <v>14</v>
      </c>
      <c r="K906">
        <f>'[1]Processed Data'!K1931</f>
        <v>30</v>
      </c>
      <c r="L906">
        <f>'[1]Processed Data'!L1931</f>
        <v>17</v>
      </c>
      <c r="M906">
        <f>'[1]Processed Data'!M1931</f>
        <v>65</v>
      </c>
      <c r="N906">
        <f>'[1]Processed Data'!N1931</f>
        <v>0</v>
      </c>
      <c r="O906">
        <f>'[1]Processed Data'!O1931</f>
        <v>8</v>
      </c>
      <c r="P906">
        <f>'[1]Processed Data'!P1931</f>
        <v>0</v>
      </c>
      <c r="Q906">
        <f>'[1]Processed Data'!Q1931</f>
        <v>16</v>
      </c>
    </row>
    <row r="907" spans="2:17" hidden="1">
      <c r="B907">
        <f>'[1]Processed Data'!B1932</f>
        <v>2009</v>
      </c>
      <c r="C907">
        <f>'[1]Processed Data'!C1932</f>
        <v>86</v>
      </c>
      <c r="D907" t="str">
        <f>'[1]Processed Data'!D1932</f>
        <v>David Carr</v>
      </c>
      <c r="E907">
        <v>2020</v>
      </c>
      <c r="F907">
        <f>'[1]Processed Data'!F1932</f>
        <v>21</v>
      </c>
      <c r="G907">
        <f>'[1]Processed Data'!G1932</f>
        <v>33</v>
      </c>
      <c r="H907">
        <f>'[1]Processed Data'!H1932</f>
        <v>63.6</v>
      </c>
      <c r="I907">
        <f>'[1]Processed Data'!I1932</f>
        <v>1</v>
      </c>
      <c r="J907">
        <f>'[1]Processed Data'!J1932</f>
        <v>0</v>
      </c>
      <c r="K907">
        <f>'[1]Processed Data'!K1932</f>
        <v>2</v>
      </c>
      <c r="L907">
        <f>'[1]Processed Data'!L1932</f>
        <v>9</v>
      </c>
      <c r="M907">
        <f>'[1]Processed Data'!M1932</f>
        <v>27</v>
      </c>
      <c r="N907">
        <f>'[1]Processed Data'!N1932</f>
        <v>1</v>
      </c>
      <c r="O907">
        <f>'[1]Processed Data'!O1932</f>
        <v>0</v>
      </c>
      <c r="P907">
        <f>'[1]Processed Data'!P1932</f>
        <v>0</v>
      </c>
      <c r="Q907">
        <f>'[1]Processed Data'!Q1932</f>
        <v>6</v>
      </c>
    </row>
    <row r="908" spans="2:17" hidden="1">
      <c r="B908">
        <f>'[1]Processed Data'!B1933</f>
        <v>2009</v>
      </c>
      <c r="C908">
        <f>'[1]Processed Data'!C1933</f>
        <v>87</v>
      </c>
      <c r="D908" t="str">
        <f>'[1]Processed Data'!D1933</f>
        <v>Dennis Dixon</v>
      </c>
      <c r="E908">
        <v>2020</v>
      </c>
      <c r="F908">
        <f>'[1]Processed Data'!F1933</f>
        <v>12</v>
      </c>
      <c r="G908">
        <f>'[1]Processed Data'!G1933</f>
        <v>26</v>
      </c>
      <c r="H908">
        <f>'[1]Processed Data'!H1933</f>
        <v>46.2</v>
      </c>
      <c r="I908">
        <f>'[1]Processed Data'!I1933</f>
        <v>1</v>
      </c>
      <c r="J908">
        <f>'[1]Processed Data'!J1933</f>
        <v>1</v>
      </c>
      <c r="K908">
        <f>'[1]Processed Data'!K1933</f>
        <v>0</v>
      </c>
      <c r="L908">
        <f>'[1]Processed Data'!L1933</f>
        <v>3</v>
      </c>
      <c r="M908">
        <f>'[1]Processed Data'!M1933</f>
        <v>27</v>
      </c>
      <c r="N908">
        <f>'[1]Processed Data'!N1933</f>
        <v>1</v>
      </c>
      <c r="O908">
        <f>'[1]Processed Data'!O1933</f>
        <v>0</v>
      </c>
      <c r="P908">
        <f>'[1]Processed Data'!P1933</f>
        <v>0</v>
      </c>
      <c r="Q908">
        <f>'[1]Processed Data'!Q1933</f>
        <v>1</v>
      </c>
    </row>
    <row r="909" spans="2:17" hidden="1">
      <c r="B909">
        <f>'[1]Processed Data'!B1934</f>
        <v>2009</v>
      </c>
      <c r="C909">
        <f>'[1]Processed Data'!C1934</f>
        <v>88</v>
      </c>
      <c r="D909" t="str">
        <f>'[1]Processed Data'!D1934</f>
        <v>Derek Anderson</v>
      </c>
      <c r="E909">
        <v>2020</v>
      </c>
      <c r="F909">
        <f>'[1]Processed Data'!F1934</f>
        <v>81</v>
      </c>
      <c r="G909">
        <f>'[1]Processed Data'!G1934</f>
        <v>182</v>
      </c>
      <c r="H909">
        <f>'[1]Processed Data'!H1934</f>
        <v>44.5</v>
      </c>
      <c r="I909">
        <f>'[1]Processed Data'!I1934</f>
        <v>3</v>
      </c>
      <c r="J909">
        <f>'[1]Processed Data'!J1934</f>
        <v>10</v>
      </c>
      <c r="K909">
        <f>'[1]Processed Data'!K1934</f>
        <v>11</v>
      </c>
      <c r="L909">
        <f>'[1]Processed Data'!L1934</f>
        <v>10</v>
      </c>
      <c r="M909">
        <f>'[1]Processed Data'!M1934</f>
        <v>8</v>
      </c>
      <c r="N909">
        <f>'[1]Processed Data'!N1934</f>
        <v>2</v>
      </c>
      <c r="O909">
        <f>'[1]Processed Data'!O1934</f>
        <v>3</v>
      </c>
      <c r="P909">
        <f>'[1]Processed Data'!P1934</f>
        <v>0</v>
      </c>
      <c r="Q909">
        <f>'[1]Processed Data'!Q1934</f>
        <v>8</v>
      </c>
    </row>
    <row r="910" spans="2:17" hidden="1">
      <c r="B910">
        <f>'[1]Processed Data'!B1935</f>
        <v>2009</v>
      </c>
      <c r="C910">
        <f>'[1]Processed Data'!C1935</f>
        <v>89</v>
      </c>
      <c r="D910" t="str">
        <f>'[1]Processed Data'!D1935</f>
        <v>Jason Campbell</v>
      </c>
      <c r="E910">
        <v>2020</v>
      </c>
      <c r="F910">
        <f>'[1]Processed Data'!F1935</f>
        <v>327</v>
      </c>
      <c r="G910">
        <f>'[1]Processed Data'!G1935</f>
        <v>507</v>
      </c>
      <c r="H910">
        <f>'[1]Processed Data'!H1935</f>
        <v>64.5</v>
      </c>
      <c r="I910">
        <f>'[1]Processed Data'!I1935</f>
        <v>20</v>
      </c>
      <c r="J910">
        <f>'[1]Processed Data'!J1935</f>
        <v>15</v>
      </c>
      <c r="K910">
        <f>'[1]Processed Data'!K1935</f>
        <v>43</v>
      </c>
      <c r="L910">
        <f>'[1]Processed Data'!L1935</f>
        <v>46</v>
      </c>
      <c r="M910">
        <f>'[1]Processed Data'!M1935</f>
        <v>236</v>
      </c>
      <c r="N910">
        <f>'[1]Processed Data'!N1935</f>
        <v>1</v>
      </c>
      <c r="O910">
        <f>'[1]Processed Data'!O1935</f>
        <v>3</v>
      </c>
      <c r="P910">
        <f>'[1]Processed Data'!P1935</f>
        <v>0</v>
      </c>
      <c r="Q910">
        <f>'[1]Processed Data'!Q1935</f>
        <v>16</v>
      </c>
    </row>
    <row r="911" spans="2:17" hidden="1">
      <c r="B911">
        <f>'[1]Processed Data'!B1936</f>
        <v>2009</v>
      </c>
      <c r="C911">
        <f>'[1]Processed Data'!C1936</f>
        <v>90</v>
      </c>
      <c r="D911" t="str">
        <f>'[1]Processed Data'!D1936</f>
        <v>Jay Cutler</v>
      </c>
      <c r="E911">
        <v>2020</v>
      </c>
      <c r="F911">
        <f>'[1]Processed Data'!F1936</f>
        <v>336</v>
      </c>
      <c r="G911">
        <f>'[1]Processed Data'!G1936</f>
        <v>555</v>
      </c>
      <c r="H911">
        <f>'[1]Processed Data'!H1936</f>
        <v>60.5</v>
      </c>
      <c r="I911">
        <f>'[1]Processed Data'!I1936</f>
        <v>27</v>
      </c>
      <c r="J911">
        <f>'[1]Processed Data'!J1936</f>
        <v>26</v>
      </c>
      <c r="K911">
        <f>'[1]Processed Data'!K1936</f>
        <v>35</v>
      </c>
      <c r="L911">
        <f>'[1]Processed Data'!L1936</f>
        <v>40</v>
      </c>
      <c r="M911">
        <f>'[1]Processed Data'!M1936</f>
        <v>173</v>
      </c>
      <c r="N911">
        <f>'[1]Processed Data'!N1936</f>
        <v>1</v>
      </c>
      <c r="O911">
        <f>'[1]Processed Data'!O1936</f>
        <v>1</v>
      </c>
      <c r="P911">
        <f>'[1]Processed Data'!P1936</f>
        <v>0</v>
      </c>
      <c r="Q911">
        <f>'[1]Processed Data'!Q1936</f>
        <v>16</v>
      </c>
    </row>
    <row r="912" spans="2:17" hidden="1">
      <c r="B912">
        <f>'[1]Processed Data'!B1937</f>
        <v>2009</v>
      </c>
      <c r="C912">
        <f>'[1]Processed Data'!C1937</f>
        <v>91</v>
      </c>
      <c r="D912" t="str">
        <f>'[1]Processed Data'!D1937</f>
        <v>Josh Freeman</v>
      </c>
      <c r="E912">
        <v>2020</v>
      </c>
      <c r="F912">
        <f>'[1]Processed Data'!F1937</f>
        <v>158</v>
      </c>
      <c r="G912">
        <f>'[1]Processed Data'!G1937</f>
        <v>290</v>
      </c>
      <c r="H912">
        <f>'[1]Processed Data'!H1937</f>
        <v>54.5</v>
      </c>
      <c r="I912">
        <f>'[1]Processed Data'!I1937</f>
        <v>10</v>
      </c>
      <c r="J912">
        <f>'[1]Processed Data'!J1937</f>
        <v>18</v>
      </c>
      <c r="K912">
        <f>'[1]Processed Data'!K1937</f>
        <v>20</v>
      </c>
      <c r="L912">
        <f>'[1]Processed Data'!L1937</f>
        <v>30</v>
      </c>
      <c r="M912">
        <f>'[1]Processed Data'!M1937</f>
        <v>161</v>
      </c>
      <c r="N912">
        <f>'[1]Processed Data'!N1937</f>
        <v>0</v>
      </c>
      <c r="O912">
        <f>'[1]Processed Data'!O1937</f>
        <v>2</v>
      </c>
      <c r="P912">
        <f>'[1]Processed Data'!P1937</f>
        <v>0</v>
      </c>
      <c r="Q912">
        <f>'[1]Processed Data'!Q1937</f>
        <v>10</v>
      </c>
    </row>
    <row r="913" spans="2:17" hidden="1">
      <c r="B913">
        <f>'[1]Processed Data'!B1938</f>
        <v>2009</v>
      </c>
      <c r="C913">
        <f>'[1]Processed Data'!C1938</f>
        <v>92</v>
      </c>
      <c r="D913" t="str">
        <f>'[1]Processed Data'!D1938</f>
        <v>Curtis Painter</v>
      </c>
      <c r="E913">
        <v>2020</v>
      </c>
      <c r="F913">
        <f>'[1]Processed Data'!F1938</f>
        <v>8</v>
      </c>
      <c r="G913">
        <f>'[1]Processed Data'!G1938</f>
        <v>28</v>
      </c>
      <c r="H913">
        <f>'[1]Processed Data'!H1938</f>
        <v>28.6</v>
      </c>
      <c r="I913">
        <f>'[1]Processed Data'!I1938</f>
        <v>0</v>
      </c>
      <c r="J913">
        <f>'[1]Processed Data'!J1938</f>
        <v>2</v>
      </c>
      <c r="K913">
        <f>'[1]Processed Data'!K1938</f>
        <v>3</v>
      </c>
      <c r="L913">
        <f>'[1]Processed Data'!L1938</f>
        <v>3</v>
      </c>
      <c r="M913">
        <f>'[1]Processed Data'!M1938</f>
        <v>4</v>
      </c>
      <c r="N913">
        <f>'[1]Processed Data'!N1938</f>
        <v>0</v>
      </c>
      <c r="O913">
        <f>'[1]Processed Data'!O1938</f>
        <v>2</v>
      </c>
      <c r="P913">
        <f>'[1]Processed Data'!P1938</f>
        <v>0</v>
      </c>
      <c r="Q913">
        <f>'[1]Processed Data'!Q1938</f>
        <v>2</v>
      </c>
    </row>
    <row r="914" spans="2:17" hidden="1">
      <c r="B914">
        <f>'[1]Processed Data'!B1939</f>
        <v>2009</v>
      </c>
      <c r="C914">
        <f>'[1]Processed Data'!C1939</f>
        <v>93</v>
      </c>
      <c r="D914" t="str">
        <f>'[1]Processed Data'!D1939</f>
        <v>Kellen Clemens</v>
      </c>
      <c r="E914">
        <v>2020</v>
      </c>
      <c r="F914">
        <f>'[1]Processed Data'!F1939</f>
        <v>13</v>
      </c>
      <c r="G914">
        <f>'[1]Processed Data'!G1939</f>
        <v>26</v>
      </c>
      <c r="H914">
        <f>'[1]Processed Data'!H1939</f>
        <v>50</v>
      </c>
      <c r="I914">
        <f>'[1]Processed Data'!I1939</f>
        <v>0</v>
      </c>
      <c r="J914">
        <f>'[1]Processed Data'!J1939</f>
        <v>0</v>
      </c>
      <c r="K914">
        <f>'[1]Processed Data'!K1939</f>
        <v>4</v>
      </c>
      <c r="L914">
        <f>'[1]Processed Data'!L1939</f>
        <v>12</v>
      </c>
      <c r="M914">
        <f>'[1]Processed Data'!M1939</f>
        <v>1</v>
      </c>
      <c r="N914">
        <f>'[1]Processed Data'!N1939</f>
        <v>0</v>
      </c>
      <c r="O914">
        <f>'[1]Processed Data'!O1939</f>
        <v>0</v>
      </c>
      <c r="P914">
        <f>'[1]Processed Data'!P1939</f>
        <v>0</v>
      </c>
      <c r="Q914">
        <f>'[1]Processed Data'!Q1939</f>
        <v>10</v>
      </c>
    </row>
    <row r="915" spans="2:17" hidden="1">
      <c r="B915">
        <f>'[1]Processed Data'!B1940</f>
        <v>2009</v>
      </c>
      <c r="C915">
        <f>'[1]Processed Data'!C1940</f>
        <v>94</v>
      </c>
      <c r="D915" t="str">
        <f>'[1]Processed Data'!D1940</f>
        <v>Brady Quinn</v>
      </c>
      <c r="E915">
        <v>2020</v>
      </c>
      <c r="F915">
        <f>'[1]Processed Data'!F1940</f>
        <v>136</v>
      </c>
      <c r="G915">
        <f>'[1]Processed Data'!G1940</f>
        <v>256</v>
      </c>
      <c r="H915">
        <f>'[1]Processed Data'!H1940</f>
        <v>53.1</v>
      </c>
      <c r="I915">
        <f>'[1]Processed Data'!I1940</f>
        <v>8</v>
      </c>
      <c r="J915">
        <f>'[1]Processed Data'!J1940</f>
        <v>7</v>
      </c>
      <c r="K915">
        <f>'[1]Processed Data'!K1940</f>
        <v>19</v>
      </c>
      <c r="L915">
        <f>'[1]Processed Data'!L1940</f>
        <v>20</v>
      </c>
      <c r="M915">
        <f>'[1]Processed Data'!M1940</f>
        <v>98</v>
      </c>
      <c r="N915">
        <f>'[1]Processed Data'!N1940</f>
        <v>1</v>
      </c>
      <c r="O915">
        <f>'[1]Processed Data'!O1940</f>
        <v>3</v>
      </c>
      <c r="P915">
        <f>'[1]Processed Data'!P1940</f>
        <v>0</v>
      </c>
      <c r="Q915">
        <f>'[1]Processed Data'!Q1940</f>
        <v>10</v>
      </c>
    </row>
    <row r="916" spans="2:17" hidden="1">
      <c r="B916">
        <f>'[1]Processed Data'!B1944</f>
        <v>2009</v>
      </c>
      <c r="C916">
        <f>'[1]Processed Data'!C1944</f>
        <v>98</v>
      </c>
      <c r="D916" t="str">
        <f>'[1]Processed Data'!D1944</f>
        <v>Bruce Gradkowski</v>
      </c>
      <c r="E916">
        <v>2020</v>
      </c>
      <c r="F916">
        <f>'[1]Processed Data'!F1944</f>
        <v>82</v>
      </c>
      <c r="G916">
        <f>'[1]Processed Data'!G1944</f>
        <v>150</v>
      </c>
      <c r="H916">
        <f>'[1]Processed Data'!H1944</f>
        <v>54.7</v>
      </c>
      <c r="I916">
        <f>'[1]Processed Data'!I1944</f>
        <v>6</v>
      </c>
      <c r="J916">
        <f>'[1]Processed Data'!J1944</f>
        <v>3</v>
      </c>
      <c r="K916">
        <f>'[1]Processed Data'!K1944</f>
        <v>11</v>
      </c>
      <c r="L916">
        <f>'[1]Processed Data'!L1944</f>
        <v>18</v>
      </c>
      <c r="M916">
        <f>'[1]Processed Data'!M1944</f>
        <v>108</v>
      </c>
      <c r="N916">
        <f>'[1]Processed Data'!N1944</f>
        <v>0</v>
      </c>
      <c r="O916">
        <f>'[1]Processed Data'!O1944</f>
        <v>3</v>
      </c>
      <c r="P916">
        <f>'[1]Processed Data'!P1944</f>
        <v>0</v>
      </c>
      <c r="Q916">
        <f>'[1]Processed Data'!Q1944</f>
        <v>7</v>
      </c>
    </row>
    <row r="917" spans="2:17" hidden="1">
      <c r="B917">
        <f>'[1]Processed Data'!B1945</f>
        <v>2009</v>
      </c>
      <c r="C917">
        <f>'[1]Processed Data'!C1945</f>
        <v>99</v>
      </c>
      <c r="D917" t="str">
        <f>'[1]Processed Data'!D1945</f>
        <v>Caleb Hanie</v>
      </c>
      <c r="E917">
        <v>2019</v>
      </c>
      <c r="F917">
        <f>'[1]Processed Data'!F1945</f>
        <v>3</v>
      </c>
      <c r="G917">
        <f>'[1]Processed Data'!G1945</f>
        <v>7</v>
      </c>
      <c r="H917">
        <f>'[1]Processed Data'!H1945</f>
        <v>42.9</v>
      </c>
      <c r="I917">
        <f>'[1]Processed Data'!I1945</f>
        <v>0</v>
      </c>
      <c r="J917">
        <f>'[1]Processed Data'!J1945</f>
        <v>1</v>
      </c>
      <c r="K917">
        <f>'[1]Processed Data'!K1945</f>
        <v>0</v>
      </c>
      <c r="L917">
        <f>'[1]Processed Data'!L1945</f>
        <v>0</v>
      </c>
      <c r="M917">
        <f>'[1]Processed Data'!M1945</f>
        <v>0</v>
      </c>
      <c r="N917">
        <f>'[1]Processed Data'!N1945</f>
        <v>0</v>
      </c>
      <c r="O917">
        <f>'[1]Processed Data'!O1945</f>
        <v>0</v>
      </c>
      <c r="P917">
        <f>'[1]Processed Data'!P1945</f>
        <v>0</v>
      </c>
      <c r="Q917">
        <f>'[1]Processed Data'!Q1945</f>
        <v>2</v>
      </c>
    </row>
    <row r="918" spans="2:17" hidden="1">
      <c r="B918">
        <f>'[1]Processed Data'!B1946</f>
        <v>2009</v>
      </c>
      <c r="C918">
        <f>'[1]Processed Data'!C1946</f>
        <v>100</v>
      </c>
      <c r="D918" t="str">
        <f>'[1]Processed Data'!D1946</f>
        <v>Carson Palmer</v>
      </c>
      <c r="E918">
        <v>2019</v>
      </c>
      <c r="F918">
        <f>'[1]Processed Data'!F1946</f>
        <v>282</v>
      </c>
      <c r="G918">
        <f>'[1]Processed Data'!G1946</f>
        <v>466</v>
      </c>
      <c r="H918">
        <f>'[1]Processed Data'!H1946</f>
        <v>60.5</v>
      </c>
      <c r="I918">
        <f>'[1]Processed Data'!I1946</f>
        <v>21</v>
      </c>
      <c r="J918">
        <f>'[1]Processed Data'!J1946</f>
        <v>13</v>
      </c>
      <c r="K918">
        <f>'[1]Processed Data'!K1946</f>
        <v>26</v>
      </c>
      <c r="L918">
        <f>'[1]Processed Data'!L1946</f>
        <v>39</v>
      </c>
      <c r="M918">
        <f>'[1]Processed Data'!M1946</f>
        <v>93</v>
      </c>
      <c r="N918">
        <f>'[1]Processed Data'!N1946</f>
        <v>3</v>
      </c>
      <c r="O918">
        <f>'[1]Processed Data'!O1946</f>
        <v>2</v>
      </c>
      <c r="P918">
        <f>'[1]Processed Data'!P1946</f>
        <v>0</v>
      </c>
      <c r="Q918">
        <f>'[1]Processed Data'!Q1946</f>
        <v>16</v>
      </c>
    </row>
    <row r="919" spans="2:17" hidden="1">
      <c r="B919">
        <f>'[1]Processed Data'!B1948</f>
        <v>2009</v>
      </c>
      <c r="C919">
        <f>'[1]Processed Data'!C1948</f>
        <v>102</v>
      </c>
      <c r="D919" t="str">
        <f>'[1]Processed Data'!D1948</f>
        <v>Tony Romo</v>
      </c>
      <c r="E919">
        <v>2019</v>
      </c>
      <c r="F919">
        <f>'[1]Processed Data'!F1948</f>
        <v>347</v>
      </c>
      <c r="G919">
        <f>'[1]Processed Data'!G1948</f>
        <v>550</v>
      </c>
      <c r="H919">
        <f>'[1]Processed Data'!H1948</f>
        <v>63.1</v>
      </c>
      <c r="I919">
        <f>'[1]Processed Data'!I1948</f>
        <v>26</v>
      </c>
      <c r="J919">
        <f>'[1]Processed Data'!J1948</f>
        <v>9</v>
      </c>
      <c r="K919">
        <f>'[1]Processed Data'!K1948</f>
        <v>34</v>
      </c>
      <c r="L919">
        <f>'[1]Processed Data'!L1948</f>
        <v>35</v>
      </c>
      <c r="M919">
        <f>'[1]Processed Data'!M1948</f>
        <v>105</v>
      </c>
      <c r="N919">
        <f>'[1]Processed Data'!N1948</f>
        <v>1</v>
      </c>
      <c r="O919">
        <f>'[1]Processed Data'!O1948</f>
        <v>4</v>
      </c>
      <c r="P919">
        <f>'[1]Processed Data'!P1948</f>
        <v>0</v>
      </c>
      <c r="Q919">
        <f>'[1]Processed Data'!Q1948</f>
        <v>16</v>
      </c>
    </row>
    <row r="920" spans="2:17" hidden="1">
      <c r="B920">
        <f>'[1]Processed Data'!B1949</f>
        <v>2009</v>
      </c>
      <c r="C920">
        <f>'[1]Processed Data'!C1949</f>
        <v>103</v>
      </c>
      <c r="D920" t="str">
        <f>'[1]Processed Data'!D1949</f>
        <v>Trent Edwards</v>
      </c>
      <c r="E920">
        <v>2019</v>
      </c>
      <c r="F920">
        <f>'[1]Processed Data'!F1949</f>
        <v>110</v>
      </c>
      <c r="G920">
        <f>'[1]Processed Data'!G1949</f>
        <v>183</v>
      </c>
      <c r="H920">
        <f>'[1]Processed Data'!H1949</f>
        <v>60.1</v>
      </c>
      <c r="I920">
        <f>'[1]Processed Data'!I1949</f>
        <v>6</v>
      </c>
      <c r="J920">
        <f>'[1]Processed Data'!J1949</f>
        <v>7</v>
      </c>
      <c r="K920">
        <f>'[1]Processed Data'!K1949</f>
        <v>23</v>
      </c>
      <c r="L920">
        <f>'[1]Processed Data'!L1949</f>
        <v>14</v>
      </c>
      <c r="M920">
        <f>'[1]Processed Data'!M1949</f>
        <v>106</v>
      </c>
      <c r="N920">
        <f>'[1]Processed Data'!N1949</f>
        <v>0</v>
      </c>
      <c r="O920">
        <f>'[1]Processed Data'!O1949</f>
        <v>0</v>
      </c>
      <c r="P920">
        <f>'[1]Processed Data'!P1949</f>
        <v>0</v>
      </c>
      <c r="Q920">
        <f>'[1]Processed Data'!Q1949</f>
        <v>8</v>
      </c>
    </row>
    <row r="921" spans="2:17" hidden="1">
      <c r="B921">
        <f>'[1]Processed Data'!B1950</f>
        <v>2009</v>
      </c>
      <c r="C921">
        <f>'[1]Processed Data'!C1950</f>
        <v>104</v>
      </c>
      <c r="D921" t="str">
        <f>'[1]Processed Data'!D1950</f>
        <v>Tyler Thigpen</v>
      </c>
      <c r="E921">
        <v>2019</v>
      </c>
      <c r="F921">
        <f>'[1]Processed Data'!F1950</f>
        <v>4</v>
      </c>
      <c r="G921">
        <f>'[1]Processed Data'!G1950</f>
        <v>8</v>
      </c>
      <c r="H921">
        <f>'[1]Processed Data'!H1950</f>
        <v>50</v>
      </c>
      <c r="I921">
        <f>'[1]Processed Data'!I1950</f>
        <v>1</v>
      </c>
      <c r="J921">
        <f>'[1]Processed Data'!J1950</f>
        <v>2</v>
      </c>
      <c r="K921">
        <f>'[1]Processed Data'!K1950</f>
        <v>0</v>
      </c>
      <c r="L921">
        <f>'[1]Processed Data'!L1950</f>
        <v>2</v>
      </c>
      <c r="M921">
        <f>'[1]Processed Data'!M1950</f>
        <v>3</v>
      </c>
      <c r="N921">
        <f>'[1]Processed Data'!N1950</f>
        <v>0</v>
      </c>
      <c r="O921">
        <f>'[1]Processed Data'!O1950</f>
        <v>0</v>
      </c>
      <c r="P921">
        <f>'[1]Processed Data'!P1950</f>
        <v>0</v>
      </c>
      <c r="Q921">
        <f>'[1]Processed Data'!Q1950</f>
        <v>2</v>
      </c>
    </row>
    <row r="922" spans="2:17" hidden="1">
      <c r="B922">
        <f>'[1]Processed Data'!B1952</f>
        <v>2009</v>
      </c>
      <c r="C922">
        <f>'[1]Processed Data'!C1952</f>
        <v>106</v>
      </c>
      <c r="D922" t="str">
        <f>'[1]Processed Data'!D1952</f>
        <v>Tarvaris Jackson</v>
      </c>
      <c r="E922">
        <v>2019</v>
      </c>
      <c r="F922">
        <f>'[1]Processed Data'!F1952</f>
        <v>14</v>
      </c>
      <c r="G922">
        <f>'[1]Processed Data'!G1952</f>
        <v>21</v>
      </c>
      <c r="H922">
        <f>'[1]Processed Data'!H1952</f>
        <v>66.7</v>
      </c>
      <c r="I922">
        <f>'[1]Processed Data'!I1952</f>
        <v>1</v>
      </c>
      <c r="J922">
        <f>'[1]Processed Data'!J1952</f>
        <v>0</v>
      </c>
      <c r="K922">
        <f>'[1]Processed Data'!K1952</f>
        <v>0</v>
      </c>
      <c r="L922">
        <f>'[1]Processed Data'!L1952</f>
        <v>17</v>
      </c>
      <c r="M922">
        <f>'[1]Processed Data'!M1952</f>
        <v>-10</v>
      </c>
      <c r="N922">
        <f>'[1]Processed Data'!N1952</f>
        <v>0</v>
      </c>
      <c r="O922">
        <f>'[1]Processed Data'!O1952</f>
        <v>0</v>
      </c>
      <c r="P922">
        <f>'[1]Processed Data'!P1952</f>
        <v>0</v>
      </c>
      <c r="Q922">
        <f>'[1]Processed Data'!Q1952</f>
        <v>8</v>
      </c>
    </row>
    <row r="923" spans="2:17" hidden="1">
      <c r="B923">
        <f>'[1]Processed Data'!B1953</f>
        <v>2009</v>
      </c>
      <c r="C923">
        <f>'[1]Processed Data'!C1953</f>
        <v>107</v>
      </c>
      <c r="D923" t="str">
        <f>'[1]Processed Data'!D1953</f>
        <v>Shaun Hill</v>
      </c>
      <c r="E923">
        <v>2019</v>
      </c>
      <c r="F923">
        <f>'[1]Processed Data'!F1953</f>
        <v>87</v>
      </c>
      <c r="G923">
        <f>'[1]Processed Data'!G1953</f>
        <v>155</v>
      </c>
      <c r="H923">
        <f>'[1]Processed Data'!H1953</f>
        <v>56.1</v>
      </c>
      <c r="I923">
        <f>'[1]Processed Data'!I1953</f>
        <v>5</v>
      </c>
      <c r="J923">
        <f>'[1]Processed Data'!J1953</f>
        <v>2</v>
      </c>
      <c r="K923">
        <f>'[1]Processed Data'!K1953</f>
        <v>18</v>
      </c>
      <c r="L923">
        <f>'[1]Processed Data'!L1953</f>
        <v>8</v>
      </c>
      <c r="M923">
        <f>'[1]Processed Data'!M1953</f>
        <v>70</v>
      </c>
      <c r="N923">
        <f>'[1]Processed Data'!N1953</f>
        <v>0</v>
      </c>
      <c r="O923">
        <f>'[1]Processed Data'!O1953</f>
        <v>1</v>
      </c>
      <c r="P923">
        <f>'[1]Processed Data'!P1953</f>
        <v>0</v>
      </c>
      <c r="Q923">
        <f>'[1]Processed Data'!Q1953</f>
        <v>6</v>
      </c>
    </row>
    <row r="924" spans="2:17" hidden="1">
      <c r="B924">
        <f>'[1]Processed Data'!B1954</f>
        <v>2009</v>
      </c>
      <c r="C924">
        <f>'[1]Processed Data'!C1954</f>
        <v>108</v>
      </c>
      <c r="D924" t="str">
        <f>'[1]Processed Data'!D1954</f>
        <v>Kevin Kolb</v>
      </c>
      <c r="E924">
        <v>2019</v>
      </c>
      <c r="F924">
        <f>'[1]Processed Data'!F1954</f>
        <v>62</v>
      </c>
      <c r="G924">
        <f>'[1]Processed Data'!G1954</f>
        <v>96</v>
      </c>
      <c r="H924">
        <f>'[1]Processed Data'!H1954</f>
        <v>64.599999999999994</v>
      </c>
      <c r="I924">
        <f>'[1]Processed Data'!I1954</f>
        <v>4</v>
      </c>
      <c r="J924">
        <f>'[1]Processed Data'!J1954</f>
        <v>3</v>
      </c>
      <c r="K924">
        <f>'[1]Processed Data'!K1954</f>
        <v>3</v>
      </c>
      <c r="L924">
        <f>'[1]Processed Data'!L1954</f>
        <v>5</v>
      </c>
      <c r="M924">
        <f>'[1]Processed Data'!M1954</f>
        <v>-1</v>
      </c>
      <c r="N924">
        <f>'[1]Processed Data'!N1954</f>
        <v>1</v>
      </c>
      <c r="O924">
        <f>'[1]Processed Data'!O1954</f>
        <v>1</v>
      </c>
      <c r="P924">
        <f>'[1]Processed Data'!P1954</f>
        <v>0</v>
      </c>
      <c r="Q924">
        <f>'[1]Processed Data'!Q1954</f>
        <v>5</v>
      </c>
    </row>
    <row r="925" spans="2:17" hidden="1">
      <c r="B925">
        <f>'[1]Processed Data'!B1955</f>
        <v>2009</v>
      </c>
      <c r="C925">
        <f>'[1]Processed Data'!C1955</f>
        <v>109</v>
      </c>
      <c r="D925" t="str">
        <f>'[1]Processed Data'!D1955</f>
        <v>Matt Flynn</v>
      </c>
      <c r="E925">
        <v>2019</v>
      </c>
      <c r="F925">
        <f>'[1]Processed Data'!F1955</f>
        <v>7</v>
      </c>
      <c r="G925">
        <f>'[1]Processed Data'!G1955</f>
        <v>12</v>
      </c>
      <c r="H925">
        <f>'[1]Processed Data'!H1955</f>
        <v>58.3</v>
      </c>
      <c r="I925">
        <f>'[1]Processed Data'!I1955</f>
        <v>0</v>
      </c>
      <c r="J925">
        <f>'[1]Processed Data'!J1955</f>
        <v>1</v>
      </c>
      <c r="K925">
        <f>'[1]Processed Data'!K1955</f>
        <v>1</v>
      </c>
      <c r="L925">
        <f>'[1]Processed Data'!L1955</f>
        <v>5</v>
      </c>
      <c r="M925">
        <f>'[1]Processed Data'!M1955</f>
        <v>-5</v>
      </c>
      <c r="N925">
        <f>'[1]Processed Data'!N1955</f>
        <v>0</v>
      </c>
      <c r="O925">
        <f>'[1]Processed Data'!O1955</f>
        <v>0</v>
      </c>
      <c r="P925">
        <f>'[1]Processed Data'!P1955</f>
        <v>0</v>
      </c>
      <c r="Q925">
        <f>'[1]Processed Data'!Q1955</f>
        <v>15</v>
      </c>
    </row>
    <row r="926" spans="2:17" hidden="1">
      <c r="B926">
        <f>'[1]Processed Data'!B1956</f>
        <v>2009</v>
      </c>
      <c r="C926">
        <f>'[1]Processed Data'!C1956</f>
        <v>110</v>
      </c>
      <c r="D926" t="str">
        <f>'[1]Processed Data'!D1956</f>
        <v>Kyle Orton</v>
      </c>
      <c r="E926">
        <v>2019</v>
      </c>
      <c r="F926">
        <f>'[1]Processed Data'!F1956</f>
        <v>336</v>
      </c>
      <c r="G926">
        <f>'[1]Processed Data'!G1956</f>
        <v>541</v>
      </c>
      <c r="H926">
        <f>'[1]Processed Data'!H1956</f>
        <v>62.1</v>
      </c>
      <c r="I926">
        <f>'[1]Processed Data'!I1956</f>
        <v>21</v>
      </c>
      <c r="J926">
        <f>'[1]Processed Data'!J1956</f>
        <v>12</v>
      </c>
      <c r="K926">
        <f>'[1]Processed Data'!K1956</f>
        <v>29</v>
      </c>
      <c r="L926">
        <f>'[1]Processed Data'!L1956</f>
        <v>24</v>
      </c>
      <c r="M926">
        <f>'[1]Processed Data'!M1956</f>
        <v>71</v>
      </c>
      <c r="N926">
        <f>'[1]Processed Data'!N1956</f>
        <v>0</v>
      </c>
      <c r="O926">
        <f>'[1]Processed Data'!O1956</f>
        <v>2</v>
      </c>
      <c r="P926">
        <f>'[1]Processed Data'!P1956</f>
        <v>0</v>
      </c>
      <c r="Q926">
        <f>'[1]Processed Data'!Q1956</f>
        <v>16</v>
      </c>
    </row>
    <row r="927" spans="2:17" hidden="1">
      <c r="B927">
        <f>'[1]Processed Data'!B1957</f>
        <v>2009</v>
      </c>
      <c r="C927">
        <f>'[1]Processed Data'!C1957</f>
        <v>111</v>
      </c>
      <c r="D927" t="str">
        <f>'[1]Processed Data'!D1957</f>
        <v>Mark Sanchez</v>
      </c>
      <c r="E927">
        <v>2019</v>
      </c>
      <c r="F927">
        <f>'[1]Processed Data'!F1957</f>
        <v>196</v>
      </c>
      <c r="G927">
        <f>'[1]Processed Data'!G1957</f>
        <v>364</v>
      </c>
      <c r="H927">
        <f>'[1]Processed Data'!H1957</f>
        <v>53.8</v>
      </c>
      <c r="I927">
        <f>'[1]Processed Data'!I1957</f>
        <v>12</v>
      </c>
      <c r="J927">
        <f>'[1]Processed Data'!J1957</f>
        <v>20</v>
      </c>
      <c r="K927">
        <f>'[1]Processed Data'!K1957</f>
        <v>26</v>
      </c>
      <c r="L927">
        <f>'[1]Processed Data'!L1957</f>
        <v>36</v>
      </c>
      <c r="M927">
        <f>'[1]Processed Data'!M1957</f>
        <v>106</v>
      </c>
      <c r="N927">
        <f>'[1]Processed Data'!N1957</f>
        <v>3</v>
      </c>
      <c r="O927">
        <f>'[1]Processed Data'!O1957</f>
        <v>3</v>
      </c>
      <c r="P927">
        <f>'[1]Processed Data'!P1957</f>
        <v>0</v>
      </c>
      <c r="Q927">
        <f>'[1]Processed Data'!Q1957</f>
        <v>15</v>
      </c>
    </row>
    <row r="928" spans="2:17" hidden="1">
      <c r="B928">
        <f>'[1]Processed Data'!B1958</f>
        <v>2009</v>
      </c>
      <c r="C928">
        <f>'[1]Processed Data'!C1958</f>
        <v>112</v>
      </c>
      <c r="D928" t="str">
        <f>'[1]Processed Data'!D1958</f>
        <v>Matt Cassel</v>
      </c>
      <c r="E928">
        <v>2019</v>
      </c>
      <c r="F928">
        <f>'[1]Processed Data'!F1958</f>
        <v>271</v>
      </c>
      <c r="G928">
        <f>'[1]Processed Data'!G1958</f>
        <v>493</v>
      </c>
      <c r="H928">
        <f>'[1]Processed Data'!H1958</f>
        <v>55</v>
      </c>
      <c r="I928">
        <f>'[1]Processed Data'!I1958</f>
        <v>16</v>
      </c>
      <c r="J928">
        <f>'[1]Processed Data'!J1958</f>
        <v>16</v>
      </c>
      <c r="K928">
        <f>'[1]Processed Data'!K1958</f>
        <v>42</v>
      </c>
      <c r="L928">
        <f>'[1]Processed Data'!L1958</f>
        <v>50</v>
      </c>
      <c r="M928">
        <f>'[1]Processed Data'!M1958</f>
        <v>189</v>
      </c>
      <c r="N928">
        <f>'[1]Processed Data'!N1958</f>
        <v>0</v>
      </c>
      <c r="O928">
        <f>'[1]Processed Data'!O1958</f>
        <v>3</v>
      </c>
      <c r="P928">
        <f>'[1]Processed Data'!P1958</f>
        <v>0</v>
      </c>
      <c r="Q928">
        <f>'[1]Processed Data'!Q1958</f>
        <v>15</v>
      </c>
    </row>
    <row r="929" spans="2:17" hidden="1">
      <c r="B929">
        <f>'[1]Processed Data'!B1959</f>
        <v>2009</v>
      </c>
      <c r="C929">
        <f>'[1]Processed Data'!C1959</f>
        <v>113</v>
      </c>
      <c r="D929" t="str">
        <f>'[1]Processed Data'!D1959</f>
        <v>Seneca Wallace</v>
      </c>
      <c r="E929">
        <v>2019</v>
      </c>
      <c r="F929">
        <f>'[1]Processed Data'!F1959</f>
        <v>78</v>
      </c>
      <c r="G929">
        <f>'[1]Processed Data'!G1959</f>
        <v>120</v>
      </c>
      <c r="H929">
        <f>'[1]Processed Data'!H1959</f>
        <v>65</v>
      </c>
      <c r="I929">
        <f>'[1]Processed Data'!I1959</f>
        <v>3</v>
      </c>
      <c r="J929">
        <f>'[1]Processed Data'!J1959</f>
        <v>2</v>
      </c>
      <c r="K929">
        <f>'[1]Processed Data'!K1959</f>
        <v>9</v>
      </c>
      <c r="L929">
        <f>'[1]Processed Data'!L1959</f>
        <v>16</v>
      </c>
      <c r="M929">
        <f>'[1]Processed Data'!M1959</f>
        <v>2</v>
      </c>
      <c r="N929">
        <f>'[1]Processed Data'!N1959</f>
        <v>1</v>
      </c>
      <c r="O929">
        <f>'[1]Processed Data'!O1959</f>
        <v>2</v>
      </c>
      <c r="P929">
        <f>'[1]Processed Data'!P1959</f>
        <v>0</v>
      </c>
      <c r="Q929">
        <f>'[1]Processed Data'!Q1959</f>
        <v>13</v>
      </c>
    </row>
    <row r="930" spans="2:17" hidden="1">
      <c r="B930">
        <f>'[1]Processed Data'!B1960</f>
        <v>2009</v>
      </c>
      <c r="C930">
        <f>'[1]Processed Data'!C1960</f>
        <v>114</v>
      </c>
      <c r="D930" t="str">
        <f>'[1]Processed Data'!D1960</f>
        <v>Matt Hasselbeck</v>
      </c>
      <c r="E930">
        <v>2019</v>
      </c>
      <c r="F930">
        <f>'[1]Processed Data'!F1960</f>
        <v>293</v>
      </c>
      <c r="G930">
        <f>'[1]Processed Data'!G1960</f>
        <v>488</v>
      </c>
      <c r="H930">
        <f>'[1]Processed Data'!H1960</f>
        <v>60</v>
      </c>
      <c r="I930">
        <f>'[1]Processed Data'!I1960</f>
        <v>17</v>
      </c>
      <c r="J930">
        <f>'[1]Processed Data'!J1960</f>
        <v>17</v>
      </c>
      <c r="K930">
        <f>'[1]Processed Data'!K1960</f>
        <v>32</v>
      </c>
      <c r="L930">
        <f>'[1]Processed Data'!L1960</f>
        <v>26</v>
      </c>
      <c r="M930">
        <f>'[1]Processed Data'!M1960</f>
        <v>119</v>
      </c>
      <c r="N930">
        <f>'[1]Processed Data'!N1960</f>
        <v>0</v>
      </c>
      <c r="O930">
        <f>'[1]Processed Data'!O1960</f>
        <v>3</v>
      </c>
      <c r="P930">
        <f>'[1]Processed Data'!P1960</f>
        <v>0</v>
      </c>
      <c r="Q930">
        <f>'[1]Processed Data'!Q1960</f>
        <v>14</v>
      </c>
    </row>
    <row r="931" spans="2:17" hidden="1">
      <c r="B931">
        <f>'[1]Processed Data'!B1961</f>
        <v>2009</v>
      </c>
      <c r="C931">
        <f>'[1]Processed Data'!C1961</f>
        <v>115</v>
      </c>
      <c r="D931" t="str">
        <f>'[1]Processed Data'!D1961</f>
        <v>Michael Vick</v>
      </c>
      <c r="E931">
        <v>2019</v>
      </c>
      <c r="F931">
        <f>'[1]Processed Data'!F1961</f>
        <v>6</v>
      </c>
      <c r="G931">
        <f>'[1]Processed Data'!G1961</f>
        <v>13</v>
      </c>
      <c r="H931">
        <f>'[1]Processed Data'!H1961</f>
        <v>46.2</v>
      </c>
      <c r="I931">
        <f>'[1]Processed Data'!I1961</f>
        <v>1</v>
      </c>
      <c r="J931">
        <f>'[1]Processed Data'!J1961</f>
        <v>0</v>
      </c>
      <c r="K931">
        <f>'[1]Processed Data'!K1961</f>
        <v>0</v>
      </c>
      <c r="L931">
        <f>'[1]Processed Data'!L1961</f>
        <v>24</v>
      </c>
      <c r="M931">
        <f>'[1]Processed Data'!M1961</f>
        <v>95</v>
      </c>
      <c r="N931">
        <f>'[1]Processed Data'!N1961</f>
        <v>2</v>
      </c>
      <c r="O931">
        <f>'[1]Processed Data'!O1961</f>
        <v>0</v>
      </c>
      <c r="P931">
        <f>'[1]Processed Data'!P1961</f>
        <v>0</v>
      </c>
      <c r="Q931">
        <f>'[1]Processed Data'!Q1961</f>
        <v>12</v>
      </c>
    </row>
    <row r="932" spans="2:17" hidden="1">
      <c r="B932">
        <f>'[1]Processed Data'!B1962</f>
        <v>2009</v>
      </c>
      <c r="C932">
        <f>'[1]Processed Data'!C1962</f>
        <v>116</v>
      </c>
      <c r="D932" t="str">
        <f>'[1]Processed Data'!D1962</f>
        <v>Pat White</v>
      </c>
      <c r="E932">
        <v>2019</v>
      </c>
      <c r="F932">
        <f>'[1]Processed Data'!F1962</f>
        <v>0</v>
      </c>
      <c r="G932">
        <f>'[1]Processed Data'!G1962</f>
        <v>5</v>
      </c>
      <c r="H932">
        <f>'[1]Processed Data'!H1962</f>
        <v>0</v>
      </c>
      <c r="I932">
        <f>'[1]Processed Data'!I1962</f>
        <v>0</v>
      </c>
      <c r="J932">
        <f>'[1]Processed Data'!J1962</f>
        <v>0</v>
      </c>
      <c r="K932">
        <f>'[1]Processed Data'!K1962</f>
        <v>1</v>
      </c>
      <c r="L932">
        <f>'[1]Processed Data'!L1962</f>
        <v>21</v>
      </c>
      <c r="M932">
        <f>'[1]Processed Data'!M1962</f>
        <v>81</v>
      </c>
      <c r="N932">
        <f>'[1]Processed Data'!N1962</f>
        <v>0</v>
      </c>
      <c r="O932">
        <f>'[1]Processed Data'!O1962</f>
        <v>0</v>
      </c>
      <c r="P932">
        <f>'[1]Processed Data'!P1962</f>
        <v>0</v>
      </c>
      <c r="Q932">
        <f>'[1]Processed Data'!Q1962</f>
        <v>13</v>
      </c>
    </row>
    <row r="933" spans="2:17" hidden="1">
      <c r="B933">
        <f>'[1]Processed Data'!B1963</f>
        <v>2009</v>
      </c>
      <c r="C933">
        <f>'[1]Processed Data'!C1963</f>
        <v>117</v>
      </c>
      <c r="D933" t="str">
        <f>'[1]Processed Data'!D1963</f>
        <v>Peyton Manning</v>
      </c>
      <c r="E933">
        <v>2019</v>
      </c>
      <c r="F933">
        <f>'[1]Processed Data'!F1963</f>
        <v>393</v>
      </c>
      <c r="G933">
        <f>'[1]Processed Data'!G1963</f>
        <v>571</v>
      </c>
      <c r="H933">
        <f>'[1]Processed Data'!H1963</f>
        <v>68.8</v>
      </c>
      <c r="I933">
        <f>'[1]Processed Data'!I1963</f>
        <v>33</v>
      </c>
      <c r="J933">
        <f>'[1]Processed Data'!J1963</f>
        <v>16</v>
      </c>
      <c r="K933">
        <f>'[1]Processed Data'!K1963</f>
        <v>10</v>
      </c>
      <c r="L933">
        <f>'[1]Processed Data'!L1963</f>
        <v>19</v>
      </c>
      <c r="M933">
        <f>'[1]Processed Data'!M1963</f>
        <v>-13</v>
      </c>
      <c r="N933">
        <f>'[1]Processed Data'!N1963</f>
        <v>0</v>
      </c>
      <c r="O933">
        <f>'[1]Processed Data'!O1963</f>
        <v>0</v>
      </c>
      <c r="P933">
        <f>'[1]Processed Data'!P1963</f>
        <v>0</v>
      </c>
      <c r="Q933">
        <f>'[1]Processed Data'!Q1963</f>
        <v>16</v>
      </c>
    </row>
    <row r="934" spans="2:17" hidden="1">
      <c r="B934">
        <f>'[1]Processed Data'!B1964</f>
        <v>2009</v>
      </c>
      <c r="C934">
        <f>'[1]Processed Data'!C1964</f>
        <v>118</v>
      </c>
      <c r="D934" t="str">
        <f>'[1]Processed Data'!D1964</f>
        <v>Philip Rivers</v>
      </c>
      <c r="E934">
        <v>2019</v>
      </c>
      <c r="F934">
        <f>'[1]Processed Data'!F1964</f>
        <v>317</v>
      </c>
      <c r="G934">
        <f>'[1]Processed Data'!G1964</f>
        <v>486</v>
      </c>
      <c r="H934">
        <f>'[1]Processed Data'!H1964</f>
        <v>65.2</v>
      </c>
      <c r="I934">
        <f>'[1]Processed Data'!I1964</f>
        <v>28</v>
      </c>
      <c r="J934">
        <f>'[1]Processed Data'!J1964</f>
        <v>9</v>
      </c>
      <c r="K934">
        <f>'[1]Processed Data'!K1964</f>
        <v>25</v>
      </c>
      <c r="L934">
        <f>'[1]Processed Data'!L1964</f>
        <v>26</v>
      </c>
      <c r="M934">
        <f>'[1]Processed Data'!M1964</f>
        <v>50</v>
      </c>
      <c r="N934">
        <f>'[1]Processed Data'!N1964</f>
        <v>1</v>
      </c>
      <c r="O934">
        <f>'[1]Processed Data'!O1964</f>
        <v>3</v>
      </c>
      <c r="P934">
        <f>'[1]Processed Data'!P1964</f>
        <v>0</v>
      </c>
      <c r="Q934">
        <f>'[1]Processed Data'!Q1964</f>
        <v>16</v>
      </c>
    </row>
    <row r="935" spans="2:17" hidden="1">
      <c r="B935">
        <f>'[1]Processed Data'!B1965</f>
        <v>2009</v>
      </c>
      <c r="C935">
        <f>'[1]Processed Data'!C1965</f>
        <v>119</v>
      </c>
      <c r="D935" t="str">
        <f>'[1]Processed Data'!D1965</f>
        <v>Rex Grossman</v>
      </c>
      <c r="E935">
        <v>2019</v>
      </c>
      <c r="F935">
        <f>'[1]Processed Data'!F1965</f>
        <v>3</v>
      </c>
      <c r="G935">
        <f>'[1]Processed Data'!G1965</f>
        <v>9</v>
      </c>
      <c r="H935">
        <f>'[1]Processed Data'!H1965</f>
        <v>33.299999999999997</v>
      </c>
      <c r="I935">
        <f>'[1]Processed Data'!I1965</f>
        <v>0</v>
      </c>
      <c r="J935">
        <f>'[1]Processed Data'!J1965</f>
        <v>1</v>
      </c>
      <c r="K935">
        <f>'[1]Processed Data'!K1965</f>
        <v>0</v>
      </c>
      <c r="L935">
        <f>'[1]Processed Data'!L1965</f>
        <v>3</v>
      </c>
      <c r="M935">
        <f>'[1]Processed Data'!M1965</f>
        <v>9</v>
      </c>
      <c r="N935">
        <f>'[1]Processed Data'!N1965</f>
        <v>0</v>
      </c>
      <c r="O935">
        <f>'[1]Processed Data'!O1965</f>
        <v>0</v>
      </c>
      <c r="P935">
        <f>'[1]Processed Data'!P1965</f>
        <v>0</v>
      </c>
      <c r="Q935">
        <f>'[1]Processed Data'!Q1965</f>
        <v>1</v>
      </c>
    </row>
    <row r="936" spans="2:17" hidden="1">
      <c r="B936">
        <f>'[1]Processed Data'!B2005</f>
        <v>2008</v>
      </c>
      <c r="C936">
        <f>'[1]Processed Data'!C2005</f>
        <v>1</v>
      </c>
      <c r="D936" t="str">
        <f>'[1]Processed Data'!D2005</f>
        <v>Drew Brees</v>
      </c>
      <c r="E936">
        <v>2019</v>
      </c>
      <c r="F936">
        <f>'[1]Processed Data'!F2005</f>
        <v>413</v>
      </c>
      <c r="G936">
        <f>'[1]Processed Data'!G2005</f>
        <v>635</v>
      </c>
      <c r="H936">
        <f>'[1]Processed Data'!H2005</f>
        <v>65</v>
      </c>
      <c r="I936">
        <f>'[1]Processed Data'!I2005</f>
        <v>34</v>
      </c>
      <c r="J936">
        <f>'[1]Processed Data'!J2005</f>
        <v>17</v>
      </c>
      <c r="K936">
        <f>'[1]Processed Data'!K2005</f>
        <v>13</v>
      </c>
      <c r="L936">
        <f>'[1]Processed Data'!L2005</f>
        <v>22</v>
      </c>
      <c r="M936">
        <f>'[1]Processed Data'!M2005</f>
        <v>-1</v>
      </c>
      <c r="N936">
        <f>'[1]Processed Data'!N2005</f>
        <v>0</v>
      </c>
      <c r="O936">
        <f>'[1]Processed Data'!O2005</f>
        <v>0</v>
      </c>
      <c r="P936">
        <f>'[1]Processed Data'!P2005</f>
        <v>304.39999999999998</v>
      </c>
      <c r="Q936">
        <f>'[1]Processed Data'!Q2005</f>
        <v>16</v>
      </c>
    </row>
    <row r="937" spans="2:17" hidden="1">
      <c r="B937">
        <f>'[1]Processed Data'!B2006</f>
        <v>2008</v>
      </c>
      <c r="C937">
        <f>'[1]Processed Data'!C2006</f>
        <v>2</v>
      </c>
      <c r="D937" t="str">
        <f>'[1]Processed Data'!D2006</f>
        <v>Aaron Rodgers</v>
      </c>
      <c r="E937">
        <v>2019</v>
      </c>
      <c r="F937">
        <f>'[1]Processed Data'!F2006</f>
        <v>341</v>
      </c>
      <c r="G937">
        <f>'[1]Processed Data'!G2006</f>
        <v>536</v>
      </c>
      <c r="H937">
        <f>'[1]Processed Data'!H2006</f>
        <v>63.6</v>
      </c>
      <c r="I937">
        <f>'[1]Processed Data'!I2006</f>
        <v>28</v>
      </c>
      <c r="J937">
        <f>'[1]Processed Data'!J2006</f>
        <v>13</v>
      </c>
      <c r="K937">
        <f>'[1]Processed Data'!K2006</f>
        <v>34</v>
      </c>
      <c r="L937">
        <f>'[1]Processed Data'!L2006</f>
        <v>56</v>
      </c>
      <c r="M937">
        <f>'[1]Processed Data'!M2006</f>
        <v>207</v>
      </c>
      <c r="N937">
        <f>'[1]Processed Data'!N2006</f>
        <v>4</v>
      </c>
      <c r="O937">
        <f>'[1]Processed Data'!O2006</f>
        <v>0</v>
      </c>
      <c r="P937">
        <f>'[1]Processed Data'!P2006</f>
        <v>292.10000000000002</v>
      </c>
      <c r="Q937">
        <f>'[1]Processed Data'!Q2006</f>
        <v>16</v>
      </c>
    </row>
    <row r="938" spans="2:17" hidden="1">
      <c r="B938">
        <f>'[1]Processed Data'!B2007</f>
        <v>2008</v>
      </c>
      <c r="C938">
        <f>'[1]Processed Data'!C2007</f>
        <v>3</v>
      </c>
      <c r="D938" t="str">
        <f>'[1]Processed Data'!D2007</f>
        <v>Matt Ryan</v>
      </c>
      <c r="E938">
        <v>2019</v>
      </c>
      <c r="F938">
        <f>'[1]Processed Data'!F2007</f>
        <v>265</v>
      </c>
      <c r="G938">
        <f>'[1]Processed Data'!G2007</f>
        <v>434</v>
      </c>
      <c r="H938">
        <f>'[1]Processed Data'!H2007</f>
        <v>61.1</v>
      </c>
      <c r="I938">
        <f>'[1]Processed Data'!I2007</f>
        <v>16</v>
      </c>
      <c r="J938">
        <f>'[1]Processed Data'!J2007</f>
        <v>11</v>
      </c>
      <c r="K938">
        <f>'[1]Processed Data'!K2007</f>
        <v>17</v>
      </c>
      <c r="L938">
        <f>'[1]Processed Data'!L2007</f>
        <v>55</v>
      </c>
      <c r="M938">
        <f>'[1]Processed Data'!M2007</f>
        <v>104</v>
      </c>
      <c r="N938">
        <f>'[1]Processed Data'!N2007</f>
        <v>1</v>
      </c>
      <c r="O938">
        <f>'[1]Processed Data'!O2007</f>
        <v>0</v>
      </c>
      <c r="P938">
        <f>'[1]Processed Data'!P2007</f>
        <v>196</v>
      </c>
      <c r="Q938">
        <f>'[1]Processed Data'!Q2007</f>
        <v>16</v>
      </c>
    </row>
    <row r="939" spans="2:17" hidden="1">
      <c r="B939">
        <f>'[1]Processed Data'!B2008</f>
        <v>2008</v>
      </c>
      <c r="C939">
        <f>'[1]Processed Data'!C2008</f>
        <v>4</v>
      </c>
      <c r="D939" t="str">
        <f>'[1]Processed Data'!D2008</f>
        <v>Ben Roethlisberger</v>
      </c>
      <c r="E939">
        <v>2019</v>
      </c>
      <c r="F939">
        <f>'[1]Processed Data'!F2008</f>
        <v>281</v>
      </c>
      <c r="G939">
        <f>'[1]Processed Data'!G2008</f>
        <v>469</v>
      </c>
      <c r="H939">
        <f>'[1]Processed Data'!H2008</f>
        <v>59.9</v>
      </c>
      <c r="I939">
        <f>'[1]Processed Data'!I2008</f>
        <v>17</v>
      </c>
      <c r="J939">
        <f>'[1]Processed Data'!J2008</f>
        <v>15</v>
      </c>
      <c r="K939">
        <f>'[1]Processed Data'!K2008</f>
        <v>46</v>
      </c>
      <c r="L939">
        <f>'[1]Processed Data'!L2008</f>
        <v>34</v>
      </c>
      <c r="M939">
        <f>'[1]Processed Data'!M2008</f>
        <v>101</v>
      </c>
      <c r="N939">
        <f>'[1]Processed Data'!N2008</f>
        <v>2</v>
      </c>
      <c r="O939">
        <f>'[1]Processed Data'!O2008</f>
        <v>0</v>
      </c>
      <c r="P939">
        <f>'[1]Processed Data'!P2008</f>
        <v>192</v>
      </c>
      <c r="Q939">
        <f>'[1]Processed Data'!Q2008</f>
        <v>16</v>
      </c>
    </row>
    <row r="940" spans="2:17" hidden="1">
      <c r="B940">
        <f>'[1]Processed Data'!B2009</f>
        <v>2008</v>
      </c>
      <c r="C940">
        <f>'[1]Processed Data'!C2009</f>
        <v>5</v>
      </c>
      <c r="D940" t="str">
        <f>'[1]Processed Data'!D2009</f>
        <v>Joe Flacco</v>
      </c>
      <c r="E940">
        <v>2019</v>
      </c>
      <c r="F940">
        <f>'[1]Processed Data'!F2009</f>
        <v>257</v>
      </c>
      <c r="G940">
        <f>'[1]Processed Data'!G2009</f>
        <v>428</v>
      </c>
      <c r="H940">
        <f>'[1]Processed Data'!H2009</f>
        <v>60</v>
      </c>
      <c r="I940">
        <f>'[1]Processed Data'!I2009</f>
        <v>14</v>
      </c>
      <c r="J940">
        <f>'[1]Processed Data'!J2009</f>
        <v>12</v>
      </c>
      <c r="K940">
        <f>'[1]Processed Data'!K2009</f>
        <v>32</v>
      </c>
      <c r="L940">
        <f>'[1]Processed Data'!L2009</f>
        <v>52</v>
      </c>
      <c r="M940">
        <f>'[1]Processed Data'!M2009</f>
        <v>180</v>
      </c>
      <c r="N940">
        <f>'[1]Processed Data'!N2009</f>
        <v>2</v>
      </c>
      <c r="O940">
        <f>'[1]Processed Data'!O2009</f>
        <v>0</v>
      </c>
      <c r="P940">
        <f>'[1]Processed Data'!P2009</f>
        <v>185.8</v>
      </c>
      <c r="Q940">
        <f>'[1]Processed Data'!Q2009</f>
        <v>16</v>
      </c>
    </row>
    <row r="941" spans="2:17" hidden="1">
      <c r="B941">
        <f>'[1]Processed Data'!B2010</f>
        <v>2008</v>
      </c>
      <c r="C941">
        <f>'[1]Processed Data'!C2010</f>
        <v>6</v>
      </c>
      <c r="D941" t="str">
        <f>'[1]Processed Data'!D2010</f>
        <v>Matt Schaub</v>
      </c>
      <c r="E941">
        <v>2019</v>
      </c>
      <c r="F941">
        <f>'[1]Processed Data'!F2010</f>
        <v>251</v>
      </c>
      <c r="G941">
        <f>'[1]Processed Data'!G2010</f>
        <v>380</v>
      </c>
      <c r="H941">
        <f>'[1]Processed Data'!H2010</f>
        <v>66.099999999999994</v>
      </c>
      <c r="I941">
        <f>'[1]Processed Data'!I2010</f>
        <v>15</v>
      </c>
      <c r="J941">
        <f>'[1]Processed Data'!J2010</f>
        <v>10</v>
      </c>
      <c r="K941">
        <f>'[1]Processed Data'!K2010</f>
        <v>23</v>
      </c>
      <c r="L941">
        <f>'[1]Processed Data'!L2010</f>
        <v>31</v>
      </c>
      <c r="M941">
        <f>'[1]Processed Data'!M2010</f>
        <v>68</v>
      </c>
      <c r="N941">
        <f>'[1]Processed Data'!N2010</f>
        <v>2</v>
      </c>
      <c r="O941">
        <f>'[1]Processed Data'!O2010</f>
        <v>1</v>
      </c>
      <c r="P941">
        <f>'[1]Processed Data'!P2010</f>
        <v>178.7</v>
      </c>
      <c r="Q941">
        <f>'[1]Processed Data'!Q2010</f>
        <v>11</v>
      </c>
    </row>
    <row r="942" spans="2:17" hidden="1">
      <c r="B942">
        <f>'[1]Processed Data'!B2011</f>
        <v>2008</v>
      </c>
      <c r="C942">
        <f>'[1]Processed Data'!C2011</f>
        <v>7</v>
      </c>
      <c r="D942" t="str">
        <f>'[1]Processed Data'!D2011</f>
        <v>Ryan Fitzpatrick</v>
      </c>
      <c r="E942">
        <v>2019</v>
      </c>
      <c r="F942">
        <f>'[1]Processed Data'!F2011</f>
        <v>221</v>
      </c>
      <c r="G942">
        <f>'[1]Processed Data'!G2011</f>
        <v>372</v>
      </c>
      <c r="H942">
        <f>'[1]Processed Data'!H2011</f>
        <v>59.4</v>
      </c>
      <c r="I942">
        <f>'[1]Processed Data'!I2011</f>
        <v>8</v>
      </c>
      <c r="J942">
        <f>'[1]Processed Data'!J2011</f>
        <v>9</v>
      </c>
      <c r="K942">
        <f>'[1]Processed Data'!K2011</f>
        <v>38</v>
      </c>
      <c r="L942">
        <f>'[1]Processed Data'!L2011</f>
        <v>60</v>
      </c>
      <c r="M942">
        <f>'[1]Processed Data'!M2011</f>
        <v>304</v>
      </c>
      <c r="N942">
        <f>'[1]Processed Data'!N2011</f>
        <v>2</v>
      </c>
      <c r="O942">
        <f>'[1]Processed Data'!O2011</f>
        <v>0</v>
      </c>
      <c r="P942">
        <f>'[1]Processed Data'!P2011</f>
        <v>132.9</v>
      </c>
      <c r="Q942">
        <f>'[1]Processed Data'!Q2011</f>
        <v>13</v>
      </c>
    </row>
    <row r="943" spans="2:17" hidden="1">
      <c r="B943">
        <f>'[1]Processed Data'!B2012</f>
        <v>2008</v>
      </c>
      <c r="C943">
        <f>'[1]Processed Data'!C2012</f>
        <v>8</v>
      </c>
      <c r="D943" t="str">
        <f>'[1]Processed Data'!D2012</f>
        <v>Drew Stanton</v>
      </c>
      <c r="E943">
        <v>2019</v>
      </c>
      <c r="F943">
        <f>'[1]Processed Data'!F2012</f>
        <v>9</v>
      </c>
      <c r="G943">
        <f>'[1]Processed Data'!G2012</f>
        <v>17</v>
      </c>
      <c r="H943">
        <f>'[1]Processed Data'!H2012</f>
        <v>52.9</v>
      </c>
      <c r="I943">
        <f>'[1]Processed Data'!I2012</f>
        <v>1</v>
      </c>
      <c r="J943">
        <f>'[1]Processed Data'!J2012</f>
        <v>0</v>
      </c>
      <c r="K943">
        <f>'[1]Processed Data'!K2012</f>
        <v>6</v>
      </c>
      <c r="L943">
        <f>'[1]Processed Data'!L2012</f>
        <v>3</v>
      </c>
      <c r="M943">
        <f>'[1]Processed Data'!M2012</f>
        <v>20</v>
      </c>
      <c r="N943">
        <f>'[1]Processed Data'!N2012</f>
        <v>0</v>
      </c>
      <c r="O943">
        <f>'[1]Processed Data'!O2012</f>
        <v>0</v>
      </c>
      <c r="P943">
        <f>'[1]Processed Data'!P2012</f>
        <v>10.8</v>
      </c>
      <c r="Q943">
        <f>'[1]Processed Data'!Q2012</f>
        <v>3</v>
      </c>
    </row>
    <row r="944" spans="2:17" hidden="1">
      <c r="B944">
        <f>'[1]Processed Data'!B2013</f>
        <v>2008</v>
      </c>
      <c r="C944">
        <f>'[1]Processed Data'!C2013</f>
        <v>9</v>
      </c>
      <c r="D944" t="str">
        <f>'[1]Processed Data'!D2013</f>
        <v>Tom Brady</v>
      </c>
      <c r="E944">
        <v>2019</v>
      </c>
      <c r="F944">
        <f>'[1]Processed Data'!F2013</f>
        <v>7</v>
      </c>
      <c r="G944">
        <f>'[1]Processed Data'!G2013</f>
        <v>11</v>
      </c>
      <c r="H944">
        <f>'[1]Processed Data'!H2013</f>
        <v>63.6</v>
      </c>
      <c r="I944">
        <f>'[1]Processed Data'!I2013</f>
        <v>0</v>
      </c>
      <c r="J944">
        <f>'[1]Processed Data'!J2013</f>
        <v>0</v>
      </c>
      <c r="K944">
        <f>'[1]Processed Data'!K2013</f>
        <v>0</v>
      </c>
      <c r="L944">
        <f>'[1]Processed Data'!L2013</f>
        <v>0</v>
      </c>
      <c r="M944">
        <f>'[1]Processed Data'!M2013</f>
        <v>0</v>
      </c>
      <c r="N944">
        <f>'[1]Processed Data'!N2013</f>
        <v>0</v>
      </c>
      <c r="O944">
        <f>'[1]Processed Data'!O2013</f>
        <v>0</v>
      </c>
      <c r="P944">
        <f>'[1]Processed Data'!P2013</f>
        <v>3</v>
      </c>
      <c r="Q944">
        <f>'[1]Processed Data'!Q2013</f>
        <v>1</v>
      </c>
    </row>
    <row r="945" spans="2:17" hidden="1">
      <c r="B945">
        <f>'[1]Processed Data'!B2014</f>
        <v>2008</v>
      </c>
      <c r="C945">
        <f>'[1]Processed Data'!C2014</f>
        <v>10</v>
      </c>
      <c r="D945" t="str">
        <f>'[1]Processed Data'!D2014</f>
        <v>Chad Henne</v>
      </c>
      <c r="E945">
        <v>2019</v>
      </c>
      <c r="F945">
        <f>'[1]Processed Data'!F2014</f>
        <v>7</v>
      </c>
      <c r="G945">
        <f>'[1]Processed Data'!G2014</f>
        <v>12</v>
      </c>
      <c r="H945">
        <f>'[1]Processed Data'!H2014</f>
        <v>58.3</v>
      </c>
      <c r="I945">
        <f>'[1]Processed Data'!I2014</f>
        <v>0</v>
      </c>
      <c r="J945">
        <f>'[1]Processed Data'!J2014</f>
        <v>0</v>
      </c>
      <c r="K945">
        <f>'[1]Processed Data'!K2014</f>
        <v>0</v>
      </c>
      <c r="L945">
        <f>'[1]Processed Data'!L2014</f>
        <v>0</v>
      </c>
      <c r="M945">
        <f>'[1]Processed Data'!M2014</f>
        <v>0</v>
      </c>
      <c r="N945">
        <f>'[1]Processed Data'!N2014</f>
        <v>0</v>
      </c>
      <c r="O945">
        <f>'[1]Processed Data'!O2014</f>
        <v>0</v>
      </c>
      <c r="P945">
        <f>'[1]Processed Data'!P2014</f>
        <v>2.7</v>
      </c>
      <c r="Q945">
        <f>'[1]Processed Data'!Q2014</f>
        <v>3</v>
      </c>
    </row>
    <row r="946" spans="2:17" hidden="1">
      <c r="B946">
        <f>'[1]Processed Data'!B2015</f>
        <v>2008</v>
      </c>
      <c r="C946">
        <f>'[1]Processed Data'!C2015</f>
        <v>11</v>
      </c>
      <c r="D946" t="str">
        <f>'[1]Processed Data'!D2015</f>
        <v>Luke McCown</v>
      </c>
      <c r="E946">
        <v>2019</v>
      </c>
      <c r="F946">
        <f>'[1]Processed Data'!F2015</f>
        <v>0</v>
      </c>
      <c r="G946">
        <f>'[1]Processed Data'!G2015</f>
        <v>1</v>
      </c>
      <c r="H946">
        <f>'[1]Processed Data'!H2015</f>
        <v>0</v>
      </c>
      <c r="I946">
        <f>'[1]Processed Data'!I2015</f>
        <v>0</v>
      </c>
      <c r="J946">
        <f>'[1]Processed Data'!J2015</f>
        <v>0</v>
      </c>
      <c r="K946">
        <f>'[1]Processed Data'!K2015</f>
        <v>0</v>
      </c>
      <c r="L946">
        <f>'[1]Processed Data'!L2015</f>
        <v>3</v>
      </c>
      <c r="M946">
        <f>'[1]Processed Data'!M2015</f>
        <v>15</v>
      </c>
      <c r="N946">
        <f>'[1]Processed Data'!N2015</f>
        <v>0</v>
      </c>
      <c r="O946">
        <f>'[1]Processed Data'!O2015</f>
        <v>0</v>
      </c>
      <c r="P946">
        <f>'[1]Processed Data'!P2015</f>
        <v>1.5</v>
      </c>
      <c r="Q946">
        <f>'[1]Processed Data'!Q2015</f>
        <v>2</v>
      </c>
    </row>
    <row r="947" spans="2:17" hidden="1">
      <c r="B947">
        <f>'[1]Processed Data'!B2071</f>
        <v>2008</v>
      </c>
      <c r="C947">
        <f>'[1]Processed Data'!C2071</f>
        <v>67</v>
      </c>
      <c r="D947" t="str">
        <f>'[1]Processed Data'!D2071</f>
        <v>Levi Brown</v>
      </c>
      <c r="E947">
        <v>2019</v>
      </c>
      <c r="F947">
        <f>'[1]Processed Data'!F2071</f>
        <v>0</v>
      </c>
      <c r="G947">
        <f>'[1]Processed Data'!G2071</f>
        <v>0</v>
      </c>
      <c r="H947">
        <f>'[1]Processed Data'!H2071</f>
        <v>0</v>
      </c>
      <c r="I947">
        <f>'[1]Processed Data'!I2071</f>
        <v>0</v>
      </c>
      <c r="J947">
        <f>'[1]Processed Data'!J2071</f>
        <v>0</v>
      </c>
      <c r="K947">
        <f>'[1]Processed Data'!K2071</f>
        <v>0</v>
      </c>
      <c r="L947">
        <f>'[1]Processed Data'!L2071</f>
        <v>0</v>
      </c>
      <c r="M947">
        <f>'[1]Processed Data'!M2071</f>
        <v>0</v>
      </c>
      <c r="N947">
        <f>'[1]Processed Data'!N2071</f>
        <v>0</v>
      </c>
      <c r="O947">
        <f>'[1]Processed Data'!O2071</f>
        <v>0</v>
      </c>
      <c r="P947">
        <f>'[1]Processed Data'!P2071</f>
        <v>0</v>
      </c>
      <c r="Q947">
        <f>'[1]Processed Data'!Q2071</f>
        <v>16</v>
      </c>
    </row>
    <row r="948" spans="2:17" hidden="1">
      <c r="B948">
        <f>'[1]Processed Data'!B2075</f>
        <v>2008</v>
      </c>
      <c r="C948">
        <f>'[1]Processed Data'!C2075</f>
        <v>71</v>
      </c>
      <c r="D948" t="str">
        <f>'[1]Processed Data'!D2075</f>
        <v>Jordan Palmer</v>
      </c>
      <c r="E948">
        <v>2019</v>
      </c>
      <c r="F948">
        <f>'[1]Processed Data'!F2075</f>
        <v>7</v>
      </c>
      <c r="G948">
        <f>'[1]Processed Data'!G2075</f>
        <v>12</v>
      </c>
      <c r="H948">
        <f>'[1]Processed Data'!H2075</f>
        <v>58.3</v>
      </c>
      <c r="I948">
        <f>'[1]Processed Data'!I2075</f>
        <v>0</v>
      </c>
      <c r="J948">
        <f>'[1]Processed Data'!J2075</f>
        <v>2</v>
      </c>
      <c r="K948">
        <f>'[1]Processed Data'!K2075</f>
        <v>2</v>
      </c>
      <c r="L948">
        <f>'[1]Processed Data'!L2075</f>
        <v>1</v>
      </c>
      <c r="M948">
        <f>'[1]Processed Data'!M2075</f>
        <v>4</v>
      </c>
      <c r="N948">
        <f>'[1]Processed Data'!N2075</f>
        <v>0</v>
      </c>
      <c r="O948">
        <f>'[1]Processed Data'!O2075</f>
        <v>0</v>
      </c>
      <c r="P948">
        <f>'[1]Processed Data'!P2075</f>
        <v>0</v>
      </c>
      <c r="Q948">
        <f>'[1]Processed Data'!Q2075</f>
        <v>3</v>
      </c>
    </row>
    <row r="949" spans="2:17" hidden="1">
      <c r="B949">
        <f>'[1]Processed Data'!B2086</f>
        <v>2008</v>
      </c>
      <c r="C949">
        <f>'[1]Processed Data'!C2086</f>
        <v>82</v>
      </c>
      <c r="D949" t="str">
        <f>'[1]Processed Data'!D2086</f>
        <v>Dan Orlovsky</v>
      </c>
      <c r="E949">
        <v>2019</v>
      </c>
      <c r="F949">
        <f>'[1]Processed Data'!F2086</f>
        <v>143</v>
      </c>
      <c r="G949">
        <f>'[1]Processed Data'!G2086</f>
        <v>255</v>
      </c>
      <c r="H949">
        <f>'[1]Processed Data'!H2086</f>
        <v>56.1</v>
      </c>
      <c r="I949">
        <f>'[1]Processed Data'!I2086</f>
        <v>8</v>
      </c>
      <c r="J949">
        <f>'[1]Processed Data'!J2086</f>
        <v>8</v>
      </c>
      <c r="K949">
        <f>'[1]Processed Data'!K2086</f>
        <v>14</v>
      </c>
      <c r="L949">
        <f>'[1]Processed Data'!L2086</f>
        <v>7</v>
      </c>
      <c r="M949">
        <f>'[1]Processed Data'!M2086</f>
        <v>29</v>
      </c>
      <c r="N949">
        <f>'[1]Processed Data'!N2086</f>
        <v>0</v>
      </c>
      <c r="O949">
        <f>'[1]Processed Data'!O2086</f>
        <v>0</v>
      </c>
      <c r="P949">
        <f>'[1]Processed Data'!P2086</f>
        <v>0</v>
      </c>
      <c r="Q949">
        <f>'[1]Processed Data'!Q2086</f>
        <v>10</v>
      </c>
    </row>
    <row r="950" spans="2:17" hidden="1">
      <c r="B950">
        <f>'[1]Processed Data'!B2088</f>
        <v>2008</v>
      </c>
      <c r="C950">
        <f>'[1]Processed Data'!C2088</f>
        <v>84</v>
      </c>
      <c r="D950" t="str">
        <f>'[1]Processed Data'!D2088</f>
        <v>David Carr</v>
      </c>
      <c r="E950">
        <v>2019</v>
      </c>
      <c r="F950">
        <f>'[1]Processed Data'!F2088</f>
        <v>9</v>
      </c>
      <c r="G950">
        <f>'[1]Processed Data'!G2088</f>
        <v>12</v>
      </c>
      <c r="H950">
        <f>'[1]Processed Data'!H2088</f>
        <v>75</v>
      </c>
      <c r="I950">
        <f>'[1]Processed Data'!I2088</f>
        <v>2</v>
      </c>
      <c r="J950">
        <f>'[1]Processed Data'!J2088</f>
        <v>0</v>
      </c>
      <c r="K950">
        <f>'[1]Processed Data'!K2088</f>
        <v>1</v>
      </c>
      <c r="L950">
        <f>'[1]Processed Data'!L2088</f>
        <v>8</v>
      </c>
      <c r="M950">
        <f>'[1]Processed Data'!M2088</f>
        <v>10</v>
      </c>
      <c r="N950">
        <f>'[1]Processed Data'!N2088</f>
        <v>0</v>
      </c>
      <c r="O950">
        <f>'[1]Processed Data'!O2088</f>
        <v>0</v>
      </c>
      <c r="P950">
        <f>'[1]Processed Data'!P2088</f>
        <v>0</v>
      </c>
      <c r="Q950">
        <f>'[1]Processed Data'!Q2088</f>
        <v>3</v>
      </c>
    </row>
    <row r="951" spans="2:17" hidden="1">
      <c r="B951">
        <f>'[1]Processed Data'!B2089</f>
        <v>2008</v>
      </c>
      <c r="C951">
        <f>'[1]Processed Data'!C2089</f>
        <v>85</v>
      </c>
      <c r="D951" t="str">
        <f>'[1]Processed Data'!D2089</f>
        <v>Dennis Dixon</v>
      </c>
      <c r="E951">
        <v>2019</v>
      </c>
      <c r="F951">
        <f>'[1]Processed Data'!F2089</f>
        <v>1</v>
      </c>
      <c r="G951">
        <f>'[1]Processed Data'!G2089</f>
        <v>1</v>
      </c>
      <c r="H951">
        <f>'[1]Processed Data'!H2089</f>
        <v>100</v>
      </c>
      <c r="I951">
        <f>'[1]Processed Data'!I2089</f>
        <v>0</v>
      </c>
      <c r="J951">
        <f>'[1]Processed Data'!J2089</f>
        <v>0</v>
      </c>
      <c r="K951">
        <f>'[1]Processed Data'!K2089</f>
        <v>0</v>
      </c>
      <c r="L951">
        <f>'[1]Processed Data'!L2089</f>
        <v>2</v>
      </c>
      <c r="M951">
        <f>'[1]Processed Data'!M2089</f>
        <v>-3</v>
      </c>
      <c r="N951">
        <f>'[1]Processed Data'!N2089</f>
        <v>0</v>
      </c>
      <c r="O951">
        <f>'[1]Processed Data'!O2089</f>
        <v>0</v>
      </c>
      <c r="P951">
        <f>'[1]Processed Data'!P2089</f>
        <v>0</v>
      </c>
      <c r="Q951">
        <f>'[1]Processed Data'!Q2089</f>
        <v>1</v>
      </c>
    </row>
    <row r="952" spans="2:17" hidden="1">
      <c r="B952">
        <f>'[1]Processed Data'!B2090</f>
        <v>2008</v>
      </c>
      <c r="C952">
        <f>'[1]Processed Data'!C2090</f>
        <v>86</v>
      </c>
      <c r="D952" t="str">
        <f>'[1]Processed Data'!D2090</f>
        <v>Derek Anderson</v>
      </c>
      <c r="E952">
        <v>2019</v>
      </c>
      <c r="F952">
        <f>'[1]Processed Data'!F2090</f>
        <v>142</v>
      </c>
      <c r="G952">
        <f>'[1]Processed Data'!G2090</f>
        <v>283</v>
      </c>
      <c r="H952">
        <f>'[1]Processed Data'!H2090</f>
        <v>50.2</v>
      </c>
      <c r="I952">
        <f>'[1]Processed Data'!I2090</f>
        <v>9</v>
      </c>
      <c r="J952">
        <f>'[1]Processed Data'!J2090</f>
        <v>8</v>
      </c>
      <c r="K952">
        <f>'[1]Processed Data'!K2090</f>
        <v>14</v>
      </c>
      <c r="L952">
        <f>'[1]Processed Data'!L2090</f>
        <v>25</v>
      </c>
      <c r="M952">
        <f>'[1]Processed Data'!M2090</f>
        <v>55</v>
      </c>
      <c r="N952">
        <f>'[1]Processed Data'!N2090</f>
        <v>0</v>
      </c>
      <c r="O952">
        <f>'[1]Processed Data'!O2090</f>
        <v>0</v>
      </c>
      <c r="P952">
        <f>'[1]Processed Data'!P2090</f>
        <v>0</v>
      </c>
      <c r="Q952">
        <f>'[1]Processed Data'!Q2090</f>
        <v>10</v>
      </c>
    </row>
    <row r="953" spans="2:17" hidden="1">
      <c r="B953">
        <f>'[1]Processed Data'!B2091</f>
        <v>2008</v>
      </c>
      <c r="C953">
        <f>'[1]Processed Data'!C2091</f>
        <v>87</v>
      </c>
      <c r="D953" t="str">
        <f>'[1]Processed Data'!D2091</f>
        <v>Eli Manning</v>
      </c>
      <c r="E953">
        <v>2019</v>
      </c>
      <c r="F953">
        <f>'[1]Processed Data'!F2091</f>
        <v>289</v>
      </c>
      <c r="G953">
        <f>'[1]Processed Data'!G2091</f>
        <v>479</v>
      </c>
      <c r="H953">
        <f>'[1]Processed Data'!H2091</f>
        <v>60.3</v>
      </c>
      <c r="I953">
        <f>'[1]Processed Data'!I2091</f>
        <v>21</v>
      </c>
      <c r="J953">
        <f>'[1]Processed Data'!J2091</f>
        <v>10</v>
      </c>
      <c r="K953">
        <f>'[1]Processed Data'!K2091</f>
        <v>27</v>
      </c>
      <c r="L953">
        <f>'[1]Processed Data'!L2091</f>
        <v>20</v>
      </c>
      <c r="M953">
        <f>'[1]Processed Data'!M2091</f>
        <v>10</v>
      </c>
      <c r="N953">
        <f>'[1]Processed Data'!N2091</f>
        <v>1</v>
      </c>
      <c r="O953">
        <f>'[1]Processed Data'!O2091</f>
        <v>0</v>
      </c>
      <c r="P953">
        <f>'[1]Processed Data'!P2091</f>
        <v>0</v>
      </c>
      <c r="Q953">
        <f>'[1]Processed Data'!Q2091</f>
        <v>16</v>
      </c>
    </row>
    <row r="954" spans="2:17" hidden="1">
      <c r="B954">
        <f>'[1]Processed Data'!B2092</f>
        <v>2008</v>
      </c>
      <c r="C954">
        <f>'[1]Processed Data'!C2092</f>
        <v>88</v>
      </c>
      <c r="D954" t="str">
        <f>'[1]Processed Data'!D2092</f>
        <v>Jason Campbell</v>
      </c>
      <c r="E954">
        <v>2019</v>
      </c>
      <c r="F954">
        <f>'[1]Processed Data'!F2092</f>
        <v>315</v>
      </c>
      <c r="G954">
        <f>'[1]Processed Data'!G2092</f>
        <v>506</v>
      </c>
      <c r="H954">
        <f>'[1]Processed Data'!H2092</f>
        <v>62.3</v>
      </c>
      <c r="I954">
        <f>'[1]Processed Data'!I2092</f>
        <v>13</v>
      </c>
      <c r="J954">
        <f>'[1]Processed Data'!J2092</f>
        <v>6</v>
      </c>
      <c r="K954">
        <f>'[1]Processed Data'!K2092</f>
        <v>38</v>
      </c>
      <c r="L954">
        <f>'[1]Processed Data'!L2092</f>
        <v>47</v>
      </c>
      <c r="M954">
        <f>'[1]Processed Data'!M2092</f>
        <v>258</v>
      </c>
      <c r="N954">
        <f>'[1]Processed Data'!N2092</f>
        <v>1</v>
      </c>
      <c r="O954">
        <f>'[1]Processed Data'!O2092</f>
        <v>0</v>
      </c>
      <c r="P954">
        <f>'[1]Processed Data'!P2092</f>
        <v>0</v>
      </c>
      <c r="Q954">
        <f>'[1]Processed Data'!Q2092</f>
        <v>16</v>
      </c>
    </row>
    <row r="955" spans="2:17" hidden="1">
      <c r="B955">
        <f>'[1]Processed Data'!B2093</f>
        <v>2008</v>
      </c>
      <c r="C955">
        <f>'[1]Processed Data'!C2093</f>
        <v>89</v>
      </c>
      <c r="D955" t="str">
        <f>'[1]Processed Data'!D2093</f>
        <v>Jay Cutler</v>
      </c>
      <c r="E955">
        <v>2019</v>
      </c>
      <c r="F955">
        <f>'[1]Processed Data'!F2093</f>
        <v>384</v>
      </c>
      <c r="G955">
        <f>'[1]Processed Data'!G2093</f>
        <v>616</v>
      </c>
      <c r="H955">
        <f>'[1]Processed Data'!H2093</f>
        <v>62.3</v>
      </c>
      <c r="I955">
        <f>'[1]Processed Data'!I2093</f>
        <v>25</v>
      </c>
      <c r="J955">
        <f>'[1]Processed Data'!J2093</f>
        <v>18</v>
      </c>
      <c r="K955">
        <f>'[1]Processed Data'!K2093</f>
        <v>11</v>
      </c>
      <c r="L955">
        <f>'[1]Processed Data'!L2093</f>
        <v>57</v>
      </c>
      <c r="M955">
        <f>'[1]Processed Data'!M2093</f>
        <v>200</v>
      </c>
      <c r="N955">
        <f>'[1]Processed Data'!N2093</f>
        <v>2</v>
      </c>
      <c r="O955">
        <f>'[1]Processed Data'!O2093</f>
        <v>0</v>
      </c>
      <c r="P955">
        <f>'[1]Processed Data'!P2093</f>
        <v>0</v>
      </c>
      <c r="Q955">
        <f>'[1]Processed Data'!Q2093</f>
        <v>16</v>
      </c>
    </row>
    <row r="956" spans="2:17" hidden="1">
      <c r="B956">
        <f>'[1]Processed Data'!B2096</f>
        <v>2008</v>
      </c>
      <c r="C956">
        <f>'[1]Processed Data'!C2096</f>
        <v>92</v>
      </c>
      <c r="D956" t="str">
        <f>'[1]Processed Data'!D2096</f>
        <v>Brady Quinn</v>
      </c>
      <c r="E956">
        <v>2019</v>
      </c>
      <c r="F956">
        <f>'[1]Processed Data'!F2096</f>
        <v>45</v>
      </c>
      <c r="G956">
        <f>'[1]Processed Data'!G2096</f>
        <v>89</v>
      </c>
      <c r="H956">
        <f>'[1]Processed Data'!H2096</f>
        <v>50.6</v>
      </c>
      <c r="I956">
        <f>'[1]Processed Data'!I2096</f>
        <v>2</v>
      </c>
      <c r="J956">
        <f>'[1]Processed Data'!J2096</f>
        <v>2</v>
      </c>
      <c r="K956">
        <f>'[1]Processed Data'!K2096</f>
        <v>1</v>
      </c>
      <c r="L956">
        <f>'[1]Processed Data'!L2096</f>
        <v>5</v>
      </c>
      <c r="M956">
        <f>'[1]Processed Data'!M2096</f>
        <v>21</v>
      </c>
      <c r="N956">
        <f>'[1]Processed Data'!N2096</f>
        <v>0</v>
      </c>
      <c r="O956">
        <f>'[1]Processed Data'!O2096</f>
        <v>0</v>
      </c>
      <c r="P956">
        <f>'[1]Processed Data'!P2096</f>
        <v>0</v>
      </c>
      <c r="Q956">
        <f>'[1]Processed Data'!Q2096</f>
        <v>3</v>
      </c>
    </row>
    <row r="957" spans="2:17" hidden="1">
      <c r="B957">
        <f>'[1]Processed Data'!B2100</f>
        <v>2008</v>
      </c>
      <c r="C957">
        <f>'[1]Processed Data'!C2100</f>
        <v>96</v>
      </c>
      <c r="D957" t="str">
        <f>'[1]Processed Data'!D2100</f>
        <v>Bruce Gradkowski</v>
      </c>
      <c r="E957">
        <v>2019</v>
      </c>
      <c r="F957">
        <f>'[1]Processed Data'!F2100</f>
        <v>7</v>
      </c>
      <c r="G957">
        <f>'[1]Processed Data'!G2100</f>
        <v>21</v>
      </c>
      <c r="H957">
        <f>'[1]Processed Data'!H2100</f>
        <v>33.299999999999997</v>
      </c>
      <c r="I957">
        <f>'[1]Processed Data'!I2100</f>
        <v>0</v>
      </c>
      <c r="J957">
        <f>'[1]Processed Data'!J2100</f>
        <v>3</v>
      </c>
      <c r="K957">
        <f>'[1]Processed Data'!K2100</f>
        <v>4</v>
      </c>
      <c r="L957">
        <f>'[1]Processed Data'!L2100</f>
        <v>1</v>
      </c>
      <c r="M957">
        <f>'[1]Processed Data'!M2100</f>
        <v>2</v>
      </c>
      <c r="N957">
        <f>'[1]Processed Data'!N2100</f>
        <v>0</v>
      </c>
      <c r="O957">
        <f>'[1]Processed Data'!O2100</f>
        <v>0</v>
      </c>
      <c r="P957">
        <f>'[1]Processed Data'!P2100</f>
        <v>0</v>
      </c>
      <c r="Q957">
        <f>'[1]Processed Data'!Q2100</f>
        <v>2</v>
      </c>
    </row>
    <row r="958" spans="2:17" hidden="1">
      <c r="B958">
        <f>'[1]Processed Data'!B2101</f>
        <v>2008</v>
      </c>
      <c r="C958">
        <f>'[1]Processed Data'!C2101</f>
        <v>97</v>
      </c>
      <c r="D958" t="str">
        <f>'[1]Processed Data'!D2101</f>
        <v>Carson Palmer</v>
      </c>
      <c r="E958">
        <v>2019</v>
      </c>
      <c r="F958">
        <f>'[1]Processed Data'!F2101</f>
        <v>75</v>
      </c>
      <c r="G958">
        <f>'[1]Processed Data'!G2101</f>
        <v>129</v>
      </c>
      <c r="H958">
        <f>'[1]Processed Data'!H2101</f>
        <v>58.1</v>
      </c>
      <c r="I958">
        <f>'[1]Processed Data'!I2101</f>
        <v>3</v>
      </c>
      <c r="J958">
        <f>'[1]Processed Data'!J2101</f>
        <v>4</v>
      </c>
      <c r="K958">
        <f>'[1]Processed Data'!K2101</f>
        <v>11</v>
      </c>
      <c r="L958">
        <f>'[1]Processed Data'!L2101</f>
        <v>6</v>
      </c>
      <c r="M958">
        <f>'[1]Processed Data'!M2101</f>
        <v>38</v>
      </c>
      <c r="N958">
        <f>'[1]Processed Data'!N2101</f>
        <v>0</v>
      </c>
      <c r="O958">
        <f>'[1]Processed Data'!O2101</f>
        <v>0</v>
      </c>
      <c r="P958">
        <f>'[1]Processed Data'!P2101</f>
        <v>0</v>
      </c>
      <c r="Q958">
        <f>'[1]Processed Data'!Q2101</f>
        <v>4</v>
      </c>
    </row>
    <row r="959" spans="2:17" hidden="1">
      <c r="B959">
        <f>'[1]Processed Data'!B2103</f>
        <v>2008</v>
      </c>
      <c r="C959">
        <f>'[1]Processed Data'!C2103</f>
        <v>99</v>
      </c>
      <c r="D959" t="str">
        <f>'[1]Processed Data'!D2103</f>
        <v>Seneca Wallace</v>
      </c>
      <c r="E959">
        <v>2019</v>
      </c>
      <c r="F959">
        <f>'[1]Processed Data'!F2103</f>
        <v>141</v>
      </c>
      <c r="G959">
        <f>'[1]Processed Data'!G2103</f>
        <v>242</v>
      </c>
      <c r="H959">
        <f>'[1]Processed Data'!H2103</f>
        <v>58.3</v>
      </c>
      <c r="I959">
        <f>'[1]Processed Data'!I2103</f>
        <v>11</v>
      </c>
      <c r="J959">
        <f>'[1]Processed Data'!J2103</f>
        <v>3</v>
      </c>
      <c r="K959">
        <f>'[1]Processed Data'!K2103</f>
        <v>14</v>
      </c>
      <c r="L959">
        <f>'[1]Processed Data'!L2103</f>
        <v>16</v>
      </c>
      <c r="M959">
        <f>'[1]Processed Data'!M2103</f>
        <v>78</v>
      </c>
      <c r="N959">
        <f>'[1]Processed Data'!N2103</f>
        <v>0</v>
      </c>
      <c r="O959">
        <f>'[1]Processed Data'!O2103</f>
        <v>0</v>
      </c>
      <c r="P959">
        <f>'[1]Processed Data'!P2103</f>
        <v>0</v>
      </c>
      <c r="Q959">
        <f>'[1]Processed Data'!Q2103</f>
        <v>10</v>
      </c>
    </row>
    <row r="960" spans="2:17" hidden="1">
      <c r="B960">
        <f>'[1]Processed Data'!B2104</f>
        <v>2008</v>
      </c>
      <c r="C960">
        <f>'[1]Processed Data'!C2104</f>
        <v>100</v>
      </c>
      <c r="D960" t="str">
        <f>'[1]Processed Data'!D2104</f>
        <v>Shaun Hill</v>
      </c>
      <c r="E960">
        <v>2019</v>
      </c>
      <c r="F960">
        <f>'[1]Processed Data'!F2104</f>
        <v>181</v>
      </c>
      <c r="G960">
        <f>'[1]Processed Data'!G2104</f>
        <v>288</v>
      </c>
      <c r="H960">
        <f>'[1]Processed Data'!H2104</f>
        <v>62.8</v>
      </c>
      <c r="I960">
        <f>'[1]Processed Data'!I2104</f>
        <v>13</v>
      </c>
      <c r="J960">
        <f>'[1]Processed Data'!J2104</f>
        <v>8</v>
      </c>
      <c r="K960">
        <f>'[1]Processed Data'!K2104</f>
        <v>23</v>
      </c>
      <c r="L960">
        <f>'[1]Processed Data'!L2104</f>
        <v>24</v>
      </c>
      <c r="M960">
        <f>'[1]Processed Data'!M2104</f>
        <v>115</v>
      </c>
      <c r="N960">
        <f>'[1]Processed Data'!N2104</f>
        <v>2</v>
      </c>
      <c r="O960">
        <f>'[1]Processed Data'!O2104</f>
        <v>0</v>
      </c>
      <c r="P960">
        <f>'[1]Processed Data'!P2104</f>
        <v>0</v>
      </c>
      <c r="Q960">
        <f>'[1]Processed Data'!Q2104</f>
        <v>9</v>
      </c>
    </row>
    <row r="961" spans="2:17" hidden="1">
      <c r="B961">
        <f>'[1]Processed Data'!B2105</f>
        <v>2008</v>
      </c>
      <c r="C961">
        <f>'[1]Processed Data'!C2105</f>
        <v>101</v>
      </c>
      <c r="D961" t="str">
        <f>'[1]Processed Data'!D2105</f>
        <v>Tarvaris Jackson</v>
      </c>
      <c r="E961">
        <v>2019</v>
      </c>
      <c r="F961">
        <f>'[1]Processed Data'!F2105</f>
        <v>88</v>
      </c>
      <c r="G961">
        <f>'[1]Processed Data'!G2105</f>
        <v>149</v>
      </c>
      <c r="H961">
        <f>'[1]Processed Data'!H2105</f>
        <v>59.1</v>
      </c>
      <c r="I961">
        <f>'[1]Processed Data'!I2105</f>
        <v>9</v>
      </c>
      <c r="J961">
        <f>'[1]Processed Data'!J2105</f>
        <v>2</v>
      </c>
      <c r="K961">
        <f>'[1]Processed Data'!K2105</f>
        <v>14</v>
      </c>
      <c r="L961">
        <f>'[1]Processed Data'!L2105</f>
        <v>26</v>
      </c>
      <c r="M961">
        <f>'[1]Processed Data'!M2105</f>
        <v>145</v>
      </c>
      <c r="N961">
        <f>'[1]Processed Data'!N2105</f>
        <v>0</v>
      </c>
      <c r="O961">
        <f>'[1]Processed Data'!O2105</f>
        <v>1</v>
      </c>
      <c r="P961">
        <f>'[1]Processed Data'!P2105</f>
        <v>0</v>
      </c>
      <c r="Q961">
        <f>'[1]Processed Data'!Q2105</f>
        <v>9</v>
      </c>
    </row>
    <row r="962" spans="2:17" hidden="1">
      <c r="B962">
        <f>'[1]Processed Data'!B2106</f>
        <v>2008</v>
      </c>
      <c r="C962">
        <f>'[1]Processed Data'!C2106</f>
        <v>102</v>
      </c>
      <c r="D962" t="str">
        <f>'[1]Processed Data'!D2106</f>
        <v>Tony Romo</v>
      </c>
      <c r="E962">
        <v>2019</v>
      </c>
      <c r="F962">
        <f>'[1]Processed Data'!F2106</f>
        <v>276</v>
      </c>
      <c r="G962">
        <f>'[1]Processed Data'!G2106</f>
        <v>450</v>
      </c>
      <c r="H962">
        <f>'[1]Processed Data'!H2106</f>
        <v>61.3</v>
      </c>
      <c r="I962">
        <f>'[1]Processed Data'!I2106</f>
        <v>26</v>
      </c>
      <c r="J962">
        <f>'[1]Processed Data'!J2106</f>
        <v>14</v>
      </c>
      <c r="K962">
        <f>'[1]Processed Data'!K2106</f>
        <v>20</v>
      </c>
      <c r="L962">
        <f>'[1]Processed Data'!L2106</f>
        <v>28</v>
      </c>
      <c r="M962">
        <f>'[1]Processed Data'!M2106</f>
        <v>41</v>
      </c>
      <c r="N962">
        <f>'[1]Processed Data'!N2106</f>
        <v>0</v>
      </c>
      <c r="O962">
        <f>'[1]Processed Data'!O2106</f>
        <v>0</v>
      </c>
      <c r="P962">
        <f>'[1]Processed Data'!P2106</f>
        <v>0</v>
      </c>
      <c r="Q962">
        <f>'[1]Processed Data'!Q2106</f>
        <v>13</v>
      </c>
    </row>
    <row r="963" spans="2:17" hidden="1">
      <c r="B963">
        <f>'[1]Processed Data'!B2107</f>
        <v>2008</v>
      </c>
      <c r="C963">
        <f>'[1]Processed Data'!C2107</f>
        <v>103</v>
      </c>
      <c r="D963" t="str">
        <f>'[1]Processed Data'!D2107</f>
        <v>Trent Edwards</v>
      </c>
      <c r="E963">
        <v>2019</v>
      </c>
      <c r="F963">
        <f>'[1]Processed Data'!F2107</f>
        <v>245</v>
      </c>
      <c r="G963">
        <f>'[1]Processed Data'!G2107</f>
        <v>374</v>
      </c>
      <c r="H963">
        <f>'[1]Processed Data'!H2107</f>
        <v>65.5</v>
      </c>
      <c r="I963">
        <f>'[1]Processed Data'!I2107</f>
        <v>11</v>
      </c>
      <c r="J963">
        <f>'[1]Processed Data'!J2107</f>
        <v>10</v>
      </c>
      <c r="K963">
        <f>'[1]Processed Data'!K2107</f>
        <v>23</v>
      </c>
      <c r="L963">
        <f>'[1]Processed Data'!L2107</f>
        <v>36</v>
      </c>
      <c r="M963">
        <f>'[1]Processed Data'!M2107</f>
        <v>117</v>
      </c>
      <c r="N963">
        <f>'[1]Processed Data'!N2107</f>
        <v>3</v>
      </c>
      <c r="O963">
        <f>'[1]Processed Data'!O2107</f>
        <v>0</v>
      </c>
      <c r="P963">
        <f>'[1]Processed Data'!P2107</f>
        <v>0</v>
      </c>
      <c r="Q963">
        <f>'[1]Processed Data'!Q2107</f>
        <v>14</v>
      </c>
    </row>
    <row r="964" spans="2:17" hidden="1">
      <c r="B964">
        <f>'[1]Processed Data'!B2108</f>
        <v>2008</v>
      </c>
      <c r="C964">
        <f>'[1]Processed Data'!C2108</f>
        <v>104</v>
      </c>
      <c r="D964" t="str">
        <f>'[1]Processed Data'!D2108</f>
        <v>Tyler Thigpen</v>
      </c>
      <c r="E964">
        <v>2019</v>
      </c>
      <c r="F964">
        <f>'[1]Processed Data'!F2108</f>
        <v>230</v>
      </c>
      <c r="G964">
        <f>'[1]Processed Data'!G2108</f>
        <v>420</v>
      </c>
      <c r="H964">
        <f>'[1]Processed Data'!H2108</f>
        <v>54.8</v>
      </c>
      <c r="I964">
        <f>'[1]Processed Data'!I2108</f>
        <v>18</v>
      </c>
      <c r="J964">
        <f>'[1]Processed Data'!J2108</f>
        <v>12</v>
      </c>
      <c r="K964">
        <f>'[1]Processed Data'!K2108</f>
        <v>26</v>
      </c>
      <c r="L964">
        <f>'[1]Processed Data'!L2108</f>
        <v>62</v>
      </c>
      <c r="M964">
        <f>'[1]Processed Data'!M2108</f>
        <v>386</v>
      </c>
      <c r="N964">
        <f>'[1]Processed Data'!N2108</f>
        <v>3</v>
      </c>
      <c r="O964">
        <f>'[1]Processed Data'!O2108</f>
        <v>0</v>
      </c>
      <c r="P964">
        <f>'[1]Processed Data'!P2108</f>
        <v>0</v>
      </c>
      <c r="Q964">
        <f>'[1]Processed Data'!Q2108</f>
        <v>14</v>
      </c>
    </row>
    <row r="965" spans="2:17" hidden="1">
      <c r="B965">
        <f>'[1]Processed Data'!B2109</f>
        <v>2008</v>
      </c>
      <c r="C965">
        <f>'[1]Processed Data'!C2109</f>
        <v>105</v>
      </c>
      <c r="D965" t="str">
        <f>'[1]Processed Data'!D2109</f>
        <v>Philip Rivers</v>
      </c>
      <c r="E965">
        <v>2019</v>
      </c>
      <c r="F965">
        <f>'[1]Processed Data'!F2109</f>
        <v>312</v>
      </c>
      <c r="G965">
        <f>'[1]Processed Data'!G2109</f>
        <v>478</v>
      </c>
      <c r="H965">
        <f>'[1]Processed Data'!H2109</f>
        <v>65.3</v>
      </c>
      <c r="I965">
        <f>'[1]Processed Data'!I2109</f>
        <v>34</v>
      </c>
      <c r="J965">
        <f>'[1]Processed Data'!J2109</f>
        <v>11</v>
      </c>
      <c r="K965">
        <f>'[1]Processed Data'!K2109</f>
        <v>25</v>
      </c>
      <c r="L965">
        <f>'[1]Processed Data'!L2109</f>
        <v>31</v>
      </c>
      <c r="M965">
        <f>'[1]Processed Data'!M2109</f>
        <v>84</v>
      </c>
      <c r="N965">
        <f>'[1]Processed Data'!N2109</f>
        <v>0</v>
      </c>
      <c r="O965">
        <f>'[1]Processed Data'!O2109</f>
        <v>0</v>
      </c>
      <c r="P965">
        <f>'[1]Processed Data'!P2109</f>
        <v>0</v>
      </c>
      <c r="Q965">
        <f>'[1]Processed Data'!Q2109</f>
        <v>16</v>
      </c>
    </row>
    <row r="966" spans="2:17" hidden="1">
      <c r="B966">
        <f>'[1]Processed Data'!B2111</f>
        <v>2008</v>
      </c>
      <c r="C966">
        <f>'[1]Processed Data'!C2111</f>
        <v>107</v>
      </c>
      <c r="D966" t="str">
        <f>'[1]Processed Data'!D2111</f>
        <v>Rex Grossman</v>
      </c>
      <c r="E966">
        <v>2019</v>
      </c>
      <c r="F966">
        <f>'[1]Processed Data'!F2111</f>
        <v>32</v>
      </c>
      <c r="G966">
        <f>'[1]Processed Data'!G2111</f>
        <v>62</v>
      </c>
      <c r="H966">
        <f>'[1]Processed Data'!H2111</f>
        <v>51.6</v>
      </c>
      <c r="I966">
        <f>'[1]Processed Data'!I2111</f>
        <v>2</v>
      </c>
      <c r="J966">
        <f>'[1]Processed Data'!J2111</f>
        <v>2</v>
      </c>
      <c r="K966">
        <f>'[1]Processed Data'!K2111</f>
        <v>2</v>
      </c>
      <c r="L966">
        <f>'[1]Processed Data'!L2111</f>
        <v>3</v>
      </c>
      <c r="M966">
        <f>'[1]Processed Data'!M2111</f>
        <v>4</v>
      </c>
      <c r="N966">
        <f>'[1]Processed Data'!N2111</f>
        <v>2</v>
      </c>
      <c r="O966">
        <f>'[1]Processed Data'!O2111</f>
        <v>0</v>
      </c>
      <c r="P966">
        <f>'[1]Processed Data'!P2111</f>
        <v>0</v>
      </c>
      <c r="Q966">
        <f>'[1]Processed Data'!Q2111</f>
        <v>4</v>
      </c>
    </row>
    <row r="967" spans="2:17" hidden="1">
      <c r="B967">
        <f>'[1]Processed Data'!B2112</f>
        <v>2008</v>
      </c>
      <c r="C967">
        <f>'[1]Processed Data'!C2112</f>
        <v>108</v>
      </c>
      <c r="D967" t="str">
        <f>'[1]Processed Data'!D2112</f>
        <v>Peyton Manning</v>
      </c>
      <c r="E967">
        <v>2019</v>
      </c>
      <c r="F967">
        <f>'[1]Processed Data'!F2112</f>
        <v>371</v>
      </c>
      <c r="G967">
        <f>'[1]Processed Data'!G2112</f>
        <v>555</v>
      </c>
      <c r="H967">
        <f>'[1]Processed Data'!H2112</f>
        <v>66.8</v>
      </c>
      <c r="I967">
        <f>'[1]Processed Data'!I2112</f>
        <v>27</v>
      </c>
      <c r="J967">
        <f>'[1]Processed Data'!J2112</f>
        <v>12</v>
      </c>
      <c r="K967">
        <f>'[1]Processed Data'!K2112</f>
        <v>14</v>
      </c>
      <c r="L967">
        <f>'[1]Processed Data'!L2112</f>
        <v>20</v>
      </c>
      <c r="M967">
        <f>'[1]Processed Data'!M2112</f>
        <v>21</v>
      </c>
      <c r="N967">
        <f>'[1]Processed Data'!N2112</f>
        <v>1</v>
      </c>
      <c r="O967">
        <f>'[1]Processed Data'!O2112</f>
        <v>0</v>
      </c>
      <c r="P967">
        <f>'[1]Processed Data'!P2112</f>
        <v>0</v>
      </c>
      <c r="Q967">
        <f>'[1]Processed Data'!Q2112</f>
        <v>16</v>
      </c>
    </row>
    <row r="968" spans="2:17" hidden="1">
      <c r="B968">
        <f>'[1]Processed Data'!B2113</f>
        <v>2008</v>
      </c>
      <c r="C968">
        <f>'[1]Processed Data'!C2113</f>
        <v>109</v>
      </c>
      <c r="D968" t="str">
        <f>'[1]Processed Data'!D2113</f>
        <v>Kellen Clemens</v>
      </c>
      <c r="E968">
        <v>2019</v>
      </c>
      <c r="F968">
        <f>'[1]Processed Data'!F2113</f>
        <v>3</v>
      </c>
      <c r="G968">
        <f>'[1]Processed Data'!G2113</f>
        <v>5</v>
      </c>
      <c r="H968">
        <f>'[1]Processed Data'!H2113</f>
        <v>60</v>
      </c>
      <c r="I968">
        <f>'[1]Processed Data'!I2113</f>
        <v>0</v>
      </c>
      <c r="J968">
        <f>'[1]Processed Data'!J2113</f>
        <v>1</v>
      </c>
      <c r="K968">
        <f>'[1]Processed Data'!K2113</f>
        <v>0</v>
      </c>
      <c r="L968">
        <f>'[1]Processed Data'!L2113</f>
        <v>3</v>
      </c>
      <c r="M968">
        <f>'[1]Processed Data'!M2113</f>
        <v>-3</v>
      </c>
      <c r="N968">
        <f>'[1]Processed Data'!N2113</f>
        <v>0</v>
      </c>
      <c r="O968">
        <f>'[1]Processed Data'!O2113</f>
        <v>0</v>
      </c>
      <c r="P968">
        <f>'[1]Processed Data'!P2113</f>
        <v>0</v>
      </c>
      <c r="Q968">
        <f>'[1]Processed Data'!Q2113</f>
        <v>2</v>
      </c>
    </row>
    <row r="969" spans="2:17" hidden="1">
      <c r="B969">
        <f>'[1]Processed Data'!B2114</f>
        <v>2008</v>
      </c>
      <c r="C969">
        <f>'[1]Processed Data'!C2114</f>
        <v>110</v>
      </c>
      <c r="D969" t="str">
        <f>'[1]Processed Data'!D2114</f>
        <v>Kevin Kolb</v>
      </c>
      <c r="E969">
        <v>2019</v>
      </c>
      <c r="F969">
        <f>'[1]Processed Data'!F2114</f>
        <v>17</v>
      </c>
      <c r="G969">
        <f>'[1]Processed Data'!G2114</f>
        <v>34</v>
      </c>
      <c r="H969">
        <f>'[1]Processed Data'!H2114</f>
        <v>50</v>
      </c>
      <c r="I969">
        <f>'[1]Processed Data'!I2114</f>
        <v>0</v>
      </c>
      <c r="J969">
        <f>'[1]Processed Data'!J2114</f>
        <v>4</v>
      </c>
      <c r="K969">
        <f>'[1]Processed Data'!K2114</f>
        <v>0</v>
      </c>
      <c r="L969">
        <f>'[1]Processed Data'!L2114</f>
        <v>13</v>
      </c>
      <c r="M969">
        <f>'[1]Processed Data'!M2114</f>
        <v>2</v>
      </c>
      <c r="N969">
        <f>'[1]Processed Data'!N2114</f>
        <v>0</v>
      </c>
      <c r="O969">
        <f>'[1]Processed Data'!O2114</f>
        <v>0</v>
      </c>
      <c r="P969">
        <f>'[1]Processed Data'!P2114</f>
        <v>0</v>
      </c>
      <c r="Q969">
        <f>'[1]Processed Data'!Q2114</f>
        <v>6</v>
      </c>
    </row>
    <row r="970" spans="2:17" hidden="1">
      <c r="B970">
        <f>'[1]Processed Data'!B2115</f>
        <v>2008</v>
      </c>
      <c r="C970">
        <f>'[1]Processed Data'!C2115</f>
        <v>111</v>
      </c>
      <c r="D970" t="str">
        <f>'[1]Processed Data'!D2115</f>
        <v>Kyle Orton</v>
      </c>
      <c r="E970">
        <v>2019</v>
      </c>
      <c r="F970">
        <f>'[1]Processed Data'!F2115</f>
        <v>272</v>
      </c>
      <c r="G970">
        <f>'[1]Processed Data'!G2115</f>
        <v>465</v>
      </c>
      <c r="H970">
        <f>'[1]Processed Data'!H2115</f>
        <v>58.5</v>
      </c>
      <c r="I970">
        <f>'[1]Processed Data'!I2115</f>
        <v>18</v>
      </c>
      <c r="J970">
        <f>'[1]Processed Data'!J2115</f>
        <v>12</v>
      </c>
      <c r="K970">
        <f>'[1]Processed Data'!K2115</f>
        <v>27</v>
      </c>
      <c r="L970">
        <f>'[1]Processed Data'!L2115</f>
        <v>24</v>
      </c>
      <c r="M970">
        <f>'[1]Processed Data'!M2115</f>
        <v>49</v>
      </c>
      <c r="N970">
        <f>'[1]Processed Data'!N2115</f>
        <v>3</v>
      </c>
      <c r="O970">
        <f>'[1]Processed Data'!O2115</f>
        <v>1</v>
      </c>
      <c r="P970">
        <f>'[1]Processed Data'!P2115</f>
        <v>0</v>
      </c>
      <c r="Q970">
        <f>'[1]Processed Data'!Q2115</f>
        <v>15</v>
      </c>
    </row>
    <row r="971" spans="2:17" hidden="1">
      <c r="B971">
        <f>'[1]Processed Data'!B2116</f>
        <v>2008</v>
      </c>
      <c r="C971">
        <f>'[1]Processed Data'!C2116</f>
        <v>112</v>
      </c>
      <c r="D971" t="str">
        <f>'[1]Processed Data'!D2116</f>
        <v>Matt Cassel</v>
      </c>
      <c r="E971">
        <v>2019</v>
      </c>
      <c r="F971">
        <f>'[1]Processed Data'!F2116</f>
        <v>327</v>
      </c>
      <c r="G971">
        <f>'[1]Processed Data'!G2116</f>
        <v>516</v>
      </c>
      <c r="H971">
        <f>'[1]Processed Data'!H2116</f>
        <v>63.4</v>
      </c>
      <c r="I971">
        <f>'[1]Processed Data'!I2116</f>
        <v>21</v>
      </c>
      <c r="J971">
        <f>'[1]Processed Data'!J2116</f>
        <v>11</v>
      </c>
      <c r="K971">
        <f>'[1]Processed Data'!K2116</f>
        <v>47</v>
      </c>
      <c r="L971">
        <f>'[1]Processed Data'!L2116</f>
        <v>73</v>
      </c>
      <c r="M971">
        <f>'[1]Processed Data'!M2116</f>
        <v>270</v>
      </c>
      <c r="N971">
        <f>'[1]Processed Data'!N2116</f>
        <v>2</v>
      </c>
      <c r="O971">
        <f>'[1]Processed Data'!O2116</f>
        <v>2</v>
      </c>
      <c r="P971">
        <f>'[1]Processed Data'!P2116</f>
        <v>0</v>
      </c>
      <c r="Q971">
        <f>'[1]Processed Data'!Q2116</f>
        <v>16</v>
      </c>
    </row>
    <row r="972" spans="2:17" hidden="1">
      <c r="B972">
        <f>'[1]Processed Data'!B2117</f>
        <v>2008</v>
      </c>
      <c r="C972">
        <f>'[1]Processed Data'!C2117</f>
        <v>113</v>
      </c>
      <c r="D972" t="str">
        <f>'[1]Processed Data'!D2117</f>
        <v>Matt Flynn</v>
      </c>
      <c r="E972">
        <v>2019</v>
      </c>
      <c r="F972">
        <f>'[1]Processed Data'!F2117</f>
        <v>2</v>
      </c>
      <c r="G972">
        <f>'[1]Processed Data'!G2117</f>
        <v>5</v>
      </c>
      <c r="H972">
        <f>'[1]Processed Data'!H2117</f>
        <v>40</v>
      </c>
      <c r="I972">
        <f>'[1]Processed Data'!I2117</f>
        <v>0</v>
      </c>
      <c r="J972">
        <f>'[1]Processed Data'!J2117</f>
        <v>0</v>
      </c>
      <c r="K972">
        <f>'[1]Processed Data'!K2117</f>
        <v>0</v>
      </c>
      <c r="L972">
        <f>'[1]Processed Data'!L2117</f>
        <v>4</v>
      </c>
      <c r="M972">
        <f>'[1]Processed Data'!M2117</f>
        <v>4</v>
      </c>
      <c r="N972">
        <f>'[1]Processed Data'!N2117</f>
        <v>0</v>
      </c>
      <c r="O972">
        <f>'[1]Processed Data'!O2117</f>
        <v>0</v>
      </c>
      <c r="P972">
        <f>'[1]Processed Data'!P2117</f>
        <v>0</v>
      </c>
      <c r="Q972">
        <f>'[1]Processed Data'!Q2117</f>
        <v>7</v>
      </c>
    </row>
    <row r="973" spans="2:17" hidden="1">
      <c r="B973">
        <f>'[1]Processed Data'!B2118</f>
        <v>2008</v>
      </c>
      <c r="C973">
        <f>'[1]Processed Data'!C2118</f>
        <v>114</v>
      </c>
      <c r="D973" t="str">
        <f>'[1]Processed Data'!D2118</f>
        <v>Matt Hasselbeck</v>
      </c>
      <c r="E973">
        <v>2019</v>
      </c>
      <c r="F973">
        <f>'[1]Processed Data'!F2118</f>
        <v>109</v>
      </c>
      <c r="G973">
        <f>'[1]Processed Data'!G2118</f>
        <v>209</v>
      </c>
      <c r="H973">
        <f>'[1]Processed Data'!H2118</f>
        <v>52.2</v>
      </c>
      <c r="I973">
        <f>'[1]Processed Data'!I2118</f>
        <v>5</v>
      </c>
      <c r="J973">
        <f>'[1]Processed Data'!J2118</f>
        <v>10</v>
      </c>
      <c r="K973">
        <f>'[1]Processed Data'!K2118</f>
        <v>19</v>
      </c>
      <c r="L973">
        <f>'[1]Processed Data'!L2118</f>
        <v>11</v>
      </c>
      <c r="M973">
        <f>'[1]Processed Data'!M2118</f>
        <v>69</v>
      </c>
      <c r="N973">
        <f>'[1]Processed Data'!N2118</f>
        <v>0</v>
      </c>
      <c r="O973">
        <f>'[1]Processed Data'!O2118</f>
        <v>0</v>
      </c>
      <c r="P973">
        <f>'[1]Processed Data'!P2118</f>
        <v>0</v>
      </c>
      <c r="Q973">
        <f>'[1]Processed Data'!Q2118</f>
        <v>7</v>
      </c>
    </row>
    <row r="974" spans="2:17" hidden="1">
      <c r="B974">
        <f>'[1]Processed Data'!B2156</f>
        <v>2008</v>
      </c>
      <c r="C974">
        <f>'[1]Processed Data'!C2156</f>
        <v>152</v>
      </c>
      <c r="D974" t="str">
        <f>'[1]Processed Data'!D2156</f>
        <v>Josh McCown</v>
      </c>
      <c r="E974">
        <v>2019</v>
      </c>
      <c r="F974">
        <f>'[1]Processed Data'!F2156</f>
        <v>0</v>
      </c>
      <c r="G974">
        <f>'[1]Processed Data'!G2156</f>
        <v>0</v>
      </c>
      <c r="H974">
        <f>'[1]Processed Data'!H2156</f>
        <v>0</v>
      </c>
      <c r="I974">
        <f>'[1]Processed Data'!I2156</f>
        <v>0</v>
      </c>
      <c r="J974">
        <f>'[1]Processed Data'!J2156</f>
        <v>0</v>
      </c>
      <c r="K974">
        <f>'[1]Processed Data'!K2156</f>
        <v>0</v>
      </c>
      <c r="L974">
        <f>'[1]Processed Data'!L2156</f>
        <v>4</v>
      </c>
      <c r="M974">
        <f>'[1]Processed Data'!M2156</f>
        <v>-3</v>
      </c>
      <c r="N974">
        <f>'[1]Processed Data'!N2156</f>
        <v>0</v>
      </c>
      <c r="O974">
        <f>'[1]Processed Data'!O2156</f>
        <v>0</v>
      </c>
      <c r="P974">
        <f>'[1]Processed Data'!P2156</f>
        <v>-0.3</v>
      </c>
      <c r="Q974">
        <f>'[1]Processed Data'!Q2156</f>
        <v>2</v>
      </c>
    </row>
    <row r="975" spans="2:17" hidden="1">
      <c r="B975">
        <f>'[1]Processed Data'!B2157</f>
        <v>2007</v>
      </c>
      <c r="C975">
        <f>'[1]Processed Data'!C2157</f>
        <v>1</v>
      </c>
      <c r="D975" t="str">
        <f>'[1]Processed Data'!D2157</f>
        <v>Tom Brady</v>
      </c>
      <c r="E975">
        <v>2019</v>
      </c>
      <c r="F975">
        <f>'[1]Processed Data'!F2157</f>
        <v>398</v>
      </c>
      <c r="G975">
        <f>'[1]Processed Data'!G2157</f>
        <v>578</v>
      </c>
      <c r="H975">
        <f>'[1]Processed Data'!H2157</f>
        <v>68.900000000000006</v>
      </c>
      <c r="I975">
        <f>'[1]Processed Data'!I2157</f>
        <v>50</v>
      </c>
      <c r="J975">
        <f>'[1]Processed Data'!J2157</f>
        <v>8</v>
      </c>
      <c r="K975">
        <f>'[1]Processed Data'!K2157</f>
        <v>21</v>
      </c>
      <c r="L975">
        <f>'[1]Processed Data'!L2157</f>
        <v>37</v>
      </c>
      <c r="M975">
        <f>'[1]Processed Data'!M2157</f>
        <v>98</v>
      </c>
      <c r="N975">
        <f>'[1]Processed Data'!N2157</f>
        <v>2</v>
      </c>
      <c r="O975">
        <f>'[1]Processed Data'!O2157</f>
        <v>0</v>
      </c>
      <c r="P975">
        <f>'[1]Processed Data'!P2157</f>
        <v>398</v>
      </c>
      <c r="Q975">
        <f>'[1]Processed Data'!Q2157</f>
        <v>16</v>
      </c>
    </row>
    <row r="976" spans="2:17" hidden="1">
      <c r="B976">
        <f>'[1]Processed Data'!B2158</f>
        <v>2007</v>
      </c>
      <c r="C976">
        <f>'[1]Processed Data'!C2158</f>
        <v>2</v>
      </c>
      <c r="D976" t="str">
        <f>'[1]Processed Data'!D2158</f>
        <v>Drew Brees</v>
      </c>
      <c r="E976">
        <v>2019</v>
      </c>
      <c r="F976">
        <f>'[1]Processed Data'!F2158</f>
        <v>440</v>
      </c>
      <c r="G976">
        <f>'[1]Processed Data'!G2158</f>
        <v>652</v>
      </c>
      <c r="H976">
        <f>'[1]Processed Data'!H2158</f>
        <v>67.5</v>
      </c>
      <c r="I976">
        <f>'[1]Processed Data'!I2158</f>
        <v>28</v>
      </c>
      <c r="J976">
        <f>'[1]Processed Data'!J2158</f>
        <v>18</v>
      </c>
      <c r="K976">
        <f>'[1]Processed Data'!K2158</f>
        <v>16</v>
      </c>
      <c r="L976">
        <f>'[1]Processed Data'!L2158</f>
        <v>23</v>
      </c>
      <c r="M976">
        <f>'[1]Processed Data'!M2158</f>
        <v>52</v>
      </c>
      <c r="N976">
        <f>'[1]Processed Data'!N2158</f>
        <v>1</v>
      </c>
      <c r="O976">
        <f>'[1]Processed Data'!O2158</f>
        <v>0</v>
      </c>
      <c r="P976">
        <f>'[1]Processed Data'!P2158</f>
        <v>266.2</v>
      </c>
      <c r="Q976">
        <f>'[1]Processed Data'!Q2158</f>
        <v>16</v>
      </c>
    </row>
    <row r="977" spans="2:17" hidden="1">
      <c r="B977">
        <f>'[1]Processed Data'!B2159</f>
        <v>2007</v>
      </c>
      <c r="C977">
        <f>'[1]Processed Data'!C2159</f>
        <v>3</v>
      </c>
      <c r="D977" t="str">
        <f>'[1]Processed Data'!D2159</f>
        <v>Ben Roethlisberger</v>
      </c>
      <c r="E977">
        <v>2019</v>
      </c>
      <c r="F977">
        <f>'[1]Processed Data'!F2159</f>
        <v>264</v>
      </c>
      <c r="G977">
        <f>'[1]Processed Data'!G2159</f>
        <v>404</v>
      </c>
      <c r="H977">
        <f>'[1]Processed Data'!H2159</f>
        <v>65.3</v>
      </c>
      <c r="I977">
        <f>'[1]Processed Data'!I2159</f>
        <v>32</v>
      </c>
      <c r="J977">
        <f>'[1]Processed Data'!J2159</f>
        <v>11</v>
      </c>
      <c r="K977">
        <f>'[1]Processed Data'!K2159</f>
        <v>47</v>
      </c>
      <c r="L977">
        <f>'[1]Processed Data'!L2159</f>
        <v>35</v>
      </c>
      <c r="M977">
        <f>'[1]Processed Data'!M2159</f>
        <v>204</v>
      </c>
      <c r="N977">
        <f>'[1]Processed Data'!N2159</f>
        <v>2</v>
      </c>
      <c r="O977">
        <f>'[1]Processed Data'!O2159</f>
        <v>0</v>
      </c>
      <c r="P977">
        <f>'[1]Processed Data'!P2159</f>
        <v>264.60000000000002</v>
      </c>
      <c r="Q977">
        <f>'[1]Processed Data'!Q2159</f>
        <v>15</v>
      </c>
    </row>
    <row r="978" spans="2:17" hidden="1">
      <c r="B978">
        <f>'[1]Processed Data'!B2160</f>
        <v>2007</v>
      </c>
      <c r="C978">
        <f>'[1]Processed Data'!C2160</f>
        <v>4</v>
      </c>
      <c r="D978" t="str">
        <f>'[1]Processed Data'!D2160</f>
        <v>Matt Schaub</v>
      </c>
      <c r="E978">
        <v>2019</v>
      </c>
      <c r="F978">
        <f>'[1]Processed Data'!F2160</f>
        <v>192</v>
      </c>
      <c r="G978">
        <f>'[1]Processed Data'!G2160</f>
        <v>289</v>
      </c>
      <c r="H978">
        <f>'[1]Processed Data'!H2160</f>
        <v>66.400000000000006</v>
      </c>
      <c r="I978">
        <f>'[1]Processed Data'!I2160</f>
        <v>9</v>
      </c>
      <c r="J978">
        <f>'[1]Processed Data'!J2160</f>
        <v>9</v>
      </c>
      <c r="K978">
        <f>'[1]Processed Data'!K2160</f>
        <v>16</v>
      </c>
      <c r="L978">
        <f>'[1]Processed Data'!L2160</f>
        <v>17</v>
      </c>
      <c r="M978">
        <f>'[1]Processed Data'!M2160</f>
        <v>52</v>
      </c>
      <c r="N978">
        <f>'[1]Processed Data'!N2160</f>
        <v>0</v>
      </c>
      <c r="O978">
        <f>'[1]Processed Data'!O2160</f>
        <v>0</v>
      </c>
      <c r="P978">
        <f>'[1]Processed Data'!P2160</f>
        <v>112.9</v>
      </c>
      <c r="Q978">
        <f>'[1]Processed Data'!Q2160</f>
        <v>11</v>
      </c>
    </row>
    <row r="979" spans="2:17" hidden="1">
      <c r="B979">
        <f>'[1]Processed Data'!B2161</f>
        <v>2007</v>
      </c>
      <c r="C979">
        <f>'[1]Processed Data'!C2161</f>
        <v>5</v>
      </c>
      <c r="D979" t="str">
        <f>'[1]Processed Data'!D2161</f>
        <v>Luke McCown</v>
      </c>
      <c r="E979">
        <v>2019</v>
      </c>
      <c r="F979">
        <f>'[1]Processed Data'!F2161</f>
        <v>94</v>
      </c>
      <c r="G979">
        <f>'[1]Processed Data'!G2161</f>
        <v>139</v>
      </c>
      <c r="H979">
        <f>'[1]Processed Data'!H2161</f>
        <v>67.599999999999994</v>
      </c>
      <c r="I979">
        <f>'[1]Processed Data'!I2161</f>
        <v>5</v>
      </c>
      <c r="J979">
        <f>'[1]Processed Data'!J2161</f>
        <v>3</v>
      </c>
      <c r="K979">
        <f>'[1]Processed Data'!K2161</f>
        <v>15</v>
      </c>
      <c r="L979">
        <f>'[1]Processed Data'!L2161</f>
        <v>12</v>
      </c>
      <c r="M979">
        <f>'[1]Processed Data'!M2161</f>
        <v>117</v>
      </c>
      <c r="N979">
        <f>'[1]Processed Data'!N2161</f>
        <v>0</v>
      </c>
      <c r="O979">
        <f>'[1]Processed Data'!O2161</f>
        <v>0</v>
      </c>
      <c r="P979">
        <f>'[1]Processed Data'!P2161</f>
        <v>66</v>
      </c>
      <c r="Q979">
        <f>'[1]Processed Data'!Q2161</f>
        <v>5</v>
      </c>
    </row>
    <row r="980" spans="2:17" hidden="1">
      <c r="B980">
        <f>'[1]Processed Data'!B2162</f>
        <v>2007</v>
      </c>
      <c r="C980">
        <f>'[1]Processed Data'!C2162</f>
        <v>6</v>
      </c>
      <c r="D980" t="str">
        <f>'[1]Processed Data'!D2162</f>
        <v>Alex Smith</v>
      </c>
      <c r="E980">
        <v>2019</v>
      </c>
      <c r="F980">
        <f>'[1]Processed Data'!F2162</f>
        <v>94</v>
      </c>
      <c r="G980">
        <f>'[1]Processed Data'!G2162</f>
        <v>193</v>
      </c>
      <c r="H980">
        <f>'[1]Processed Data'!H2162</f>
        <v>48.7</v>
      </c>
      <c r="I980">
        <f>'[1]Processed Data'!I2162</f>
        <v>2</v>
      </c>
      <c r="J980">
        <f>'[1]Processed Data'!J2162</f>
        <v>4</v>
      </c>
      <c r="K980">
        <f>'[1]Processed Data'!K2162</f>
        <v>17</v>
      </c>
      <c r="L980">
        <f>'[1]Processed Data'!L2162</f>
        <v>13</v>
      </c>
      <c r="M980">
        <f>'[1]Processed Data'!M2162</f>
        <v>89</v>
      </c>
      <c r="N980">
        <f>'[1]Processed Data'!N2162</f>
        <v>0</v>
      </c>
      <c r="O980">
        <f>'[1]Processed Data'!O2162</f>
        <v>2</v>
      </c>
      <c r="P980">
        <f>'[1]Processed Data'!P2162</f>
        <v>41.5</v>
      </c>
      <c r="Q980">
        <f>'[1]Processed Data'!Q2162</f>
        <v>7</v>
      </c>
    </row>
    <row r="981" spans="2:17" hidden="1">
      <c r="B981">
        <f>'[1]Processed Data'!B2163</f>
        <v>2007</v>
      </c>
      <c r="C981">
        <f>'[1]Processed Data'!C2163</f>
        <v>7</v>
      </c>
      <c r="D981" t="str">
        <f>'[1]Processed Data'!D2163</f>
        <v>Matt Moore</v>
      </c>
      <c r="E981">
        <v>2019</v>
      </c>
      <c r="F981">
        <f>'[1]Processed Data'!F2163</f>
        <v>63</v>
      </c>
      <c r="G981">
        <f>'[1]Processed Data'!G2163</f>
        <v>111</v>
      </c>
      <c r="H981">
        <f>'[1]Processed Data'!H2163</f>
        <v>56.8</v>
      </c>
      <c r="I981">
        <f>'[1]Processed Data'!I2163</f>
        <v>3</v>
      </c>
      <c r="J981">
        <f>'[1]Processed Data'!J2163</f>
        <v>5</v>
      </c>
      <c r="K981">
        <f>'[1]Processed Data'!K2163</f>
        <v>6</v>
      </c>
      <c r="L981">
        <f>'[1]Processed Data'!L2163</f>
        <v>3</v>
      </c>
      <c r="M981">
        <f>'[1]Processed Data'!M2163</f>
        <v>5</v>
      </c>
      <c r="N981">
        <f>'[1]Processed Data'!N2163</f>
        <v>0</v>
      </c>
      <c r="O981">
        <f>'[1]Processed Data'!O2163</f>
        <v>0</v>
      </c>
      <c r="P981">
        <f>'[1]Processed Data'!P2163</f>
        <v>31.6</v>
      </c>
      <c r="Q981">
        <f>'[1]Processed Data'!Q2163</f>
        <v>9</v>
      </c>
    </row>
    <row r="982" spans="2:17" hidden="1">
      <c r="B982">
        <f>'[1]Processed Data'!B2164</f>
        <v>2007</v>
      </c>
      <c r="C982">
        <f>'[1]Processed Data'!C2164</f>
        <v>8</v>
      </c>
      <c r="D982" t="str">
        <f>'[1]Processed Data'!D2164</f>
        <v>Aaron Rodgers</v>
      </c>
      <c r="E982">
        <v>2019</v>
      </c>
      <c r="F982">
        <f>'[1]Processed Data'!F2164</f>
        <v>20</v>
      </c>
      <c r="G982">
        <f>'[1]Processed Data'!G2164</f>
        <v>28</v>
      </c>
      <c r="H982">
        <f>'[1]Processed Data'!H2164</f>
        <v>71.400000000000006</v>
      </c>
      <c r="I982">
        <f>'[1]Processed Data'!I2164</f>
        <v>1</v>
      </c>
      <c r="J982">
        <f>'[1]Processed Data'!J2164</f>
        <v>0</v>
      </c>
      <c r="K982">
        <f>'[1]Processed Data'!K2164</f>
        <v>3</v>
      </c>
      <c r="L982">
        <f>'[1]Processed Data'!L2164</f>
        <v>7</v>
      </c>
      <c r="M982">
        <f>'[1]Processed Data'!M2164</f>
        <v>29</v>
      </c>
      <c r="N982">
        <f>'[1]Processed Data'!N2164</f>
        <v>0</v>
      </c>
      <c r="O982">
        <f>'[1]Processed Data'!O2164</f>
        <v>0</v>
      </c>
      <c r="P982">
        <f>'[1]Processed Data'!P2164</f>
        <v>15.6</v>
      </c>
      <c r="Q982">
        <f>'[1]Processed Data'!Q2164</f>
        <v>2</v>
      </c>
    </row>
    <row r="983" spans="2:17" hidden="1">
      <c r="B983">
        <f>'[1]Processed Data'!B2220</f>
        <v>2007</v>
      </c>
      <c r="C983">
        <f>'[1]Processed Data'!C2220</f>
        <v>64</v>
      </c>
      <c r="D983" t="str">
        <f>'[1]Processed Data'!D2220</f>
        <v>Levi Brown</v>
      </c>
      <c r="E983">
        <v>2019</v>
      </c>
      <c r="F983">
        <f>'[1]Processed Data'!F2220</f>
        <v>0</v>
      </c>
      <c r="G983">
        <f>'[1]Processed Data'!G2220</f>
        <v>0</v>
      </c>
      <c r="H983">
        <f>'[1]Processed Data'!H2220</f>
        <v>0</v>
      </c>
      <c r="I983">
        <f>'[1]Processed Data'!I2220</f>
        <v>0</v>
      </c>
      <c r="J983">
        <f>'[1]Processed Data'!J2220</f>
        <v>0</v>
      </c>
      <c r="K983">
        <f>'[1]Processed Data'!K2220</f>
        <v>0</v>
      </c>
      <c r="L983">
        <f>'[1]Processed Data'!L2220</f>
        <v>0</v>
      </c>
      <c r="M983">
        <f>'[1]Processed Data'!M2220</f>
        <v>0</v>
      </c>
      <c r="N983">
        <f>'[1]Processed Data'!N2220</f>
        <v>0</v>
      </c>
      <c r="O983">
        <f>'[1]Processed Data'!O2220</f>
        <v>0</v>
      </c>
      <c r="P983">
        <f>'[1]Processed Data'!P2220</f>
        <v>0</v>
      </c>
      <c r="Q983">
        <f>'[1]Processed Data'!Q2220</f>
        <v>13</v>
      </c>
    </row>
    <row r="984" spans="2:17" hidden="1">
      <c r="B984">
        <f>'[1]Processed Data'!B2235</f>
        <v>2007</v>
      </c>
      <c r="C984">
        <f>'[1]Processed Data'!C2235</f>
        <v>79</v>
      </c>
      <c r="D984" t="str">
        <f>'[1]Processed Data'!D2235</f>
        <v>David Carr</v>
      </c>
      <c r="E984">
        <v>2019</v>
      </c>
      <c r="F984">
        <f>'[1]Processed Data'!F2235</f>
        <v>73</v>
      </c>
      <c r="G984">
        <f>'[1]Processed Data'!G2235</f>
        <v>136</v>
      </c>
      <c r="H984">
        <f>'[1]Processed Data'!H2235</f>
        <v>53.7</v>
      </c>
      <c r="I984">
        <f>'[1]Processed Data'!I2235</f>
        <v>3</v>
      </c>
      <c r="J984">
        <f>'[1]Processed Data'!J2235</f>
        <v>5</v>
      </c>
      <c r="K984">
        <f>'[1]Processed Data'!K2235</f>
        <v>13</v>
      </c>
      <c r="L984">
        <f>'[1]Processed Data'!L2235</f>
        <v>17</v>
      </c>
      <c r="M984">
        <f>'[1]Processed Data'!M2235</f>
        <v>59</v>
      </c>
      <c r="N984">
        <f>'[1]Processed Data'!N2235</f>
        <v>0</v>
      </c>
      <c r="O984">
        <f>'[1]Processed Data'!O2235</f>
        <v>0</v>
      </c>
      <c r="P984">
        <f>'[1]Processed Data'!P2235</f>
        <v>0</v>
      </c>
      <c r="Q984">
        <f>'[1]Processed Data'!Q2235</f>
        <v>6</v>
      </c>
    </row>
    <row r="985" spans="2:17" hidden="1">
      <c r="B985">
        <f>'[1]Processed Data'!B2236</f>
        <v>2007</v>
      </c>
      <c r="C985">
        <f>'[1]Processed Data'!C2236</f>
        <v>80</v>
      </c>
      <c r="D985" t="str">
        <f>'[1]Processed Data'!D2236</f>
        <v>Derek Anderson</v>
      </c>
      <c r="E985">
        <v>2019</v>
      </c>
      <c r="F985">
        <f>'[1]Processed Data'!F2236</f>
        <v>298</v>
      </c>
      <c r="G985">
        <f>'[1]Processed Data'!G2236</f>
        <v>527</v>
      </c>
      <c r="H985">
        <f>'[1]Processed Data'!H2236</f>
        <v>56.5</v>
      </c>
      <c r="I985">
        <f>'[1]Processed Data'!I2236</f>
        <v>29</v>
      </c>
      <c r="J985">
        <f>'[1]Processed Data'!J2236</f>
        <v>19</v>
      </c>
      <c r="K985">
        <f>'[1]Processed Data'!K2236</f>
        <v>14</v>
      </c>
      <c r="L985">
        <f>'[1]Processed Data'!L2236</f>
        <v>32</v>
      </c>
      <c r="M985">
        <f>'[1]Processed Data'!M2236</f>
        <v>70</v>
      </c>
      <c r="N985">
        <f>'[1]Processed Data'!N2236</f>
        <v>3</v>
      </c>
      <c r="O985">
        <f>'[1]Processed Data'!O2236</f>
        <v>0</v>
      </c>
      <c r="P985">
        <f>'[1]Processed Data'!P2236</f>
        <v>0</v>
      </c>
      <c r="Q985">
        <f>'[1]Processed Data'!Q2236</f>
        <v>16</v>
      </c>
    </row>
    <row r="986" spans="2:17" hidden="1">
      <c r="B986">
        <f>'[1]Processed Data'!B2237</f>
        <v>2007</v>
      </c>
      <c r="C986">
        <f>'[1]Processed Data'!C2237</f>
        <v>81</v>
      </c>
      <c r="D986" t="str">
        <f>'[1]Processed Data'!D2237</f>
        <v>Eli Manning</v>
      </c>
      <c r="E986">
        <v>2019</v>
      </c>
      <c r="F986">
        <f>'[1]Processed Data'!F2237</f>
        <v>297</v>
      </c>
      <c r="G986">
        <f>'[1]Processed Data'!G2237</f>
        <v>529</v>
      </c>
      <c r="H986">
        <f>'[1]Processed Data'!H2237</f>
        <v>56.1</v>
      </c>
      <c r="I986">
        <f>'[1]Processed Data'!I2237</f>
        <v>23</v>
      </c>
      <c r="J986">
        <f>'[1]Processed Data'!J2237</f>
        <v>20</v>
      </c>
      <c r="K986">
        <f>'[1]Processed Data'!K2237</f>
        <v>27</v>
      </c>
      <c r="L986">
        <f>'[1]Processed Data'!L2237</f>
        <v>29</v>
      </c>
      <c r="M986">
        <f>'[1]Processed Data'!M2237</f>
        <v>69</v>
      </c>
      <c r="N986">
        <f>'[1]Processed Data'!N2237</f>
        <v>1</v>
      </c>
      <c r="O986">
        <f>'[1]Processed Data'!O2237</f>
        <v>0</v>
      </c>
      <c r="P986">
        <f>'[1]Processed Data'!P2237</f>
        <v>0</v>
      </c>
      <c r="Q986">
        <f>'[1]Processed Data'!Q2237</f>
        <v>16</v>
      </c>
    </row>
    <row r="987" spans="2:17" hidden="1">
      <c r="B987">
        <f>'[1]Processed Data'!B2238</f>
        <v>2007</v>
      </c>
      <c r="C987">
        <f>'[1]Processed Data'!C2238</f>
        <v>82</v>
      </c>
      <c r="D987" t="str">
        <f>'[1]Processed Data'!D2238</f>
        <v>Jason Campbell</v>
      </c>
      <c r="E987">
        <v>2019</v>
      </c>
      <c r="F987">
        <f>'[1]Processed Data'!F2238</f>
        <v>250</v>
      </c>
      <c r="G987">
        <f>'[1]Processed Data'!G2238</f>
        <v>417</v>
      </c>
      <c r="H987">
        <f>'[1]Processed Data'!H2238</f>
        <v>60</v>
      </c>
      <c r="I987">
        <f>'[1]Processed Data'!I2238</f>
        <v>12</v>
      </c>
      <c r="J987">
        <f>'[1]Processed Data'!J2238</f>
        <v>11</v>
      </c>
      <c r="K987">
        <f>'[1]Processed Data'!K2238</f>
        <v>21</v>
      </c>
      <c r="L987">
        <f>'[1]Processed Data'!L2238</f>
        <v>36</v>
      </c>
      <c r="M987">
        <f>'[1]Processed Data'!M2238</f>
        <v>185</v>
      </c>
      <c r="N987">
        <f>'[1]Processed Data'!N2238</f>
        <v>1</v>
      </c>
      <c r="O987">
        <f>'[1]Processed Data'!O2238</f>
        <v>0</v>
      </c>
      <c r="P987">
        <f>'[1]Processed Data'!P2238</f>
        <v>0</v>
      </c>
      <c r="Q987">
        <f>'[1]Processed Data'!Q2238</f>
        <v>13</v>
      </c>
    </row>
    <row r="988" spans="2:17" hidden="1">
      <c r="B988">
        <f>'[1]Processed Data'!B2239</f>
        <v>2007</v>
      </c>
      <c r="C988">
        <f>'[1]Processed Data'!C2239</f>
        <v>83</v>
      </c>
      <c r="D988" t="str">
        <f>'[1]Processed Data'!D2239</f>
        <v>Jay Cutler</v>
      </c>
      <c r="E988">
        <v>2019</v>
      </c>
      <c r="F988">
        <f>'[1]Processed Data'!F2239</f>
        <v>297</v>
      </c>
      <c r="G988">
        <f>'[1]Processed Data'!G2239</f>
        <v>467</v>
      </c>
      <c r="H988">
        <f>'[1]Processed Data'!H2239</f>
        <v>63.6</v>
      </c>
      <c r="I988">
        <f>'[1]Processed Data'!I2239</f>
        <v>20</v>
      </c>
      <c r="J988">
        <f>'[1]Processed Data'!J2239</f>
        <v>14</v>
      </c>
      <c r="K988">
        <f>'[1]Processed Data'!K2239</f>
        <v>27</v>
      </c>
      <c r="L988">
        <f>'[1]Processed Data'!L2239</f>
        <v>44</v>
      </c>
      <c r="M988">
        <f>'[1]Processed Data'!M2239</f>
        <v>205</v>
      </c>
      <c r="N988">
        <f>'[1]Processed Data'!N2239</f>
        <v>1</v>
      </c>
      <c r="O988">
        <f>'[1]Processed Data'!O2239</f>
        <v>0</v>
      </c>
      <c r="P988">
        <f>'[1]Processed Data'!P2239</f>
        <v>0</v>
      </c>
      <c r="Q988">
        <f>'[1]Processed Data'!Q2239</f>
        <v>16</v>
      </c>
    </row>
    <row r="989" spans="2:17" hidden="1">
      <c r="B989">
        <f>'[1]Processed Data'!B2242</f>
        <v>2007</v>
      </c>
      <c r="C989">
        <f>'[1]Processed Data'!C2242</f>
        <v>86</v>
      </c>
      <c r="D989" t="str">
        <f>'[1]Processed Data'!D2242</f>
        <v>Brady Quinn</v>
      </c>
      <c r="E989">
        <v>2019</v>
      </c>
      <c r="F989">
        <f>'[1]Processed Data'!F2242</f>
        <v>3</v>
      </c>
      <c r="G989">
        <f>'[1]Processed Data'!G2242</f>
        <v>8</v>
      </c>
      <c r="H989">
        <f>'[1]Processed Data'!H2242</f>
        <v>37.5</v>
      </c>
      <c r="I989">
        <f>'[1]Processed Data'!I2242</f>
        <v>0</v>
      </c>
      <c r="J989">
        <f>'[1]Processed Data'!J2242</f>
        <v>0</v>
      </c>
      <c r="K989">
        <f>'[1]Processed Data'!K2242</f>
        <v>0</v>
      </c>
      <c r="L989">
        <f>'[1]Processed Data'!L2242</f>
        <v>0</v>
      </c>
      <c r="M989">
        <f>'[1]Processed Data'!M2242</f>
        <v>0</v>
      </c>
      <c r="N989">
        <f>'[1]Processed Data'!N2242</f>
        <v>0</v>
      </c>
      <c r="O989">
        <f>'[1]Processed Data'!O2242</f>
        <v>0</v>
      </c>
      <c r="P989">
        <f>'[1]Processed Data'!P2242</f>
        <v>0</v>
      </c>
      <c r="Q989">
        <f>'[1]Processed Data'!Q2242</f>
        <v>1</v>
      </c>
    </row>
    <row r="990" spans="2:17" hidden="1">
      <c r="B990">
        <f>'[1]Processed Data'!B2246</f>
        <v>2007</v>
      </c>
      <c r="C990">
        <f>'[1]Processed Data'!C2246</f>
        <v>90</v>
      </c>
      <c r="D990" t="str">
        <f>'[1]Processed Data'!D2246</f>
        <v>Bruce Gradkowski</v>
      </c>
      <c r="E990">
        <v>2019</v>
      </c>
      <c r="F990">
        <f>'[1]Processed Data'!F2246</f>
        <v>13</v>
      </c>
      <c r="G990">
        <f>'[1]Processed Data'!G2246</f>
        <v>24</v>
      </c>
      <c r="H990">
        <f>'[1]Processed Data'!H2246</f>
        <v>54.2</v>
      </c>
      <c r="I990">
        <f>'[1]Processed Data'!I2246</f>
        <v>0</v>
      </c>
      <c r="J990">
        <f>'[1]Processed Data'!J2246</f>
        <v>1</v>
      </c>
      <c r="K990">
        <f>'[1]Processed Data'!K2246</f>
        <v>2</v>
      </c>
      <c r="L990">
        <f>'[1]Processed Data'!L2246</f>
        <v>7</v>
      </c>
      <c r="M990">
        <f>'[1]Processed Data'!M2246</f>
        <v>20</v>
      </c>
      <c r="N990">
        <f>'[1]Processed Data'!N2246</f>
        <v>0</v>
      </c>
      <c r="O990">
        <f>'[1]Processed Data'!O2246</f>
        <v>0</v>
      </c>
      <c r="P990">
        <f>'[1]Processed Data'!P2246</f>
        <v>0</v>
      </c>
      <c r="Q990">
        <f>'[1]Processed Data'!Q2246</f>
        <v>4</v>
      </c>
    </row>
    <row r="991" spans="2:17" hidden="1">
      <c r="B991">
        <f>'[1]Processed Data'!B2247</f>
        <v>2007</v>
      </c>
      <c r="C991">
        <f>'[1]Processed Data'!C2247</f>
        <v>91</v>
      </c>
      <c r="D991" t="str">
        <f>'[1]Processed Data'!D2247</f>
        <v>Carson Palmer</v>
      </c>
      <c r="E991">
        <v>2019</v>
      </c>
      <c r="F991">
        <f>'[1]Processed Data'!F2247</f>
        <v>373</v>
      </c>
      <c r="G991">
        <f>'[1]Processed Data'!G2247</f>
        <v>575</v>
      </c>
      <c r="H991">
        <f>'[1]Processed Data'!H2247</f>
        <v>64.900000000000006</v>
      </c>
      <c r="I991">
        <f>'[1]Processed Data'!I2247</f>
        <v>26</v>
      </c>
      <c r="J991">
        <f>'[1]Processed Data'!J2247</f>
        <v>20</v>
      </c>
      <c r="K991">
        <f>'[1]Processed Data'!K2247</f>
        <v>17</v>
      </c>
      <c r="L991">
        <f>'[1]Processed Data'!L2247</f>
        <v>24</v>
      </c>
      <c r="M991">
        <f>'[1]Processed Data'!M2247</f>
        <v>10</v>
      </c>
      <c r="N991">
        <f>'[1]Processed Data'!N2247</f>
        <v>0</v>
      </c>
      <c r="O991">
        <f>'[1]Processed Data'!O2247</f>
        <v>0</v>
      </c>
      <c r="P991">
        <f>'[1]Processed Data'!P2247</f>
        <v>0</v>
      </c>
      <c r="Q991">
        <f>'[1]Processed Data'!Q2247</f>
        <v>16</v>
      </c>
    </row>
    <row r="992" spans="2:17" hidden="1">
      <c r="B992">
        <f>'[1]Processed Data'!B2250</f>
        <v>2007</v>
      </c>
      <c r="C992">
        <f>'[1]Processed Data'!C2250</f>
        <v>94</v>
      </c>
      <c r="D992" t="str">
        <f>'[1]Processed Data'!D2250</f>
        <v>Tarvaris Jackson</v>
      </c>
      <c r="E992">
        <v>2019</v>
      </c>
      <c r="F992">
        <f>'[1]Processed Data'!F2250</f>
        <v>171</v>
      </c>
      <c r="G992">
        <f>'[1]Processed Data'!G2250</f>
        <v>294</v>
      </c>
      <c r="H992">
        <f>'[1]Processed Data'!H2250</f>
        <v>58.2</v>
      </c>
      <c r="I992">
        <f>'[1]Processed Data'!I2250</f>
        <v>9</v>
      </c>
      <c r="J992">
        <f>'[1]Processed Data'!J2250</f>
        <v>12</v>
      </c>
      <c r="K992">
        <f>'[1]Processed Data'!K2250</f>
        <v>19</v>
      </c>
      <c r="L992">
        <f>'[1]Processed Data'!L2250</f>
        <v>54</v>
      </c>
      <c r="M992">
        <f>'[1]Processed Data'!M2250</f>
        <v>260</v>
      </c>
      <c r="N992">
        <f>'[1]Processed Data'!N2250</f>
        <v>3</v>
      </c>
      <c r="O992">
        <f>'[1]Processed Data'!O2250</f>
        <v>0</v>
      </c>
      <c r="P992">
        <f>'[1]Processed Data'!P2250</f>
        <v>0</v>
      </c>
      <c r="Q992">
        <f>'[1]Processed Data'!Q2250</f>
        <v>12</v>
      </c>
    </row>
    <row r="993" spans="2:17" hidden="1">
      <c r="B993">
        <f>'[1]Processed Data'!B2251</f>
        <v>2007</v>
      </c>
      <c r="C993">
        <f>'[1]Processed Data'!C2251</f>
        <v>95</v>
      </c>
      <c r="D993" t="str">
        <f>'[1]Processed Data'!D2251</f>
        <v>Peyton Manning</v>
      </c>
      <c r="E993">
        <v>2019</v>
      </c>
      <c r="F993">
        <f>'[1]Processed Data'!F2251</f>
        <v>337</v>
      </c>
      <c r="G993">
        <f>'[1]Processed Data'!G2251</f>
        <v>515</v>
      </c>
      <c r="H993">
        <f>'[1]Processed Data'!H2251</f>
        <v>65.400000000000006</v>
      </c>
      <c r="I993">
        <f>'[1]Processed Data'!I2251</f>
        <v>31</v>
      </c>
      <c r="J993">
        <f>'[1]Processed Data'!J2251</f>
        <v>14</v>
      </c>
      <c r="K993">
        <f>'[1]Processed Data'!K2251</f>
        <v>21</v>
      </c>
      <c r="L993">
        <f>'[1]Processed Data'!L2251</f>
        <v>20</v>
      </c>
      <c r="M993">
        <f>'[1]Processed Data'!M2251</f>
        <v>-5</v>
      </c>
      <c r="N993">
        <f>'[1]Processed Data'!N2251</f>
        <v>3</v>
      </c>
      <c r="O993">
        <f>'[1]Processed Data'!O2251</f>
        <v>0</v>
      </c>
      <c r="P993">
        <f>'[1]Processed Data'!P2251</f>
        <v>0</v>
      </c>
      <c r="Q993">
        <f>'[1]Processed Data'!Q2251</f>
        <v>16</v>
      </c>
    </row>
    <row r="994" spans="2:17" hidden="1">
      <c r="B994">
        <f>'[1]Processed Data'!B2252</f>
        <v>2007</v>
      </c>
      <c r="C994">
        <f>'[1]Processed Data'!C2252</f>
        <v>96</v>
      </c>
      <c r="D994" t="str">
        <f>'[1]Processed Data'!D2252</f>
        <v>Philip Rivers</v>
      </c>
      <c r="E994">
        <v>2019</v>
      </c>
      <c r="F994">
        <f>'[1]Processed Data'!F2252</f>
        <v>277</v>
      </c>
      <c r="G994">
        <f>'[1]Processed Data'!G2252</f>
        <v>460</v>
      </c>
      <c r="H994">
        <f>'[1]Processed Data'!H2252</f>
        <v>60.2</v>
      </c>
      <c r="I994">
        <f>'[1]Processed Data'!I2252</f>
        <v>21</v>
      </c>
      <c r="J994">
        <f>'[1]Processed Data'!J2252</f>
        <v>15</v>
      </c>
      <c r="K994">
        <f>'[1]Processed Data'!K2252</f>
        <v>22</v>
      </c>
      <c r="L994">
        <f>'[1]Processed Data'!L2252</f>
        <v>29</v>
      </c>
      <c r="M994">
        <f>'[1]Processed Data'!M2252</f>
        <v>33</v>
      </c>
      <c r="N994">
        <f>'[1]Processed Data'!N2252</f>
        <v>1</v>
      </c>
      <c r="O994">
        <f>'[1]Processed Data'!O2252</f>
        <v>1</v>
      </c>
      <c r="P994">
        <f>'[1]Processed Data'!P2252</f>
        <v>0</v>
      </c>
      <c r="Q994">
        <f>'[1]Processed Data'!Q2252</f>
        <v>16</v>
      </c>
    </row>
    <row r="995" spans="2:17" hidden="1">
      <c r="B995">
        <f>'[1]Processed Data'!B2253</f>
        <v>2007</v>
      </c>
      <c r="C995">
        <f>'[1]Processed Data'!C2253</f>
        <v>97</v>
      </c>
      <c r="D995" t="str">
        <f>'[1]Processed Data'!D2253</f>
        <v>Rex Grossman</v>
      </c>
      <c r="E995">
        <v>2019</v>
      </c>
      <c r="F995">
        <f>'[1]Processed Data'!F2253</f>
        <v>122</v>
      </c>
      <c r="G995">
        <f>'[1]Processed Data'!G2253</f>
        <v>225</v>
      </c>
      <c r="H995">
        <f>'[1]Processed Data'!H2253</f>
        <v>54.2</v>
      </c>
      <c r="I995">
        <f>'[1]Processed Data'!I2253</f>
        <v>4</v>
      </c>
      <c r="J995">
        <f>'[1]Processed Data'!J2253</f>
        <v>7</v>
      </c>
      <c r="K995">
        <f>'[1]Processed Data'!K2253</f>
        <v>25</v>
      </c>
      <c r="L995">
        <f>'[1]Processed Data'!L2253</f>
        <v>14</v>
      </c>
      <c r="M995">
        <f>'[1]Processed Data'!M2253</f>
        <v>27</v>
      </c>
      <c r="N995">
        <f>'[1]Processed Data'!N2253</f>
        <v>0</v>
      </c>
      <c r="O995">
        <f>'[1]Processed Data'!O2253</f>
        <v>0</v>
      </c>
      <c r="P995">
        <f>'[1]Processed Data'!P2253</f>
        <v>0</v>
      </c>
      <c r="Q995">
        <f>'[1]Processed Data'!Q2253</f>
        <v>8</v>
      </c>
    </row>
    <row r="996" spans="2:17" hidden="1">
      <c r="B996">
        <f>'[1]Processed Data'!B2254</f>
        <v>2007</v>
      </c>
      <c r="C996">
        <f>'[1]Processed Data'!C2254</f>
        <v>98</v>
      </c>
      <c r="D996" t="str">
        <f>'[1]Processed Data'!D2254</f>
        <v>Ryan Fitzpatrick</v>
      </c>
      <c r="E996">
        <v>2019</v>
      </c>
      <c r="F996">
        <f>'[1]Processed Data'!F2254</f>
        <v>0</v>
      </c>
      <c r="G996">
        <f>'[1]Processed Data'!G2254</f>
        <v>0</v>
      </c>
      <c r="H996">
        <f>'[1]Processed Data'!H2254</f>
        <v>0</v>
      </c>
      <c r="I996">
        <f>'[1]Processed Data'!I2254</f>
        <v>0</v>
      </c>
      <c r="J996">
        <f>'[1]Processed Data'!J2254</f>
        <v>0</v>
      </c>
      <c r="K996">
        <f>'[1]Processed Data'!K2254</f>
        <v>0</v>
      </c>
      <c r="L996">
        <f>'[1]Processed Data'!L2254</f>
        <v>0</v>
      </c>
      <c r="M996">
        <f>'[1]Processed Data'!M2254</f>
        <v>0</v>
      </c>
      <c r="N996">
        <f>'[1]Processed Data'!N2254</f>
        <v>0</v>
      </c>
      <c r="O996">
        <f>'[1]Processed Data'!O2254</f>
        <v>0</v>
      </c>
      <c r="P996">
        <f>'[1]Processed Data'!P2254</f>
        <v>0</v>
      </c>
      <c r="Q996">
        <f>'[1]Processed Data'!Q2254</f>
        <v>1</v>
      </c>
    </row>
    <row r="997" spans="2:17" hidden="1">
      <c r="B997">
        <f>'[1]Processed Data'!B2255</f>
        <v>2007</v>
      </c>
      <c r="C997">
        <f>'[1]Processed Data'!C2255</f>
        <v>99</v>
      </c>
      <c r="D997" t="str">
        <f>'[1]Processed Data'!D2255</f>
        <v>Seneca Wallace</v>
      </c>
      <c r="E997">
        <v>2019</v>
      </c>
      <c r="F997">
        <f>'[1]Processed Data'!F2255</f>
        <v>19</v>
      </c>
      <c r="G997">
        <f>'[1]Processed Data'!G2255</f>
        <v>28</v>
      </c>
      <c r="H997">
        <f>'[1]Processed Data'!H2255</f>
        <v>67.900000000000006</v>
      </c>
      <c r="I997">
        <f>'[1]Processed Data'!I2255</f>
        <v>2</v>
      </c>
      <c r="J997">
        <f>'[1]Processed Data'!J2255</f>
        <v>1</v>
      </c>
      <c r="K997">
        <f>'[1]Processed Data'!K2255</f>
        <v>3</v>
      </c>
      <c r="L997">
        <f>'[1]Processed Data'!L2255</f>
        <v>4</v>
      </c>
      <c r="M997">
        <f>'[1]Processed Data'!M2255</f>
        <v>17</v>
      </c>
      <c r="N997">
        <f>'[1]Processed Data'!N2255</f>
        <v>0</v>
      </c>
      <c r="O997">
        <f>'[1]Processed Data'!O2255</f>
        <v>1</v>
      </c>
      <c r="P997">
        <f>'[1]Processed Data'!P2255</f>
        <v>0</v>
      </c>
      <c r="Q997">
        <f>'[1]Processed Data'!Q2255</f>
        <v>10</v>
      </c>
    </row>
    <row r="998" spans="2:17" hidden="1">
      <c r="B998">
        <f>'[1]Processed Data'!B2256</f>
        <v>2007</v>
      </c>
      <c r="C998">
        <f>'[1]Processed Data'!C2256</f>
        <v>100</v>
      </c>
      <c r="D998" t="str">
        <f>'[1]Processed Data'!D2256</f>
        <v>Shaun Hill</v>
      </c>
      <c r="E998">
        <v>2019</v>
      </c>
      <c r="F998">
        <f>'[1]Processed Data'!F2256</f>
        <v>54</v>
      </c>
      <c r="G998">
        <f>'[1]Processed Data'!G2256</f>
        <v>79</v>
      </c>
      <c r="H998">
        <f>'[1]Processed Data'!H2256</f>
        <v>68.400000000000006</v>
      </c>
      <c r="I998">
        <f>'[1]Processed Data'!I2256</f>
        <v>5</v>
      </c>
      <c r="J998">
        <f>'[1]Processed Data'!J2256</f>
        <v>1</v>
      </c>
      <c r="K998">
        <f>'[1]Processed Data'!K2256</f>
        <v>6</v>
      </c>
      <c r="L998">
        <f>'[1]Processed Data'!L2256</f>
        <v>12</v>
      </c>
      <c r="M998">
        <f>'[1]Processed Data'!M2256</f>
        <v>14</v>
      </c>
      <c r="N998">
        <f>'[1]Processed Data'!N2256</f>
        <v>1</v>
      </c>
      <c r="O998">
        <f>'[1]Processed Data'!O2256</f>
        <v>0</v>
      </c>
      <c r="P998">
        <f>'[1]Processed Data'!P2256</f>
        <v>0</v>
      </c>
      <c r="Q998">
        <f>'[1]Processed Data'!Q2256</f>
        <v>3</v>
      </c>
    </row>
    <row r="999" spans="2:17" hidden="1">
      <c r="B999">
        <f>'[1]Processed Data'!B2257</f>
        <v>2007</v>
      </c>
      <c r="C999">
        <f>'[1]Processed Data'!C2257</f>
        <v>101</v>
      </c>
      <c r="D999" t="str">
        <f>'[1]Processed Data'!D2257</f>
        <v>Tony Romo</v>
      </c>
      <c r="E999">
        <v>2019</v>
      </c>
      <c r="F999">
        <f>'[1]Processed Data'!F2257</f>
        <v>335</v>
      </c>
      <c r="G999">
        <f>'[1]Processed Data'!G2257</f>
        <v>520</v>
      </c>
      <c r="H999">
        <f>'[1]Processed Data'!H2257</f>
        <v>64.400000000000006</v>
      </c>
      <c r="I999">
        <f>'[1]Processed Data'!I2257</f>
        <v>36</v>
      </c>
      <c r="J999">
        <f>'[1]Processed Data'!J2257</f>
        <v>19</v>
      </c>
      <c r="K999">
        <f>'[1]Processed Data'!K2257</f>
        <v>24</v>
      </c>
      <c r="L999">
        <f>'[1]Processed Data'!L2257</f>
        <v>31</v>
      </c>
      <c r="M999">
        <f>'[1]Processed Data'!M2257</f>
        <v>129</v>
      </c>
      <c r="N999">
        <f>'[1]Processed Data'!N2257</f>
        <v>2</v>
      </c>
      <c r="O999">
        <f>'[1]Processed Data'!O2257</f>
        <v>0</v>
      </c>
      <c r="P999">
        <f>'[1]Processed Data'!P2257</f>
        <v>0</v>
      </c>
      <c r="Q999">
        <f>'[1]Processed Data'!Q2257</f>
        <v>16</v>
      </c>
    </row>
    <row r="1000" spans="2:17" hidden="1">
      <c r="B1000">
        <f>'[1]Processed Data'!B2258</f>
        <v>2007</v>
      </c>
      <c r="C1000">
        <f>'[1]Processed Data'!C2258</f>
        <v>102</v>
      </c>
      <c r="D1000" t="str">
        <f>'[1]Processed Data'!D2258</f>
        <v>Trent Edwards</v>
      </c>
      <c r="E1000">
        <v>2019</v>
      </c>
      <c r="F1000">
        <f>'[1]Processed Data'!F2258</f>
        <v>151</v>
      </c>
      <c r="G1000">
        <f>'[1]Processed Data'!G2258</f>
        <v>269</v>
      </c>
      <c r="H1000">
        <f>'[1]Processed Data'!H2258</f>
        <v>56.1</v>
      </c>
      <c r="I1000">
        <f>'[1]Processed Data'!I2258</f>
        <v>7</v>
      </c>
      <c r="J1000">
        <f>'[1]Processed Data'!J2258</f>
        <v>8</v>
      </c>
      <c r="K1000">
        <f>'[1]Processed Data'!K2258</f>
        <v>12</v>
      </c>
      <c r="L1000">
        <f>'[1]Processed Data'!L2258</f>
        <v>14</v>
      </c>
      <c r="M1000">
        <f>'[1]Processed Data'!M2258</f>
        <v>49</v>
      </c>
      <c r="N1000">
        <f>'[1]Processed Data'!N2258</f>
        <v>0</v>
      </c>
      <c r="O1000">
        <f>'[1]Processed Data'!O2258</f>
        <v>0</v>
      </c>
      <c r="P1000">
        <f>'[1]Processed Data'!P2258</f>
        <v>0</v>
      </c>
      <c r="Q1000">
        <f>'[1]Processed Data'!Q2258</f>
        <v>10</v>
      </c>
    </row>
    <row r="1001" spans="2:17" hidden="1">
      <c r="B1001">
        <f>'[1]Processed Data'!B2259</f>
        <v>2007</v>
      </c>
      <c r="C1001">
        <f>'[1]Processed Data'!C2259</f>
        <v>103</v>
      </c>
      <c r="D1001" t="str">
        <f>'[1]Processed Data'!D2259</f>
        <v>Tyler Thigpen</v>
      </c>
      <c r="E1001">
        <v>2019</v>
      </c>
      <c r="F1001">
        <f>'[1]Processed Data'!F2259</f>
        <v>2</v>
      </c>
      <c r="G1001">
        <f>'[1]Processed Data'!G2259</f>
        <v>6</v>
      </c>
      <c r="H1001">
        <f>'[1]Processed Data'!H2259</f>
        <v>33.299999999999997</v>
      </c>
      <c r="I1001">
        <f>'[1]Processed Data'!I2259</f>
        <v>0</v>
      </c>
      <c r="J1001">
        <f>'[1]Processed Data'!J2259</f>
        <v>1</v>
      </c>
      <c r="K1001">
        <f>'[1]Processed Data'!K2259</f>
        <v>1</v>
      </c>
      <c r="L1001">
        <f>'[1]Processed Data'!L2259</f>
        <v>0</v>
      </c>
      <c r="M1001">
        <f>'[1]Processed Data'!M2259</f>
        <v>0</v>
      </c>
      <c r="N1001">
        <f>'[1]Processed Data'!N2259</f>
        <v>0</v>
      </c>
      <c r="O1001">
        <f>'[1]Processed Data'!O2259</f>
        <v>0</v>
      </c>
      <c r="P1001">
        <f>'[1]Processed Data'!P2259</f>
        <v>0</v>
      </c>
      <c r="Q1001">
        <f>'[1]Processed Data'!Q2259</f>
        <v>1</v>
      </c>
    </row>
    <row r="1002" spans="2:17" hidden="1">
      <c r="B1002">
        <f>'[1]Processed Data'!B2262</f>
        <v>2007</v>
      </c>
      <c r="C1002">
        <f>'[1]Processed Data'!C2262</f>
        <v>106</v>
      </c>
      <c r="D1002" t="str">
        <f>'[1]Processed Data'!D2262</f>
        <v>Kyle Orton</v>
      </c>
      <c r="E1002">
        <v>2019</v>
      </c>
      <c r="F1002">
        <f>'[1]Processed Data'!F2262</f>
        <v>43</v>
      </c>
      <c r="G1002">
        <f>'[1]Processed Data'!G2262</f>
        <v>80</v>
      </c>
      <c r="H1002">
        <f>'[1]Processed Data'!H2262</f>
        <v>53.8</v>
      </c>
      <c r="I1002">
        <f>'[1]Processed Data'!I2262</f>
        <v>3</v>
      </c>
      <c r="J1002">
        <f>'[1]Processed Data'!J2262</f>
        <v>2</v>
      </c>
      <c r="K1002">
        <f>'[1]Processed Data'!K2262</f>
        <v>2</v>
      </c>
      <c r="L1002">
        <f>'[1]Processed Data'!L2262</f>
        <v>5</v>
      </c>
      <c r="M1002">
        <f>'[1]Processed Data'!M2262</f>
        <v>-1</v>
      </c>
      <c r="N1002">
        <f>'[1]Processed Data'!N2262</f>
        <v>0</v>
      </c>
      <c r="O1002">
        <f>'[1]Processed Data'!O2262</f>
        <v>0</v>
      </c>
      <c r="P1002">
        <f>'[1]Processed Data'!P2262</f>
        <v>0</v>
      </c>
      <c r="Q1002">
        <f>'[1]Processed Data'!Q2262</f>
        <v>3</v>
      </c>
    </row>
    <row r="1003" spans="2:17" hidden="1">
      <c r="B1003">
        <f>'[1]Processed Data'!B2263</f>
        <v>2007</v>
      </c>
      <c r="C1003">
        <f>'[1]Processed Data'!C2263</f>
        <v>107</v>
      </c>
      <c r="D1003" t="str">
        <f>'[1]Processed Data'!D2263</f>
        <v>Josh McCown</v>
      </c>
      <c r="E1003">
        <v>2019</v>
      </c>
      <c r="F1003">
        <f>'[1]Processed Data'!F2263</f>
        <v>111</v>
      </c>
      <c r="G1003">
        <f>'[1]Processed Data'!G2263</f>
        <v>190</v>
      </c>
      <c r="H1003">
        <f>'[1]Processed Data'!H2263</f>
        <v>58.4</v>
      </c>
      <c r="I1003">
        <f>'[1]Processed Data'!I2263</f>
        <v>10</v>
      </c>
      <c r="J1003">
        <f>'[1]Processed Data'!J2263</f>
        <v>11</v>
      </c>
      <c r="K1003">
        <f>'[1]Processed Data'!K2263</f>
        <v>14</v>
      </c>
      <c r="L1003">
        <f>'[1]Processed Data'!L2263</f>
        <v>29</v>
      </c>
      <c r="M1003">
        <f>'[1]Processed Data'!M2263</f>
        <v>143</v>
      </c>
      <c r="N1003">
        <f>'[1]Processed Data'!N2263</f>
        <v>0</v>
      </c>
      <c r="O1003">
        <f>'[1]Processed Data'!O2263</f>
        <v>0</v>
      </c>
      <c r="P1003">
        <f>'[1]Processed Data'!P2263</f>
        <v>0</v>
      </c>
      <c r="Q1003">
        <f>'[1]Processed Data'!Q2263</f>
        <v>9</v>
      </c>
    </row>
    <row r="1004" spans="2:17" hidden="1">
      <c r="B1004">
        <f>'[1]Processed Data'!B2265</f>
        <v>2007</v>
      </c>
      <c r="C1004">
        <f>'[1]Processed Data'!C2265</f>
        <v>109</v>
      </c>
      <c r="D1004" t="str">
        <f>'[1]Processed Data'!D2265</f>
        <v>Kellen Clemens</v>
      </c>
      <c r="E1004">
        <v>2019</v>
      </c>
      <c r="F1004">
        <f>'[1]Processed Data'!F2265</f>
        <v>130</v>
      </c>
      <c r="G1004">
        <f>'[1]Processed Data'!G2265</f>
        <v>250</v>
      </c>
      <c r="H1004">
        <f>'[1]Processed Data'!H2265</f>
        <v>52</v>
      </c>
      <c r="I1004">
        <f>'[1]Processed Data'!I2265</f>
        <v>5</v>
      </c>
      <c r="J1004">
        <f>'[1]Processed Data'!J2265</f>
        <v>10</v>
      </c>
      <c r="K1004">
        <f>'[1]Processed Data'!K2265</f>
        <v>27</v>
      </c>
      <c r="L1004">
        <f>'[1]Processed Data'!L2265</f>
        <v>27</v>
      </c>
      <c r="M1004">
        <f>'[1]Processed Data'!M2265</f>
        <v>111</v>
      </c>
      <c r="N1004">
        <f>'[1]Processed Data'!N2265</f>
        <v>1</v>
      </c>
      <c r="O1004">
        <f>'[1]Processed Data'!O2265</f>
        <v>0</v>
      </c>
      <c r="P1004">
        <f>'[1]Processed Data'!P2265</f>
        <v>0</v>
      </c>
      <c r="Q1004">
        <f>'[1]Processed Data'!Q2265</f>
        <v>10</v>
      </c>
    </row>
    <row r="1005" spans="2:17" hidden="1">
      <c r="B1005">
        <f>'[1]Processed Data'!B2266</f>
        <v>2007</v>
      </c>
      <c r="C1005">
        <f>'[1]Processed Data'!C2266</f>
        <v>110</v>
      </c>
      <c r="D1005" t="str">
        <f>'[1]Processed Data'!D2266</f>
        <v>Kevin Kolb</v>
      </c>
      <c r="E1005">
        <v>2019</v>
      </c>
      <c r="F1005">
        <f>'[1]Processed Data'!F2266</f>
        <v>0</v>
      </c>
      <c r="G1005">
        <f>'[1]Processed Data'!G2266</f>
        <v>0</v>
      </c>
      <c r="H1005">
        <f>'[1]Processed Data'!H2266</f>
        <v>0</v>
      </c>
      <c r="I1005">
        <f>'[1]Processed Data'!I2266</f>
        <v>0</v>
      </c>
      <c r="J1005">
        <f>'[1]Processed Data'!J2266</f>
        <v>0</v>
      </c>
      <c r="K1005">
        <f>'[1]Processed Data'!K2266</f>
        <v>2</v>
      </c>
      <c r="L1005">
        <f>'[1]Processed Data'!L2266</f>
        <v>3</v>
      </c>
      <c r="M1005">
        <f>'[1]Processed Data'!M2266</f>
        <v>-2</v>
      </c>
      <c r="N1005">
        <f>'[1]Processed Data'!N2266</f>
        <v>0</v>
      </c>
      <c r="O1005">
        <f>'[1]Processed Data'!O2266</f>
        <v>0</v>
      </c>
      <c r="P1005">
        <f>'[1]Processed Data'!P2266</f>
        <v>0</v>
      </c>
      <c r="Q1005">
        <f>'[1]Processed Data'!Q2266</f>
        <v>1</v>
      </c>
    </row>
    <row r="1006" spans="2:17" hidden="1">
      <c r="B1006">
        <f>'[1]Processed Data'!B2268</f>
        <v>2007</v>
      </c>
      <c r="C1006">
        <f>'[1]Processed Data'!C2268</f>
        <v>112</v>
      </c>
      <c r="D1006" t="str">
        <f>'[1]Processed Data'!D2268</f>
        <v>Matt Cassel</v>
      </c>
      <c r="E1006">
        <v>2019</v>
      </c>
      <c r="F1006">
        <f>'[1]Processed Data'!F2268</f>
        <v>4</v>
      </c>
      <c r="G1006">
        <f>'[1]Processed Data'!G2268</f>
        <v>7</v>
      </c>
      <c r="H1006">
        <f>'[1]Processed Data'!H2268</f>
        <v>57.1</v>
      </c>
      <c r="I1006">
        <f>'[1]Processed Data'!I2268</f>
        <v>0</v>
      </c>
      <c r="J1006">
        <f>'[1]Processed Data'!J2268</f>
        <v>1</v>
      </c>
      <c r="K1006">
        <f>'[1]Processed Data'!K2268</f>
        <v>0</v>
      </c>
      <c r="L1006">
        <f>'[1]Processed Data'!L2268</f>
        <v>4</v>
      </c>
      <c r="M1006">
        <f>'[1]Processed Data'!M2268</f>
        <v>12</v>
      </c>
      <c r="N1006">
        <f>'[1]Processed Data'!N2268</f>
        <v>1</v>
      </c>
      <c r="O1006">
        <f>'[1]Processed Data'!O2268</f>
        <v>0</v>
      </c>
      <c r="P1006">
        <f>'[1]Processed Data'!P2268</f>
        <v>0</v>
      </c>
      <c r="Q1006">
        <f>'[1]Processed Data'!Q2268</f>
        <v>6</v>
      </c>
    </row>
    <row r="1007" spans="2:17" hidden="1">
      <c r="B1007">
        <f>'[1]Processed Data'!B2269</f>
        <v>2007</v>
      </c>
      <c r="C1007">
        <f>'[1]Processed Data'!C2269</f>
        <v>113</v>
      </c>
      <c r="D1007" t="str">
        <f>'[1]Processed Data'!D2269</f>
        <v>Matt Hasselbeck</v>
      </c>
      <c r="E1007">
        <v>2018</v>
      </c>
      <c r="F1007">
        <f>'[1]Processed Data'!F2269</f>
        <v>352</v>
      </c>
      <c r="G1007">
        <f>'[1]Processed Data'!G2269</f>
        <v>562</v>
      </c>
      <c r="H1007">
        <f>'[1]Processed Data'!H2269</f>
        <v>62.6</v>
      </c>
      <c r="I1007">
        <f>'[1]Processed Data'!I2269</f>
        <v>28</v>
      </c>
      <c r="J1007">
        <f>'[1]Processed Data'!J2269</f>
        <v>12</v>
      </c>
      <c r="K1007">
        <f>'[1]Processed Data'!K2269</f>
        <v>33</v>
      </c>
      <c r="L1007">
        <f>'[1]Processed Data'!L2269</f>
        <v>39</v>
      </c>
      <c r="M1007">
        <f>'[1]Processed Data'!M2269</f>
        <v>89</v>
      </c>
      <c r="N1007">
        <f>'[1]Processed Data'!N2269</f>
        <v>0</v>
      </c>
      <c r="O1007">
        <f>'[1]Processed Data'!O2269</f>
        <v>1</v>
      </c>
      <c r="P1007">
        <f>'[1]Processed Data'!P2269</f>
        <v>0</v>
      </c>
      <c r="Q1007">
        <f>'[1]Processed Data'!Q2269</f>
        <v>16</v>
      </c>
    </row>
    <row r="1008" spans="2:17" hidden="1">
      <c r="B1008">
        <f>'[1]Processed Data'!B2306</f>
        <v>2006</v>
      </c>
      <c r="C1008">
        <f>'[1]Processed Data'!C2306</f>
        <v>1</v>
      </c>
      <c r="D1008" t="str">
        <f>'[1]Processed Data'!D2306</f>
        <v>Drew Brees</v>
      </c>
      <c r="E1008">
        <v>2018</v>
      </c>
      <c r="F1008">
        <f>'[1]Processed Data'!F2306</f>
        <v>356</v>
      </c>
      <c r="G1008">
        <f>'[1]Processed Data'!G2306</f>
        <v>554</v>
      </c>
      <c r="H1008">
        <f>'[1]Processed Data'!H2306</f>
        <v>64.3</v>
      </c>
      <c r="I1008">
        <f>'[1]Processed Data'!I2306</f>
        <v>26</v>
      </c>
      <c r="J1008">
        <f>'[1]Processed Data'!J2306</f>
        <v>11</v>
      </c>
      <c r="K1008">
        <f>'[1]Processed Data'!K2306</f>
        <v>18</v>
      </c>
      <c r="L1008">
        <f>'[1]Processed Data'!L2306</f>
        <v>42</v>
      </c>
      <c r="M1008">
        <f>'[1]Processed Data'!M2306</f>
        <v>32</v>
      </c>
      <c r="N1008">
        <f>'[1]Processed Data'!N2306</f>
        <v>0</v>
      </c>
      <c r="O1008">
        <f>'[1]Processed Data'!O2306</f>
        <v>0</v>
      </c>
      <c r="P1008">
        <f>'[1]Processed Data'!P2306</f>
        <v>261.89999999999998</v>
      </c>
      <c r="Q1008">
        <f>'[1]Processed Data'!Q2306</f>
        <v>16</v>
      </c>
    </row>
    <row r="1009" spans="2:17" hidden="1">
      <c r="B1009">
        <f>'[1]Processed Data'!B2307</f>
        <v>2006</v>
      </c>
      <c r="C1009">
        <f>'[1]Processed Data'!C2307</f>
        <v>2</v>
      </c>
      <c r="D1009" t="str">
        <f>'[1]Processed Data'!D2307</f>
        <v>Tom Brady</v>
      </c>
      <c r="E1009">
        <v>2018</v>
      </c>
      <c r="F1009">
        <f>'[1]Processed Data'!F2307</f>
        <v>319</v>
      </c>
      <c r="G1009">
        <f>'[1]Processed Data'!G2307</f>
        <v>516</v>
      </c>
      <c r="H1009">
        <f>'[1]Processed Data'!H2307</f>
        <v>61.8</v>
      </c>
      <c r="I1009">
        <f>'[1]Processed Data'!I2307</f>
        <v>24</v>
      </c>
      <c r="J1009">
        <f>'[1]Processed Data'!J2307</f>
        <v>12</v>
      </c>
      <c r="K1009">
        <f>'[1]Processed Data'!K2307</f>
        <v>26</v>
      </c>
      <c r="L1009">
        <f>'[1]Processed Data'!L2307</f>
        <v>49</v>
      </c>
      <c r="M1009">
        <f>'[1]Processed Data'!M2307</f>
        <v>102</v>
      </c>
      <c r="N1009">
        <f>'[1]Processed Data'!N2307</f>
        <v>0</v>
      </c>
      <c r="O1009">
        <f>'[1]Processed Data'!O2307</f>
        <v>0</v>
      </c>
      <c r="P1009">
        <f>'[1]Processed Data'!P2307</f>
        <v>223.4</v>
      </c>
      <c r="Q1009">
        <f>'[1]Processed Data'!Q2307</f>
        <v>16</v>
      </c>
    </row>
    <row r="1010" spans="2:17" hidden="1">
      <c r="B1010">
        <f>'[1]Processed Data'!B2308</f>
        <v>2006</v>
      </c>
      <c r="C1010">
        <f>'[1]Processed Data'!C2308</f>
        <v>3</v>
      </c>
      <c r="D1010" t="str">
        <f>'[1]Processed Data'!D2308</f>
        <v>Ben Roethlisberger</v>
      </c>
      <c r="E1010">
        <v>2018</v>
      </c>
      <c r="F1010">
        <f>'[1]Processed Data'!F2308</f>
        <v>280</v>
      </c>
      <c r="G1010">
        <f>'[1]Processed Data'!G2308</f>
        <v>469</v>
      </c>
      <c r="H1010">
        <f>'[1]Processed Data'!H2308</f>
        <v>59.7</v>
      </c>
      <c r="I1010">
        <f>'[1]Processed Data'!I2308</f>
        <v>18</v>
      </c>
      <c r="J1010">
        <f>'[1]Processed Data'!J2308</f>
        <v>23</v>
      </c>
      <c r="K1010">
        <f>'[1]Processed Data'!K2308</f>
        <v>46</v>
      </c>
      <c r="L1010">
        <f>'[1]Processed Data'!L2308</f>
        <v>32</v>
      </c>
      <c r="M1010">
        <f>'[1]Processed Data'!M2308</f>
        <v>98</v>
      </c>
      <c r="N1010">
        <f>'[1]Processed Data'!N2308</f>
        <v>2</v>
      </c>
      <c r="O1010">
        <f>'[1]Processed Data'!O2308</f>
        <v>0</v>
      </c>
      <c r="P1010">
        <f>'[1]Processed Data'!P2308</f>
        <v>188.2</v>
      </c>
      <c r="Q1010">
        <f>'[1]Processed Data'!Q2308</f>
        <v>15</v>
      </c>
    </row>
    <row r="1011" spans="2:17" hidden="1">
      <c r="B1011">
        <f>'[1]Processed Data'!B2309</f>
        <v>2006</v>
      </c>
      <c r="C1011">
        <f>'[1]Processed Data'!C2309</f>
        <v>4</v>
      </c>
      <c r="D1011" t="str">
        <f>'[1]Processed Data'!D2309</f>
        <v>Alex Smith</v>
      </c>
      <c r="E1011">
        <v>2018</v>
      </c>
      <c r="F1011">
        <f>'[1]Processed Data'!F2309</f>
        <v>257</v>
      </c>
      <c r="G1011">
        <f>'[1]Processed Data'!G2309</f>
        <v>442</v>
      </c>
      <c r="H1011">
        <f>'[1]Processed Data'!H2309</f>
        <v>58.1</v>
      </c>
      <c r="I1011">
        <f>'[1]Processed Data'!I2309</f>
        <v>16</v>
      </c>
      <c r="J1011">
        <f>'[1]Processed Data'!J2309</f>
        <v>16</v>
      </c>
      <c r="K1011">
        <f>'[1]Processed Data'!K2309</f>
        <v>35</v>
      </c>
      <c r="L1011">
        <f>'[1]Processed Data'!L2309</f>
        <v>44</v>
      </c>
      <c r="M1011">
        <f>'[1]Processed Data'!M2309</f>
        <v>147</v>
      </c>
      <c r="N1011">
        <f>'[1]Processed Data'!N2309</f>
        <v>2</v>
      </c>
      <c r="O1011">
        <f>'[1]Processed Data'!O2309</f>
        <v>0</v>
      </c>
      <c r="P1011">
        <f>'[1]Processed Data'!P2309</f>
        <v>174.2</v>
      </c>
      <c r="Q1011">
        <f>'[1]Processed Data'!Q2309</f>
        <v>16</v>
      </c>
    </row>
    <row r="1012" spans="2:17" hidden="1">
      <c r="B1012">
        <f>'[1]Processed Data'!B2310</f>
        <v>2006</v>
      </c>
      <c r="C1012">
        <f>'[1]Processed Data'!C2310</f>
        <v>5</v>
      </c>
      <c r="D1012" t="str">
        <f>'[1]Processed Data'!D2310</f>
        <v>Matt Schaub</v>
      </c>
      <c r="E1012">
        <v>2018</v>
      </c>
      <c r="F1012">
        <f>'[1]Processed Data'!F2310</f>
        <v>18</v>
      </c>
      <c r="G1012">
        <f>'[1]Processed Data'!G2310</f>
        <v>27</v>
      </c>
      <c r="H1012">
        <f>'[1]Processed Data'!H2310</f>
        <v>66.7</v>
      </c>
      <c r="I1012">
        <f>'[1]Processed Data'!I2310</f>
        <v>1</v>
      </c>
      <c r="J1012">
        <f>'[1]Processed Data'!J2310</f>
        <v>2</v>
      </c>
      <c r="K1012">
        <f>'[1]Processed Data'!K2310</f>
        <v>2</v>
      </c>
      <c r="L1012">
        <f>'[1]Processed Data'!L2310</f>
        <v>7</v>
      </c>
      <c r="M1012">
        <f>'[1]Processed Data'!M2310</f>
        <v>21</v>
      </c>
      <c r="N1012">
        <f>'[1]Processed Data'!N2310</f>
        <v>0</v>
      </c>
      <c r="O1012">
        <f>'[1]Processed Data'!O2310</f>
        <v>0</v>
      </c>
      <c r="P1012">
        <f>'[1]Processed Data'!P2310</f>
        <v>10.4</v>
      </c>
      <c r="Q1012">
        <f>'[1]Processed Data'!Q2310</f>
        <v>15</v>
      </c>
    </row>
    <row r="1013" spans="2:17" hidden="1">
      <c r="B1013">
        <f>'[1]Processed Data'!B2311</f>
        <v>2006</v>
      </c>
      <c r="C1013">
        <f>'[1]Processed Data'!C2311</f>
        <v>6</v>
      </c>
      <c r="D1013" t="str">
        <f>'[1]Processed Data'!D2311</f>
        <v>Aaron Rodgers</v>
      </c>
      <c r="E1013">
        <v>2018</v>
      </c>
      <c r="F1013">
        <f>'[1]Processed Data'!F2311</f>
        <v>6</v>
      </c>
      <c r="G1013">
        <f>'[1]Processed Data'!G2311</f>
        <v>15</v>
      </c>
      <c r="H1013">
        <f>'[1]Processed Data'!H2311</f>
        <v>40</v>
      </c>
      <c r="I1013">
        <f>'[1]Processed Data'!I2311</f>
        <v>0</v>
      </c>
      <c r="J1013">
        <f>'[1]Processed Data'!J2311</f>
        <v>0</v>
      </c>
      <c r="K1013">
        <f>'[1]Processed Data'!K2311</f>
        <v>3</v>
      </c>
      <c r="L1013">
        <f>'[1]Processed Data'!L2311</f>
        <v>2</v>
      </c>
      <c r="M1013">
        <f>'[1]Processed Data'!M2311</f>
        <v>11</v>
      </c>
      <c r="N1013">
        <f>'[1]Processed Data'!N2311</f>
        <v>0</v>
      </c>
      <c r="O1013">
        <f>'[1]Processed Data'!O2311</f>
        <v>0</v>
      </c>
      <c r="P1013">
        <f>'[1]Processed Data'!P2311</f>
        <v>3</v>
      </c>
      <c r="Q1013">
        <f>'[1]Processed Data'!Q2311</f>
        <v>2</v>
      </c>
    </row>
    <row r="1014" spans="2:17" hidden="1">
      <c r="B1014">
        <f>'[1]Processed Data'!B2312</f>
        <v>2006</v>
      </c>
      <c r="C1014">
        <f>'[1]Processed Data'!C2312</f>
        <v>7</v>
      </c>
      <c r="D1014" t="str">
        <f>'[1]Processed Data'!D2312</f>
        <v>Josh McCown</v>
      </c>
      <c r="E1014">
        <v>2018</v>
      </c>
      <c r="F1014">
        <f>'[1]Processed Data'!F2312</f>
        <v>0</v>
      </c>
      <c r="G1014">
        <f>'[1]Processed Data'!G2312</f>
        <v>0</v>
      </c>
      <c r="H1014">
        <f>'[1]Processed Data'!H2312</f>
        <v>0</v>
      </c>
      <c r="I1014">
        <f>'[1]Processed Data'!I2312</f>
        <v>0</v>
      </c>
      <c r="J1014">
        <f>'[1]Processed Data'!J2312</f>
        <v>0</v>
      </c>
      <c r="K1014">
        <f>'[1]Processed Data'!K2312</f>
        <v>0</v>
      </c>
      <c r="L1014">
        <f>'[1]Processed Data'!L2312</f>
        <v>0</v>
      </c>
      <c r="M1014">
        <f>'[1]Processed Data'!M2312</f>
        <v>0</v>
      </c>
      <c r="N1014">
        <f>'[1]Processed Data'!N2312</f>
        <v>0</v>
      </c>
      <c r="O1014">
        <f>'[1]Processed Data'!O2312</f>
        <v>0</v>
      </c>
      <c r="P1014">
        <f>'[1]Processed Data'!P2312</f>
        <v>2.5</v>
      </c>
      <c r="Q1014">
        <f>'[1]Processed Data'!Q2312</f>
        <v>2</v>
      </c>
    </row>
    <row r="1015" spans="2:17" hidden="1">
      <c r="B1015">
        <f>'[1]Processed Data'!B2372</f>
        <v>2006</v>
      </c>
      <c r="C1015">
        <f>'[1]Processed Data'!C2372</f>
        <v>67</v>
      </c>
      <c r="D1015" t="str">
        <f>'[1]Processed Data'!D2372</f>
        <v>Charlie Whitehurst</v>
      </c>
      <c r="E1015">
        <v>2018</v>
      </c>
      <c r="F1015">
        <f>'[1]Processed Data'!F2372</f>
        <v>0</v>
      </c>
      <c r="G1015">
        <f>'[1]Processed Data'!G2372</f>
        <v>0</v>
      </c>
      <c r="H1015">
        <f>'[1]Processed Data'!H2372</f>
        <v>0</v>
      </c>
      <c r="I1015">
        <f>'[1]Processed Data'!I2372</f>
        <v>0</v>
      </c>
      <c r="J1015">
        <f>'[1]Processed Data'!J2372</f>
        <v>0</v>
      </c>
      <c r="K1015">
        <f>'[1]Processed Data'!K2372</f>
        <v>0</v>
      </c>
      <c r="L1015">
        <f>'[1]Processed Data'!L2372</f>
        <v>2</v>
      </c>
      <c r="M1015">
        <f>'[1]Processed Data'!M2372</f>
        <v>13</v>
      </c>
      <c r="N1015">
        <f>'[1]Processed Data'!N2372</f>
        <v>1</v>
      </c>
      <c r="O1015">
        <f>'[1]Processed Data'!O2372</f>
        <v>0</v>
      </c>
      <c r="P1015">
        <f>'[1]Processed Data'!P2372</f>
        <v>0</v>
      </c>
      <c r="Q1015">
        <f>'[1]Processed Data'!Q2372</f>
        <v>2</v>
      </c>
    </row>
    <row r="1016" spans="2:17" hidden="1">
      <c r="B1016">
        <f>'[1]Processed Data'!B2385</f>
        <v>2006</v>
      </c>
      <c r="C1016">
        <f>'[1]Processed Data'!C2385</f>
        <v>80</v>
      </c>
      <c r="D1016" t="str">
        <f>'[1]Processed Data'!D2385</f>
        <v>David Carr</v>
      </c>
      <c r="E1016">
        <v>2018</v>
      </c>
      <c r="F1016">
        <f>'[1]Processed Data'!F2385</f>
        <v>302</v>
      </c>
      <c r="G1016">
        <f>'[1]Processed Data'!G2385</f>
        <v>442</v>
      </c>
      <c r="H1016">
        <f>'[1]Processed Data'!H2385</f>
        <v>68.3</v>
      </c>
      <c r="I1016">
        <f>'[1]Processed Data'!I2385</f>
        <v>11</v>
      </c>
      <c r="J1016">
        <f>'[1]Processed Data'!J2385</f>
        <v>12</v>
      </c>
      <c r="K1016">
        <f>'[1]Processed Data'!K2385</f>
        <v>41</v>
      </c>
      <c r="L1016">
        <f>'[1]Processed Data'!L2385</f>
        <v>53</v>
      </c>
      <c r="M1016">
        <f>'[1]Processed Data'!M2385</f>
        <v>195</v>
      </c>
      <c r="N1016">
        <f>'[1]Processed Data'!N2385</f>
        <v>2</v>
      </c>
      <c r="O1016">
        <f>'[1]Processed Data'!O2385</f>
        <v>0</v>
      </c>
      <c r="P1016">
        <f>'[1]Processed Data'!P2385</f>
        <v>0</v>
      </c>
      <c r="Q1016">
        <f>'[1]Processed Data'!Q2385</f>
        <v>16</v>
      </c>
    </row>
    <row r="1017" spans="2:17" hidden="1">
      <c r="B1017">
        <f>'[1]Processed Data'!B2386</f>
        <v>2006</v>
      </c>
      <c r="C1017">
        <f>'[1]Processed Data'!C2386</f>
        <v>81</v>
      </c>
      <c r="D1017" t="str">
        <f>'[1]Processed Data'!D2386</f>
        <v>Derek Anderson</v>
      </c>
      <c r="E1017">
        <v>2018</v>
      </c>
      <c r="F1017">
        <f>'[1]Processed Data'!F2386</f>
        <v>66</v>
      </c>
      <c r="G1017">
        <f>'[1]Processed Data'!G2386</f>
        <v>117</v>
      </c>
      <c r="H1017">
        <f>'[1]Processed Data'!H2386</f>
        <v>56.4</v>
      </c>
      <c r="I1017">
        <f>'[1]Processed Data'!I2386</f>
        <v>5</v>
      </c>
      <c r="J1017">
        <f>'[1]Processed Data'!J2386</f>
        <v>8</v>
      </c>
      <c r="K1017">
        <f>'[1]Processed Data'!K2386</f>
        <v>8</v>
      </c>
      <c r="L1017">
        <f>'[1]Processed Data'!L2386</f>
        <v>4</v>
      </c>
      <c r="M1017">
        <f>'[1]Processed Data'!M2386</f>
        <v>47</v>
      </c>
      <c r="N1017">
        <f>'[1]Processed Data'!N2386</f>
        <v>0</v>
      </c>
      <c r="O1017">
        <f>'[1]Processed Data'!O2386</f>
        <v>0</v>
      </c>
      <c r="P1017">
        <f>'[1]Processed Data'!P2386</f>
        <v>0</v>
      </c>
      <c r="Q1017">
        <f>'[1]Processed Data'!Q2386</f>
        <v>5</v>
      </c>
    </row>
    <row r="1018" spans="2:17" hidden="1">
      <c r="B1018">
        <f>'[1]Processed Data'!B2387</f>
        <v>2006</v>
      </c>
      <c r="C1018">
        <f>'[1]Processed Data'!C2387</f>
        <v>82</v>
      </c>
      <c r="D1018" t="str">
        <f>'[1]Processed Data'!D2387</f>
        <v>Eli Manning</v>
      </c>
      <c r="E1018">
        <v>2018</v>
      </c>
      <c r="F1018">
        <f>'[1]Processed Data'!F2387</f>
        <v>301</v>
      </c>
      <c r="G1018">
        <f>'[1]Processed Data'!G2387</f>
        <v>522</v>
      </c>
      <c r="H1018">
        <f>'[1]Processed Data'!H2387</f>
        <v>57.7</v>
      </c>
      <c r="I1018">
        <f>'[1]Processed Data'!I2387</f>
        <v>24</v>
      </c>
      <c r="J1018">
        <f>'[1]Processed Data'!J2387</f>
        <v>18</v>
      </c>
      <c r="K1018">
        <f>'[1]Processed Data'!K2387</f>
        <v>25</v>
      </c>
      <c r="L1018">
        <f>'[1]Processed Data'!L2387</f>
        <v>25</v>
      </c>
      <c r="M1018">
        <f>'[1]Processed Data'!M2387</f>
        <v>21</v>
      </c>
      <c r="N1018">
        <f>'[1]Processed Data'!N2387</f>
        <v>0</v>
      </c>
      <c r="O1018">
        <f>'[1]Processed Data'!O2387</f>
        <v>0</v>
      </c>
      <c r="P1018">
        <f>'[1]Processed Data'!P2387</f>
        <v>0</v>
      </c>
      <c r="Q1018">
        <f>'[1]Processed Data'!Q2387</f>
        <v>16</v>
      </c>
    </row>
    <row r="1019" spans="2:17" hidden="1">
      <c r="B1019">
        <f>'[1]Processed Data'!B2388</f>
        <v>2006</v>
      </c>
      <c r="C1019">
        <f>'[1]Processed Data'!C2388</f>
        <v>83</v>
      </c>
      <c r="D1019" t="str">
        <f>'[1]Processed Data'!D2388</f>
        <v>Jason Campbell</v>
      </c>
      <c r="E1019">
        <v>2018</v>
      </c>
      <c r="F1019">
        <f>'[1]Processed Data'!F2388</f>
        <v>110</v>
      </c>
      <c r="G1019">
        <f>'[1]Processed Data'!G2388</f>
        <v>207</v>
      </c>
      <c r="H1019">
        <f>'[1]Processed Data'!H2388</f>
        <v>53.1</v>
      </c>
      <c r="I1019">
        <f>'[1]Processed Data'!I2388</f>
        <v>10</v>
      </c>
      <c r="J1019">
        <f>'[1]Processed Data'!J2388</f>
        <v>6</v>
      </c>
      <c r="K1019">
        <f>'[1]Processed Data'!K2388</f>
        <v>7</v>
      </c>
      <c r="L1019">
        <f>'[1]Processed Data'!L2388</f>
        <v>24</v>
      </c>
      <c r="M1019">
        <f>'[1]Processed Data'!M2388</f>
        <v>107</v>
      </c>
      <c r="N1019">
        <f>'[1]Processed Data'!N2388</f>
        <v>0</v>
      </c>
      <c r="O1019">
        <f>'[1]Processed Data'!O2388</f>
        <v>0</v>
      </c>
      <c r="P1019">
        <f>'[1]Processed Data'!P2388</f>
        <v>0</v>
      </c>
      <c r="Q1019">
        <f>'[1]Processed Data'!Q2388</f>
        <v>7</v>
      </c>
    </row>
    <row r="1020" spans="2:17" hidden="1">
      <c r="B1020">
        <f>'[1]Processed Data'!B2389</f>
        <v>2006</v>
      </c>
      <c r="C1020">
        <f>'[1]Processed Data'!C2389</f>
        <v>84</v>
      </c>
      <c r="D1020" t="str">
        <f>'[1]Processed Data'!D2389</f>
        <v>Jay Cutler</v>
      </c>
      <c r="E1020">
        <v>2018</v>
      </c>
      <c r="F1020">
        <f>'[1]Processed Data'!F2389</f>
        <v>81</v>
      </c>
      <c r="G1020">
        <f>'[1]Processed Data'!G2389</f>
        <v>137</v>
      </c>
      <c r="H1020">
        <f>'[1]Processed Data'!H2389</f>
        <v>59.1</v>
      </c>
      <c r="I1020">
        <f>'[1]Processed Data'!I2389</f>
        <v>9</v>
      </c>
      <c r="J1020">
        <f>'[1]Processed Data'!J2389</f>
        <v>5</v>
      </c>
      <c r="K1020">
        <f>'[1]Processed Data'!K2389</f>
        <v>13</v>
      </c>
      <c r="L1020">
        <f>'[1]Processed Data'!L2389</f>
        <v>12</v>
      </c>
      <c r="M1020">
        <f>'[1]Processed Data'!M2389</f>
        <v>18</v>
      </c>
      <c r="N1020">
        <f>'[1]Processed Data'!N2389</f>
        <v>0</v>
      </c>
      <c r="O1020">
        <f>'[1]Processed Data'!O2389</f>
        <v>0</v>
      </c>
      <c r="P1020">
        <f>'[1]Processed Data'!P2389</f>
        <v>0</v>
      </c>
      <c r="Q1020">
        <f>'[1]Processed Data'!Q2389</f>
        <v>5</v>
      </c>
    </row>
    <row r="1021" spans="2:17" hidden="1">
      <c r="B1021">
        <f>'[1]Processed Data'!B2395</f>
        <v>2006</v>
      </c>
      <c r="C1021">
        <f>'[1]Processed Data'!C2395</f>
        <v>90</v>
      </c>
      <c r="D1021" t="str">
        <f>'[1]Processed Data'!D2395</f>
        <v>Bruce Gradkowski</v>
      </c>
      <c r="E1021">
        <v>2018</v>
      </c>
      <c r="F1021">
        <f>'[1]Processed Data'!F2395</f>
        <v>177</v>
      </c>
      <c r="G1021">
        <f>'[1]Processed Data'!G2395</f>
        <v>328</v>
      </c>
      <c r="H1021">
        <f>'[1]Processed Data'!H2395</f>
        <v>54</v>
      </c>
      <c r="I1021">
        <f>'[1]Processed Data'!I2395</f>
        <v>9</v>
      </c>
      <c r="J1021">
        <f>'[1]Processed Data'!J2395</f>
        <v>9</v>
      </c>
      <c r="K1021">
        <f>'[1]Processed Data'!K2395</f>
        <v>25</v>
      </c>
      <c r="L1021">
        <f>'[1]Processed Data'!L2395</f>
        <v>41</v>
      </c>
      <c r="M1021">
        <f>'[1]Processed Data'!M2395</f>
        <v>161</v>
      </c>
      <c r="N1021">
        <f>'[1]Processed Data'!N2395</f>
        <v>0</v>
      </c>
      <c r="O1021">
        <f>'[1]Processed Data'!O2395</f>
        <v>0</v>
      </c>
      <c r="P1021">
        <f>'[1]Processed Data'!P2395</f>
        <v>0</v>
      </c>
      <c r="Q1021">
        <f>'[1]Processed Data'!Q2395</f>
        <v>13</v>
      </c>
    </row>
    <row r="1022" spans="2:17" hidden="1">
      <c r="B1022">
        <f>'[1]Processed Data'!B2396</f>
        <v>2006</v>
      </c>
      <c r="C1022">
        <f>'[1]Processed Data'!C2396</f>
        <v>91</v>
      </c>
      <c r="D1022" t="str">
        <f>'[1]Processed Data'!D2396</f>
        <v>Carson Palmer</v>
      </c>
      <c r="E1022">
        <v>2018</v>
      </c>
      <c r="F1022">
        <f>'[1]Processed Data'!F2396</f>
        <v>324</v>
      </c>
      <c r="G1022">
        <f>'[1]Processed Data'!G2396</f>
        <v>520</v>
      </c>
      <c r="H1022">
        <f>'[1]Processed Data'!H2396</f>
        <v>62.3</v>
      </c>
      <c r="I1022">
        <f>'[1]Processed Data'!I2396</f>
        <v>28</v>
      </c>
      <c r="J1022">
        <f>'[1]Processed Data'!J2396</f>
        <v>13</v>
      </c>
      <c r="K1022">
        <f>'[1]Processed Data'!K2396</f>
        <v>36</v>
      </c>
      <c r="L1022">
        <f>'[1]Processed Data'!L2396</f>
        <v>26</v>
      </c>
      <c r="M1022">
        <f>'[1]Processed Data'!M2396</f>
        <v>37</v>
      </c>
      <c r="N1022">
        <f>'[1]Processed Data'!N2396</f>
        <v>0</v>
      </c>
      <c r="O1022">
        <f>'[1]Processed Data'!O2396</f>
        <v>0</v>
      </c>
      <c r="P1022">
        <f>'[1]Processed Data'!P2396</f>
        <v>0</v>
      </c>
      <c r="Q1022">
        <f>'[1]Processed Data'!Q2396</f>
        <v>16</v>
      </c>
    </row>
    <row r="1023" spans="2:17" hidden="1">
      <c r="B1023">
        <f>'[1]Processed Data'!B2398</f>
        <v>2006</v>
      </c>
      <c r="C1023">
        <f>'[1]Processed Data'!C2398</f>
        <v>93</v>
      </c>
      <c r="D1023" t="str">
        <f>'[1]Processed Data'!D2398</f>
        <v>Peyton Manning</v>
      </c>
      <c r="E1023">
        <v>2018</v>
      </c>
      <c r="F1023">
        <f>'[1]Processed Data'!F2398</f>
        <v>362</v>
      </c>
      <c r="G1023">
        <f>'[1]Processed Data'!G2398</f>
        <v>557</v>
      </c>
      <c r="H1023">
        <f>'[1]Processed Data'!H2398</f>
        <v>65</v>
      </c>
      <c r="I1023">
        <f>'[1]Processed Data'!I2398</f>
        <v>31</v>
      </c>
      <c r="J1023">
        <f>'[1]Processed Data'!J2398</f>
        <v>9</v>
      </c>
      <c r="K1023">
        <f>'[1]Processed Data'!K2398</f>
        <v>14</v>
      </c>
      <c r="L1023">
        <f>'[1]Processed Data'!L2398</f>
        <v>23</v>
      </c>
      <c r="M1023">
        <f>'[1]Processed Data'!M2398</f>
        <v>36</v>
      </c>
      <c r="N1023">
        <f>'[1]Processed Data'!N2398</f>
        <v>4</v>
      </c>
      <c r="O1023">
        <f>'[1]Processed Data'!O2398</f>
        <v>0</v>
      </c>
      <c r="P1023">
        <f>'[1]Processed Data'!P2398</f>
        <v>0</v>
      </c>
      <c r="Q1023">
        <f>'[1]Processed Data'!Q2398</f>
        <v>16</v>
      </c>
    </row>
    <row r="1024" spans="2:17" hidden="1">
      <c r="B1024">
        <f>'[1]Processed Data'!B2399</f>
        <v>2006</v>
      </c>
      <c r="C1024">
        <f>'[1]Processed Data'!C2399</f>
        <v>94</v>
      </c>
      <c r="D1024" t="str">
        <f>'[1]Processed Data'!D2399</f>
        <v>Philip Rivers</v>
      </c>
      <c r="E1024">
        <v>2018</v>
      </c>
      <c r="F1024">
        <f>'[1]Processed Data'!F2399</f>
        <v>284</v>
      </c>
      <c r="G1024">
        <f>'[1]Processed Data'!G2399</f>
        <v>460</v>
      </c>
      <c r="H1024">
        <f>'[1]Processed Data'!H2399</f>
        <v>61.7</v>
      </c>
      <c r="I1024">
        <f>'[1]Processed Data'!I2399</f>
        <v>22</v>
      </c>
      <c r="J1024">
        <f>'[1]Processed Data'!J2399</f>
        <v>9</v>
      </c>
      <c r="K1024">
        <f>'[1]Processed Data'!K2399</f>
        <v>27</v>
      </c>
      <c r="L1024">
        <f>'[1]Processed Data'!L2399</f>
        <v>48</v>
      </c>
      <c r="M1024">
        <f>'[1]Processed Data'!M2399</f>
        <v>49</v>
      </c>
      <c r="N1024">
        <f>'[1]Processed Data'!N2399</f>
        <v>0</v>
      </c>
      <c r="O1024">
        <f>'[1]Processed Data'!O2399</f>
        <v>0</v>
      </c>
      <c r="P1024">
        <f>'[1]Processed Data'!P2399</f>
        <v>0</v>
      </c>
      <c r="Q1024">
        <f>'[1]Processed Data'!Q2399</f>
        <v>16</v>
      </c>
    </row>
    <row r="1025" spans="2:17" hidden="1">
      <c r="B1025">
        <f>'[1]Processed Data'!B2400</f>
        <v>2006</v>
      </c>
      <c r="C1025">
        <f>'[1]Processed Data'!C2400</f>
        <v>95</v>
      </c>
      <c r="D1025" t="str">
        <f>'[1]Processed Data'!D2400</f>
        <v>Rex Grossman</v>
      </c>
      <c r="E1025">
        <v>2018</v>
      </c>
      <c r="F1025">
        <f>'[1]Processed Data'!F2400</f>
        <v>262</v>
      </c>
      <c r="G1025">
        <f>'[1]Processed Data'!G2400</f>
        <v>480</v>
      </c>
      <c r="H1025">
        <f>'[1]Processed Data'!H2400</f>
        <v>54.6</v>
      </c>
      <c r="I1025">
        <f>'[1]Processed Data'!I2400</f>
        <v>23</v>
      </c>
      <c r="J1025">
        <f>'[1]Processed Data'!J2400</f>
        <v>20</v>
      </c>
      <c r="K1025">
        <f>'[1]Processed Data'!K2400</f>
        <v>21</v>
      </c>
      <c r="L1025">
        <f>'[1]Processed Data'!L2400</f>
        <v>24</v>
      </c>
      <c r="M1025">
        <f>'[1]Processed Data'!M2400</f>
        <v>2</v>
      </c>
      <c r="N1025">
        <f>'[1]Processed Data'!N2400</f>
        <v>0</v>
      </c>
      <c r="O1025">
        <f>'[1]Processed Data'!O2400</f>
        <v>0</v>
      </c>
      <c r="P1025">
        <f>'[1]Processed Data'!P2400</f>
        <v>0</v>
      </c>
      <c r="Q1025">
        <f>'[1]Processed Data'!Q2400</f>
        <v>16</v>
      </c>
    </row>
    <row r="1026" spans="2:17" hidden="1">
      <c r="B1026">
        <f>'[1]Processed Data'!B2401</f>
        <v>2006</v>
      </c>
      <c r="C1026">
        <f>'[1]Processed Data'!C2401</f>
        <v>96</v>
      </c>
      <c r="D1026" t="str">
        <f>'[1]Processed Data'!D2401</f>
        <v>Ryan Fitzpatrick</v>
      </c>
      <c r="E1026">
        <v>2018</v>
      </c>
      <c r="F1026">
        <f>'[1]Processed Data'!F2401</f>
        <v>0</v>
      </c>
      <c r="G1026">
        <f>'[1]Processed Data'!G2401</f>
        <v>0</v>
      </c>
      <c r="H1026">
        <f>'[1]Processed Data'!H2401</f>
        <v>0</v>
      </c>
      <c r="I1026">
        <f>'[1]Processed Data'!I2401</f>
        <v>0</v>
      </c>
      <c r="J1026">
        <f>'[1]Processed Data'!J2401</f>
        <v>0</v>
      </c>
      <c r="K1026">
        <f>'[1]Processed Data'!K2401</f>
        <v>0</v>
      </c>
      <c r="L1026">
        <f>'[1]Processed Data'!L2401</f>
        <v>3</v>
      </c>
      <c r="M1026">
        <f>'[1]Processed Data'!M2401</f>
        <v>0</v>
      </c>
      <c r="N1026">
        <f>'[1]Processed Data'!N2401</f>
        <v>0</v>
      </c>
      <c r="O1026">
        <f>'[1]Processed Data'!O2401</f>
        <v>0</v>
      </c>
      <c r="P1026">
        <f>'[1]Processed Data'!P2401</f>
        <v>0</v>
      </c>
      <c r="Q1026">
        <f>'[1]Processed Data'!Q2401</f>
        <v>1</v>
      </c>
    </row>
    <row r="1027" spans="2:17" hidden="1">
      <c r="B1027">
        <f>'[1]Processed Data'!B2402</f>
        <v>2006</v>
      </c>
      <c r="C1027">
        <f>'[1]Processed Data'!C2402</f>
        <v>97</v>
      </c>
      <c r="D1027" t="str">
        <f>'[1]Processed Data'!D2402</f>
        <v>Seneca Wallace</v>
      </c>
      <c r="E1027">
        <v>2018</v>
      </c>
      <c r="F1027">
        <f>'[1]Processed Data'!F2402</f>
        <v>82</v>
      </c>
      <c r="G1027">
        <f>'[1]Processed Data'!G2402</f>
        <v>141</v>
      </c>
      <c r="H1027">
        <f>'[1]Processed Data'!H2402</f>
        <v>58.2</v>
      </c>
      <c r="I1027">
        <f>'[1]Processed Data'!I2402</f>
        <v>8</v>
      </c>
      <c r="J1027">
        <f>'[1]Processed Data'!J2402</f>
        <v>7</v>
      </c>
      <c r="K1027">
        <f>'[1]Processed Data'!K2402</f>
        <v>14</v>
      </c>
      <c r="L1027">
        <f>'[1]Processed Data'!L2402</f>
        <v>12</v>
      </c>
      <c r="M1027">
        <f>'[1]Processed Data'!M2402</f>
        <v>122</v>
      </c>
      <c r="N1027">
        <f>'[1]Processed Data'!N2402</f>
        <v>0</v>
      </c>
      <c r="O1027">
        <f>'[1]Processed Data'!O2402</f>
        <v>0</v>
      </c>
      <c r="P1027">
        <f>'[1]Processed Data'!P2402</f>
        <v>0</v>
      </c>
      <c r="Q1027">
        <f>'[1]Processed Data'!Q2402</f>
        <v>6</v>
      </c>
    </row>
    <row r="1028" spans="2:17" hidden="1">
      <c r="B1028">
        <f>'[1]Processed Data'!B2403</f>
        <v>2006</v>
      </c>
      <c r="C1028">
        <f>'[1]Processed Data'!C2403</f>
        <v>98</v>
      </c>
      <c r="D1028" t="str">
        <f>'[1]Processed Data'!D2403</f>
        <v>Tarvaris Jackson</v>
      </c>
      <c r="E1028">
        <v>2018</v>
      </c>
      <c r="F1028">
        <f>'[1]Processed Data'!F2403</f>
        <v>47</v>
      </c>
      <c r="G1028">
        <f>'[1]Processed Data'!G2403</f>
        <v>81</v>
      </c>
      <c r="H1028">
        <f>'[1]Processed Data'!H2403</f>
        <v>58</v>
      </c>
      <c r="I1028">
        <f>'[1]Processed Data'!I2403</f>
        <v>2</v>
      </c>
      <c r="J1028">
        <f>'[1]Processed Data'!J2403</f>
        <v>4</v>
      </c>
      <c r="K1028">
        <f>'[1]Processed Data'!K2403</f>
        <v>8</v>
      </c>
      <c r="L1028">
        <f>'[1]Processed Data'!L2403</f>
        <v>15</v>
      </c>
      <c r="M1028">
        <f>'[1]Processed Data'!M2403</f>
        <v>77</v>
      </c>
      <c r="N1028">
        <f>'[1]Processed Data'!N2403</f>
        <v>1</v>
      </c>
      <c r="O1028">
        <f>'[1]Processed Data'!O2403</f>
        <v>0</v>
      </c>
      <c r="P1028">
        <f>'[1]Processed Data'!P2403</f>
        <v>0</v>
      </c>
      <c r="Q1028">
        <f>'[1]Processed Data'!Q2403</f>
        <v>4</v>
      </c>
    </row>
    <row r="1029" spans="2:17" hidden="1">
      <c r="B1029">
        <f>'[1]Processed Data'!B2405</f>
        <v>2006</v>
      </c>
      <c r="C1029">
        <f>'[1]Processed Data'!C2405</f>
        <v>100</v>
      </c>
      <c r="D1029" t="str">
        <f>'[1]Processed Data'!D2405</f>
        <v>Tony Romo</v>
      </c>
      <c r="E1029">
        <v>2018</v>
      </c>
      <c r="F1029">
        <f>'[1]Processed Data'!F2405</f>
        <v>220</v>
      </c>
      <c r="G1029">
        <f>'[1]Processed Data'!G2405</f>
        <v>337</v>
      </c>
      <c r="H1029">
        <f>'[1]Processed Data'!H2405</f>
        <v>65.3</v>
      </c>
      <c r="I1029">
        <f>'[1]Processed Data'!I2405</f>
        <v>19</v>
      </c>
      <c r="J1029">
        <f>'[1]Processed Data'!J2405</f>
        <v>13</v>
      </c>
      <c r="K1029">
        <f>'[1]Processed Data'!K2405</f>
        <v>21</v>
      </c>
      <c r="L1029">
        <f>'[1]Processed Data'!L2405</f>
        <v>34</v>
      </c>
      <c r="M1029">
        <f>'[1]Processed Data'!M2405</f>
        <v>102</v>
      </c>
      <c r="N1029">
        <f>'[1]Processed Data'!N2405</f>
        <v>0</v>
      </c>
      <c r="O1029">
        <f>'[1]Processed Data'!O2405</f>
        <v>0</v>
      </c>
      <c r="P1029">
        <f>'[1]Processed Data'!P2405</f>
        <v>0</v>
      </c>
      <c r="Q1029">
        <f>'[1]Processed Data'!Q2405</f>
        <v>15</v>
      </c>
    </row>
    <row r="1030" spans="2:17" hidden="1">
      <c r="B1030">
        <f>'[1]Processed Data'!B2406</f>
        <v>2006</v>
      </c>
      <c r="C1030">
        <f>'[1]Processed Data'!C2406</f>
        <v>101</v>
      </c>
      <c r="D1030" t="str">
        <f>'[1]Processed Data'!D2406</f>
        <v>Michael Vick</v>
      </c>
      <c r="E1030">
        <v>2018</v>
      </c>
      <c r="F1030">
        <f>'[1]Processed Data'!F2406</f>
        <v>204</v>
      </c>
      <c r="G1030">
        <f>'[1]Processed Data'!G2406</f>
        <v>388</v>
      </c>
      <c r="H1030">
        <f>'[1]Processed Data'!H2406</f>
        <v>52.6</v>
      </c>
      <c r="I1030">
        <f>'[1]Processed Data'!I2406</f>
        <v>20</v>
      </c>
      <c r="J1030">
        <f>'[1]Processed Data'!J2406</f>
        <v>13</v>
      </c>
      <c r="K1030">
        <f>'[1]Processed Data'!K2406</f>
        <v>45</v>
      </c>
      <c r="L1030">
        <f>'[1]Processed Data'!L2406</f>
        <v>123</v>
      </c>
      <c r="M1030">
        <f>'[1]Processed Data'!M2406</f>
        <v>1039</v>
      </c>
      <c r="N1030">
        <f>'[1]Processed Data'!N2406</f>
        <v>2</v>
      </c>
      <c r="O1030">
        <f>'[1]Processed Data'!O2406</f>
        <v>0</v>
      </c>
      <c r="P1030">
        <f>'[1]Processed Data'!P2406</f>
        <v>0</v>
      </c>
      <c r="Q1030">
        <f>'[1]Processed Data'!Q2406</f>
        <v>16</v>
      </c>
    </row>
    <row r="1031" spans="2:17" hidden="1">
      <c r="B1031">
        <f>'[1]Processed Data'!B2410</f>
        <v>2006</v>
      </c>
      <c r="C1031">
        <f>'[1]Processed Data'!C2410</f>
        <v>105</v>
      </c>
      <c r="D1031" t="str">
        <f>'[1]Processed Data'!D2410</f>
        <v>Kellen Clemens</v>
      </c>
      <c r="E1031">
        <v>2018</v>
      </c>
      <c r="F1031">
        <f>'[1]Processed Data'!F2410</f>
        <v>0</v>
      </c>
      <c r="G1031">
        <f>'[1]Processed Data'!G2410</f>
        <v>1</v>
      </c>
      <c r="H1031">
        <f>'[1]Processed Data'!H2410</f>
        <v>0</v>
      </c>
      <c r="I1031">
        <f>'[1]Processed Data'!I2410</f>
        <v>0</v>
      </c>
      <c r="J1031">
        <f>'[1]Processed Data'!J2410</f>
        <v>0</v>
      </c>
      <c r="K1031">
        <f>'[1]Processed Data'!K2410</f>
        <v>4</v>
      </c>
      <c r="L1031">
        <f>'[1]Processed Data'!L2410</f>
        <v>2</v>
      </c>
      <c r="M1031">
        <f>'[1]Processed Data'!M2410</f>
        <v>10</v>
      </c>
      <c r="N1031">
        <f>'[1]Processed Data'!N2410</f>
        <v>0</v>
      </c>
      <c r="O1031">
        <f>'[1]Processed Data'!O2410</f>
        <v>0</v>
      </c>
      <c r="P1031">
        <f>'[1]Processed Data'!P2410</f>
        <v>0</v>
      </c>
      <c r="Q1031">
        <f>'[1]Processed Data'!Q2410</f>
        <v>2</v>
      </c>
    </row>
    <row r="1032" spans="2:17" hidden="1">
      <c r="B1032">
        <f>'[1]Processed Data'!B2411</f>
        <v>2006</v>
      </c>
      <c r="C1032">
        <f>'[1]Processed Data'!C2411</f>
        <v>106</v>
      </c>
      <c r="D1032" t="str">
        <f>'[1]Processed Data'!D2411</f>
        <v>Matt Cassel</v>
      </c>
      <c r="E1032">
        <v>2018</v>
      </c>
      <c r="F1032">
        <f>'[1]Processed Data'!F2411</f>
        <v>5</v>
      </c>
      <c r="G1032">
        <f>'[1]Processed Data'!G2411</f>
        <v>8</v>
      </c>
      <c r="H1032">
        <f>'[1]Processed Data'!H2411</f>
        <v>62.5</v>
      </c>
      <c r="I1032">
        <f>'[1]Processed Data'!I2411</f>
        <v>0</v>
      </c>
      <c r="J1032">
        <f>'[1]Processed Data'!J2411</f>
        <v>0</v>
      </c>
      <c r="K1032">
        <f>'[1]Processed Data'!K2411</f>
        <v>3</v>
      </c>
      <c r="L1032">
        <f>'[1]Processed Data'!L2411</f>
        <v>2</v>
      </c>
      <c r="M1032">
        <f>'[1]Processed Data'!M2411</f>
        <v>4</v>
      </c>
      <c r="N1032">
        <f>'[1]Processed Data'!N2411</f>
        <v>0</v>
      </c>
      <c r="O1032">
        <f>'[1]Processed Data'!O2411</f>
        <v>0</v>
      </c>
      <c r="P1032">
        <f>'[1]Processed Data'!P2411</f>
        <v>0</v>
      </c>
      <c r="Q1032">
        <f>'[1]Processed Data'!Q2411</f>
        <v>5</v>
      </c>
    </row>
    <row r="1033" spans="2:17" hidden="1">
      <c r="B1033">
        <f>'[1]Processed Data'!B2412</f>
        <v>2006</v>
      </c>
      <c r="C1033">
        <f>'[1]Processed Data'!C2412</f>
        <v>107</v>
      </c>
      <c r="D1033" t="str">
        <f>'[1]Processed Data'!D2412</f>
        <v>Matt Hasselbeck</v>
      </c>
      <c r="E1033">
        <v>2018</v>
      </c>
      <c r="F1033">
        <f>'[1]Processed Data'!F2412</f>
        <v>210</v>
      </c>
      <c r="G1033">
        <f>'[1]Processed Data'!G2412</f>
        <v>371</v>
      </c>
      <c r="H1033">
        <f>'[1]Processed Data'!H2412</f>
        <v>56.6</v>
      </c>
      <c r="I1033">
        <f>'[1]Processed Data'!I2412</f>
        <v>18</v>
      </c>
      <c r="J1033">
        <f>'[1]Processed Data'!J2412</f>
        <v>15</v>
      </c>
      <c r="K1033">
        <f>'[1]Processed Data'!K2412</f>
        <v>34</v>
      </c>
      <c r="L1033">
        <f>'[1]Processed Data'!L2412</f>
        <v>18</v>
      </c>
      <c r="M1033">
        <f>'[1]Processed Data'!M2412</f>
        <v>110</v>
      </c>
      <c r="N1033">
        <f>'[1]Processed Data'!N2412</f>
        <v>0</v>
      </c>
      <c r="O1033">
        <f>'[1]Processed Data'!O2412</f>
        <v>0</v>
      </c>
      <c r="P1033">
        <f>'[1]Processed Data'!P2412</f>
        <v>0</v>
      </c>
      <c r="Q1033">
        <f>'[1]Processed Data'!Q2412</f>
        <v>12</v>
      </c>
    </row>
    <row r="1034" spans="2:17" hidden="1">
      <c r="B1034">
        <f>'[1]Processed Data'!B2448</f>
        <v>2005</v>
      </c>
      <c r="C1034">
        <f>'[1]Processed Data'!C2448</f>
        <v>1</v>
      </c>
      <c r="D1034" t="str">
        <f>'[1]Processed Data'!D2448</f>
        <v>Tom Brady</v>
      </c>
      <c r="E1034">
        <v>2018</v>
      </c>
      <c r="F1034">
        <f>'[1]Processed Data'!F2448</f>
        <v>334</v>
      </c>
      <c r="G1034">
        <f>'[1]Processed Data'!G2448</f>
        <v>530</v>
      </c>
      <c r="H1034">
        <f>'[1]Processed Data'!H2448</f>
        <v>63</v>
      </c>
      <c r="I1034">
        <f>'[1]Processed Data'!I2448</f>
        <v>26</v>
      </c>
      <c r="J1034">
        <f>'[1]Processed Data'!J2448</f>
        <v>14</v>
      </c>
      <c r="K1034">
        <f>'[1]Processed Data'!K2448</f>
        <v>26</v>
      </c>
      <c r="L1034">
        <f>'[1]Processed Data'!L2448</f>
        <v>27</v>
      </c>
      <c r="M1034">
        <f>'[1]Processed Data'!M2448</f>
        <v>89</v>
      </c>
      <c r="N1034">
        <f>'[1]Processed Data'!N2448</f>
        <v>1</v>
      </c>
      <c r="O1034">
        <f>'[1]Processed Data'!O2448</f>
        <v>0</v>
      </c>
      <c r="P1034">
        <f>'[1]Processed Data'!P2448</f>
        <v>255.4</v>
      </c>
      <c r="Q1034">
        <f>'[1]Processed Data'!Q2448</f>
        <v>16</v>
      </c>
    </row>
    <row r="1035" spans="2:17" hidden="1">
      <c r="B1035">
        <f>'[1]Processed Data'!B2449</f>
        <v>2005</v>
      </c>
      <c r="C1035">
        <f>'[1]Processed Data'!C2449</f>
        <v>2</v>
      </c>
      <c r="D1035" t="str">
        <f>'[1]Processed Data'!D2449</f>
        <v>Ben Roethlisberger</v>
      </c>
      <c r="E1035">
        <v>2018</v>
      </c>
      <c r="F1035">
        <f>'[1]Processed Data'!F2449</f>
        <v>168</v>
      </c>
      <c r="G1035">
        <f>'[1]Processed Data'!G2449</f>
        <v>268</v>
      </c>
      <c r="H1035">
        <f>'[1]Processed Data'!H2449</f>
        <v>62.7</v>
      </c>
      <c r="I1035">
        <f>'[1]Processed Data'!I2449</f>
        <v>17</v>
      </c>
      <c r="J1035">
        <f>'[1]Processed Data'!J2449</f>
        <v>9</v>
      </c>
      <c r="K1035">
        <f>'[1]Processed Data'!K2449</f>
        <v>23</v>
      </c>
      <c r="L1035">
        <f>'[1]Processed Data'!L2449</f>
        <v>31</v>
      </c>
      <c r="M1035">
        <f>'[1]Processed Data'!M2449</f>
        <v>69</v>
      </c>
      <c r="N1035">
        <f>'[1]Processed Data'!N2449</f>
        <v>3</v>
      </c>
      <c r="O1035">
        <f>'[1]Processed Data'!O2449</f>
        <v>0</v>
      </c>
      <c r="P1035">
        <f>'[1]Processed Data'!P2449</f>
        <v>170.2</v>
      </c>
      <c r="Q1035">
        <f>'[1]Processed Data'!Q2449</f>
        <v>12</v>
      </c>
    </row>
    <row r="1036" spans="2:17" hidden="1">
      <c r="B1036">
        <f>'[1]Processed Data'!B2450</f>
        <v>2005</v>
      </c>
      <c r="C1036">
        <f>'[1]Processed Data'!C2450</f>
        <v>3</v>
      </c>
      <c r="D1036" t="str">
        <f>'[1]Processed Data'!D2450</f>
        <v>Josh McCown</v>
      </c>
      <c r="E1036">
        <v>2018</v>
      </c>
      <c r="F1036">
        <f>'[1]Processed Data'!F2450</f>
        <v>163</v>
      </c>
      <c r="G1036">
        <f>'[1]Processed Data'!G2450</f>
        <v>270</v>
      </c>
      <c r="H1036">
        <f>'[1]Processed Data'!H2450</f>
        <v>60.4</v>
      </c>
      <c r="I1036">
        <f>'[1]Processed Data'!I2450</f>
        <v>9</v>
      </c>
      <c r="J1036">
        <f>'[1]Processed Data'!J2450</f>
        <v>11</v>
      </c>
      <c r="K1036">
        <f>'[1]Processed Data'!K2450</f>
        <v>18</v>
      </c>
      <c r="L1036">
        <f>'[1]Processed Data'!L2450</f>
        <v>29</v>
      </c>
      <c r="M1036">
        <f>'[1]Processed Data'!M2450</f>
        <v>139</v>
      </c>
      <c r="N1036">
        <f>'[1]Processed Data'!N2450</f>
        <v>0</v>
      </c>
      <c r="O1036">
        <f>'[1]Processed Data'!O2450</f>
        <v>0</v>
      </c>
      <c r="P1036">
        <f>'[1]Processed Data'!P2450</f>
        <v>101.4</v>
      </c>
      <c r="Q1036">
        <f>'[1]Processed Data'!Q2450</f>
        <v>9</v>
      </c>
    </row>
    <row r="1037" spans="2:17" hidden="1">
      <c r="B1037">
        <f>'[1]Processed Data'!B2451</f>
        <v>2005</v>
      </c>
      <c r="C1037">
        <f>'[1]Processed Data'!C2451</f>
        <v>4</v>
      </c>
      <c r="D1037" t="str">
        <f>'[1]Processed Data'!D2451</f>
        <v>Matt Schaub</v>
      </c>
      <c r="E1037">
        <v>2018</v>
      </c>
      <c r="F1037">
        <f>'[1]Processed Data'!F2451</f>
        <v>33</v>
      </c>
      <c r="G1037">
        <f>'[1]Processed Data'!G2451</f>
        <v>64</v>
      </c>
      <c r="H1037">
        <f>'[1]Processed Data'!H2451</f>
        <v>51.6</v>
      </c>
      <c r="I1037">
        <f>'[1]Processed Data'!I2451</f>
        <v>4</v>
      </c>
      <c r="J1037">
        <f>'[1]Processed Data'!J2451</f>
        <v>0</v>
      </c>
      <c r="K1037">
        <f>'[1]Processed Data'!K2451</f>
        <v>6</v>
      </c>
      <c r="L1037">
        <f>'[1]Processed Data'!L2451</f>
        <v>9</v>
      </c>
      <c r="M1037">
        <f>'[1]Processed Data'!M2451</f>
        <v>76</v>
      </c>
      <c r="N1037">
        <f>'[1]Processed Data'!N2451</f>
        <v>0</v>
      </c>
      <c r="O1037">
        <f>'[1]Processed Data'!O2451</f>
        <v>0</v>
      </c>
      <c r="P1037">
        <f>'[1]Processed Data'!P2451</f>
        <v>43.4</v>
      </c>
      <c r="Q1037">
        <f>'[1]Processed Data'!Q2451</f>
        <v>13</v>
      </c>
    </row>
    <row r="1038" spans="2:17" hidden="1">
      <c r="B1038">
        <f>'[1]Processed Data'!B2452</f>
        <v>2005</v>
      </c>
      <c r="C1038">
        <f>'[1]Processed Data'!C2452</f>
        <v>5</v>
      </c>
      <c r="D1038" t="str">
        <f>'[1]Processed Data'!D2452</f>
        <v>Alex Smith</v>
      </c>
      <c r="E1038">
        <v>2018</v>
      </c>
      <c r="F1038">
        <f>'[1]Processed Data'!F2452</f>
        <v>84</v>
      </c>
      <c r="G1038">
        <f>'[1]Processed Data'!G2452</f>
        <v>165</v>
      </c>
      <c r="H1038">
        <f>'[1]Processed Data'!H2452</f>
        <v>50.9</v>
      </c>
      <c r="I1038">
        <f>'[1]Processed Data'!I2452</f>
        <v>1</v>
      </c>
      <c r="J1038">
        <f>'[1]Processed Data'!J2452</f>
        <v>11</v>
      </c>
      <c r="K1038">
        <f>'[1]Processed Data'!K2452</f>
        <v>29</v>
      </c>
      <c r="L1038">
        <f>'[1]Processed Data'!L2452</f>
        <v>30</v>
      </c>
      <c r="M1038">
        <f>'[1]Processed Data'!M2452</f>
        <v>103</v>
      </c>
      <c r="N1038">
        <f>'[1]Processed Data'!N2452</f>
        <v>0</v>
      </c>
      <c r="O1038">
        <f>'[1]Processed Data'!O2452</f>
        <v>0</v>
      </c>
      <c r="P1038">
        <f>'[1]Processed Data'!P2452</f>
        <v>27.4</v>
      </c>
      <c r="Q1038">
        <f>'[1]Processed Data'!Q2452</f>
        <v>9</v>
      </c>
    </row>
    <row r="1039" spans="2:17" hidden="1">
      <c r="B1039">
        <f>'[1]Processed Data'!B2453</f>
        <v>2005</v>
      </c>
      <c r="C1039">
        <f>'[1]Processed Data'!C2453</f>
        <v>6</v>
      </c>
      <c r="D1039" t="str">
        <f>'[1]Processed Data'!D2453</f>
        <v>Aaron Rodgers</v>
      </c>
      <c r="E1039">
        <v>2018</v>
      </c>
      <c r="F1039">
        <f>'[1]Processed Data'!F2453</f>
        <v>9</v>
      </c>
      <c r="G1039">
        <f>'[1]Processed Data'!G2453</f>
        <v>16</v>
      </c>
      <c r="H1039">
        <f>'[1]Processed Data'!H2453</f>
        <v>56.3</v>
      </c>
      <c r="I1039">
        <f>'[1]Processed Data'!I2453</f>
        <v>0</v>
      </c>
      <c r="J1039">
        <f>'[1]Processed Data'!J2453</f>
        <v>1</v>
      </c>
      <c r="K1039">
        <f>'[1]Processed Data'!K2453</f>
        <v>3</v>
      </c>
      <c r="L1039">
        <f>'[1]Processed Data'!L2453</f>
        <v>2</v>
      </c>
      <c r="M1039">
        <f>'[1]Processed Data'!M2453</f>
        <v>7</v>
      </c>
      <c r="N1039">
        <f>'[1]Processed Data'!N2453</f>
        <v>0</v>
      </c>
      <c r="O1039">
        <f>'[1]Processed Data'!O2453</f>
        <v>0</v>
      </c>
      <c r="P1039">
        <f>'[1]Processed Data'!P2453</f>
        <v>1.3</v>
      </c>
      <c r="Q1039">
        <f>'[1]Processed Data'!Q2453</f>
        <v>3</v>
      </c>
    </row>
    <row r="1040" spans="2:17" hidden="1">
      <c r="B1040">
        <f>'[1]Processed Data'!B2513</f>
        <v>2005</v>
      </c>
      <c r="C1040">
        <f>'[1]Processed Data'!C2513</f>
        <v>66</v>
      </c>
      <c r="D1040" t="str">
        <f>'[1]Processed Data'!D2513</f>
        <v>Dan Orlovsky</v>
      </c>
      <c r="E1040">
        <v>2018</v>
      </c>
      <c r="F1040">
        <f>'[1]Processed Data'!F2513</f>
        <v>7</v>
      </c>
      <c r="G1040">
        <f>'[1]Processed Data'!G2513</f>
        <v>17</v>
      </c>
      <c r="H1040">
        <f>'[1]Processed Data'!H2513</f>
        <v>41.2</v>
      </c>
      <c r="I1040">
        <f>'[1]Processed Data'!I2513</f>
        <v>0</v>
      </c>
      <c r="J1040">
        <f>'[1]Processed Data'!J2513</f>
        <v>0</v>
      </c>
      <c r="K1040">
        <f>'[1]Processed Data'!K2513</f>
        <v>1</v>
      </c>
      <c r="L1040">
        <f>'[1]Processed Data'!L2513</f>
        <v>0</v>
      </c>
      <c r="M1040">
        <f>'[1]Processed Data'!M2513</f>
        <v>0</v>
      </c>
      <c r="N1040">
        <f>'[1]Processed Data'!N2513</f>
        <v>0</v>
      </c>
      <c r="O1040">
        <f>'[1]Processed Data'!O2513</f>
        <v>0</v>
      </c>
      <c r="P1040">
        <f>'[1]Processed Data'!P2513</f>
        <v>0</v>
      </c>
      <c r="Q1040">
        <f>'[1]Processed Data'!Q2513</f>
        <v>2</v>
      </c>
    </row>
    <row r="1041" spans="2:17" hidden="1">
      <c r="B1041">
        <f>'[1]Processed Data'!B2526</f>
        <v>2005</v>
      </c>
      <c r="C1041">
        <f>'[1]Processed Data'!C2526</f>
        <v>79</v>
      </c>
      <c r="D1041" t="str">
        <f>'[1]Processed Data'!D2526</f>
        <v>David Carr</v>
      </c>
      <c r="E1041">
        <v>2018</v>
      </c>
      <c r="F1041">
        <f>'[1]Processed Data'!F2526</f>
        <v>256</v>
      </c>
      <c r="G1041">
        <f>'[1]Processed Data'!G2526</f>
        <v>423</v>
      </c>
      <c r="H1041">
        <f>'[1]Processed Data'!H2526</f>
        <v>60.5</v>
      </c>
      <c r="I1041">
        <f>'[1]Processed Data'!I2526</f>
        <v>14</v>
      </c>
      <c r="J1041">
        <f>'[1]Processed Data'!J2526</f>
        <v>11</v>
      </c>
      <c r="K1041">
        <f>'[1]Processed Data'!K2526</f>
        <v>68</v>
      </c>
      <c r="L1041">
        <f>'[1]Processed Data'!L2526</f>
        <v>56</v>
      </c>
      <c r="M1041">
        <f>'[1]Processed Data'!M2526</f>
        <v>308</v>
      </c>
      <c r="N1041">
        <f>'[1]Processed Data'!N2526</f>
        <v>1</v>
      </c>
      <c r="O1041">
        <f>'[1]Processed Data'!O2526</f>
        <v>0</v>
      </c>
      <c r="P1041">
        <f>'[1]Processed Data'!P2526</f>
        <v>0</v>
      </c>
      <c r="Q1041">
        <f>'[1]Processed Data'!Q2526</f>
        <v>16</v>
      </c>
    </row>
    <row r="1042" spans="2:17" hidden="1">
      <c r="B1042">
        <f>'[1]Processed Data'!B2527</f>
        <v>2005</v>
      </c>
      <c r="C1042">
        <f>'[1]Processed Data'!C2527</f>
        <v>80</v>
      </c>
      <c r="D1042" t="str">
        <f>'[1]Processed Data'!D2527</f>
        <v>Drew Brees</v>
      </c>
      <c r="E1042">
        <v>2018</v>
      </c>
      <c r="F1042">
        <f>'[1]Processed Data'!F2527</f>
        <v>323</v>
      </c>
      <c r="G1042">
        <f>'[1]Processed Data'!G2527</f>
        <v>500</v>
      </c>
      <c r="H1042">
        <f>'[1]Processed Data'!H2527</f>
        <v>64.599999999999994</v>
      </c>
      <c r="I1042">
        <f>'[1]Processed Data'!I2527</f>
        <v>24</v>
      </c>
      <c r="J1042">
        <f>'[1]Processed Data'!J2527</f>
        <v>15</v>
      </c>
      <c r="K1042">
        <f>'[1]Processed Data'!K2527</f>
        <v>27</v>
      </c>
      <c r="L1042">
        <f>'[1]Processed Data'!L2527</f>
        <v>21</v>
      </c>
      <c r="M1042">
        <f>'[1]Processed Data'!M2527</f>
        <v>49</v>
      </c>
      <c r="N1042">
        <f>'[1]Processed Data'!N2527</f>
        <v>1</v>
      </c>
      <c r="O1042">
        <f>'[1]Processed Data'!O2527</f>
        <v>0</v>
      </c>
      <c r="P1042">
        <f>'[1]Processed Data'!P2527</f>
        <v>0</v>
      </c>
      <c r="Q1042">
        <f>'[1]Processed Data'!Q2527</f>
        <v>16</v>
      </c>
    </row>
    <row r="1043" spans="2:17" hidden="1">
      <c r="B1043">
        <f>'[1]Processed Data'!B2528</f>
        <v>2005</v>
      </c>
      <c r="C1043">
        <f>'[1]Processed Data'!C2528</f>
        <v>81</v>
      </c>
      <c r="D1043" t="str">
        <f>'[1]Processed Data'!D2528</f>
        <v>Eli Manning</v>
      </c>
      <c r="E1043">
        <v>2018</v>
      </c>
      <c r="F1043">
        <f>'[1]Processed Data'!F2528</f>
        <v>294</v>
      </c>
      <c r="G1043">
        <f>'[1]Processed Data'!G2528</f>
        <v>557</v>
      </c>
      <c r="H1043">
        <f>'[1]Processed Data'!H2528</f>
        <v>52.8</v>
      </c>
      <c r="I1043">
        <f>'[1]Processed Data'!I2528</f>
        <v>24</v>
      </c>
      <c r="J1043">
        <f>'[1]Processed Data'!J2528</f>
        <v>17</v>
      </c>
      <c r="K1043">
        <f>'[1]Processed Data'!K2528</f>
        <v>28</v>
      </c>
      <c r="L1043">
        <f>'[1]Processed Data'!L2528</f>
        <v>29</v>
      </c>
      <c r="M1043">
        <f>'[1]Processed Data'!M2528</f>
        <v>80</v>
      </c>
      <c r="N1043">
        <f>'[1]Processed Data'!N2528</f>
        <v>1</v>
      </c>
      <c r="O1043">
        <f>'[1]Processed Data'!O2528</f>
        <v>1</v>
      </c>
      <c r="P1043">
        <f>'[1]Processed Data'!P2528</f>
        <v>0</v>
      </c>
      <c r="Q1043">
        <f>'[1]Processed Data'!Q2528</f>
        <v>16</v>
      </c>
    </row>
    <row r="1044" spans="2:17" hidden="1">
      <c r="B1044">
        <f>'[1]Processed Data'!B2533</f>
        <v>2005</v>
      </c>
      <c r="C1044">
        <f>'[1]Processed Data'!C2533</f>
        <v>86</v>
      </c>
      <c r="D1044" t="str">
        <f>'[1]Processed Data'!D2533</f>
        <v>Carson Palmer</v>
      </c>
      <c r="E1044">
        <v>2018</v>
      </c>
      <c r="F1044">
        <f>'[1]Processed Data'!F2533</f>
        <v>345</v>
      </c>
      <c r="G1044">
        <f>'[1]Processed Data'!G2533</f>
        <v>509</v>
      </c>
      <c r="H1044">
        <f>'[1]Processed Data'!H2533</f>
        <v>67.8</v>
      </c>
      <c r="I1044">
        <f>'[1]Processed Data'!I2533</f>
        <v>32</v>
      </c>
      <c r="J1044">
        <f>'[1]Processed Data'!J2533</f>
        <v>12</v>
      </c>
      <c r="K1044">
        <f>'[1]Processed Data'!K2533</f>
        <v>19</v>
      </c>
      <c r="L1044">
        <f>'[1]Processed Data'!L2533</f>
        <v>34</v>
      </c>
      <c r="M1044">
        <f>'[1]Processed Data'!M2533</f>
        <v>41</v>
      </c>
      <c r="N1044">
        <f>'[1]Processed Data'!N2533</f>
        <v>1</v>
      </c>
      <c r="O1044">
        <f>'[1]Processed Data'!O2533</f>
        <v>0</v>
      </c>
      <c r="P1044">
        <f>'[1]Processed Data'!P2533</f>
        <v>0</v>
      </c>
      <c r="Q1044">
        <f>'[1]Processed Data'!Q2533</f>
        <v>16</v>
      </c>
    </row>
    <row r="1045" spans="2:17" hidden="1">
      <c r="B1045">
        <f>'[1]Processed Data'!B2536</f>
        <v>2005</v>
      </c>
      <c r="C1045">
        <f>'[1]Processed Data'!C2536</f>
        <v>89</v>
      </c>
      <c r="D1045" t="str">
        <f>'[1]Processed Data'!D2536</f>
        <v>Seneca Wallace</v>
      </c>
      <c r="E1045">
        <v>2018</v>
      </c>
      <c r="F1045">
        <f>'[1]Processed Data'!F2536</f>
        <v>13</v>
      </c>
      <c r="G1045">
        <f>'[1]Processed Data'!G2536</f>
        <v>25</v>
      </c>
      <c r="H1045">
        <f>'[1]Processed Data'!H2536</f>
        <v>52</v>
      </c>
      <c r="I1045">
        <f>'[1]Processed Data'!I2536</f>
        <v>1</v>
      </c>
      <c r="J1045">
        <f>'[1]Processed Data'!J2536</f>
        <v>1</v>
      </c>
      <c r="K1045">
        <f>'[1]Processed Data'!K2536</f>
        <v>3</v>
      </c>
      <c r="L1045">
        <f>'[1]Processed Data'!L2536</f>
        <v>6</v>
      </c>
      <c r="M1045">
        <f>'[1]Processed Data'!M2536</f>
        <v>-5</v>
      </c>
      <c r="N1045">
        <f>'[1]Processed Data'!N2536</f>
        <v>0</v>
      </c>
      <c r="O1045">
        <f>'[1]Processed Data'!O2536</f>
        <v>0</v>
      </c>
      <c r="P1045">
        <f>'[1]Processed Data'!P2536</f>
        <v>0</v>
      </c>
      <c r="Q1045">
        <f>'[1]Processed Data'!Q2536</f>
        <v>5</v>
      </c>
    </row>
    <row r="1046" spans="2:17" hidden="1">
      <c r="B1046">
        <f>'[1]Processed Data'!B2537</f>
        <v>2005</v>
      </c>
      <c r="C1046">
        <f>'[1]Processed Data'!C2537</f>
        <v>90</v>
      </c>
      <c r="D1046" t="str">
        <f>'[1]Processed Data'!D2537</f>
        <v>Michael Vick</v>
      </c>
      <c r="E1046">
        <v>2018</v>
      </c>
      <c r="F1046">
        <f>'[1]Processed Data'!F2537</f>
        <v>214</v>
      </c>
      <c r="G1046">
        <f>'[1]Processed Data'!G2537</f>
        <v>387</v>
      </c>
      <c r="H1046">
        <f>'[1]Processed Data'!H2537</f>
        <v>55.3</v>
      </c>
      <c r="I1046">
        <f>'[1]Processed Data'!I2537</f>
        <v>15</v>
      </c>
      <c r="J1046">
        <f>'[1]Processed Data'!J2537</f>
        <v>13</v>
      </c>
      <c r="K1046">
        <f>'[1]Processed Data'!K2537</f>
        <v>33</v>
      </c>
      <c r="L1046">
        <f>'[1]Processed Data'!L2537</f>
        <v>102</v>
      </c>
      <c r="M1046">
        <f>'[1]Processed Data'!M2537</f>
        <v>597</v>
      </c>
      <c r="N1046">
        <f>'[1]Processed Data'!N2537</f>
        <v>6</v>
      </c>
      <c r="O1046">
        <f>'[1]Processed Data'!O2537</f>
        <v>1</v>
      </c>
      <c r="P1046">
        <f>'[1]Processed Data'!P2537</f>
        <v>0</v>
      </c>
      <c r="Q1046">
        <f>'[1]Processed Data'!Q2537</f>
        <v>15</v>
      </c>
    </row>
    <row r="1047" spans="2:17" hidden="1">
      <c r="B1047">
        <f>'[1]Processed Data'!B2538</f>
        <v>2005</v>
      </c>
      <c r="C1047">
        <f>'[1]Processed Data'!C2538</f>
        <v>91</v>
      </c>
      <c r="D1047" t="str">
        <f>'[1]Processed Data'!D2538</f>
        <v>Peyton Manning</v>
      </c>
      <c r="E1047">
        <v>2018</v>
      </c>
      <c r="F1047">
        <f>'[1]Processed Data'!F2538</f>
        <v>305</v>
      </c>
      <c r="G1047">
        <f>'[1]Processed Data'!G2538</f>
        <v>453</v>
      </c>
      <c r="H1047">
        <f>'[1]Processed Data'!H2538</f>
        <v>67.3</v>
      </c>
      <c r="I1047">
        <f>'[1]Processed Data'!I2538</f>
        <v>28</v>
      </c>
      <c r="J1047">
        <f>'[1]Processed Data'!J2538</f>
        <v>10</v>
      </c>
      <c r="K1047">
        <f>'[1]Processed Data'!K2538</f>
        <v>17</v>
      </c>
      <c r="L1047">
        <f>'[1]Processed Data'!L2538</f>
        <v>33</v>
      </c>
      <c r="M1047">
        <f>'[1]Processed Data'!M2538</f>
        <v>45</v>
      </c>
      <c r="N1047">
        <f>'[1]Processed Data'!N2538</f>
        <v>0</v>
      </c>
      <c r="O1047">
        <f>'[1]Processed Data'!O2538</f>
        <v>0</v>
      </c>
      <c r="P1047">
        <f>'[1]Processed Data'!P2538</f>
        <v>0</v>
      </c>
      <c r="Q1047">
        <f>'[1]Processed Data'!Q2538</f>
        <v>16</v>
      </c>
    </row>
    <row r="1048" spans="2:17" hidden="1">
      <c r="B1048">
        <f>'[1]Processed Data'!B2539</f>
        <v>2005</v>
      </c>
      <c r="C1048">
        <f>'[1]Processed Data'!C2539</f>
        <v>92</v>
      </c>
      <c r="D1048" t="str">
        <f>'[1]Processed Data'!D2539</f>
        <v>Philip Rivers</v>
      </c>
      <c r="E1048">
        <v>2018</v>
      </c>
      <c r="F1048">
        <f>'[1]Processed Data'!F2539</f>
        <v>12</v>
      </c>
      <c r="G1048">
        <f>'[1]Processed Data'!G2539</f>
        <v>22</v>
      </c>
      <c r="H1048">
        <f>'[1]Processed Data'!H2539</f>
        <v>54.5</v>
      </c>
      <c r="I1048">
        <f>'[1]Processed Data'!I2539</f>
        <v>0</v>
      </c>
      <c r="J1048">
        <f>'[1]Processed Data'!J2539</f>
        <v>1</v>
      </c>
      <c r="K1048">
        <f>'[1]Processed Data'!K2539</f>
        <v>3</v>
      </c>
      <c r="L1048">
        <f>'[1]Processed Data'!L2539</f>
        <v>1</v>
      </c>
      <c r="M1048">
        <f>'[1]Processed Data'!M2539</f>
        <v>-1</v>
      </c>
      <c r="N1048">
        <f>'[1]Processed Data'!N2539</f>
        <v>0</v>
      </c>
      <c r="O1048">
        <f>'[1]Processed Data'!O2539</f>
        <v>0</v>
      </c>
      <c r="P1048">
        <f>'[1]Processed Data'!P2539</f>
        <v>0</v>
      </c>
      <c r="Q1048">
        <f>'[1]Processed Data'!Q2539</f>
        <v>2</v>
      </c>
    </row>
    <row r="1049" spans="2:17" hidden="1">
      <c r="B1049">
        <f>'[1]Processed Data'!B2540</f>
        <v>2005</v>
      </c>
      <c r="C1049">
        <f>'[1]Processed Data'!C2540</f>
        <v>93</v>
      </c>
      <c r="D1049" t="str">
        <f>'[1]Processed Data'!D2540</f>
        <v>Rex Grossman</v>
      </c>
      <c r="E1049">
        <v>2018</v>
      </c>
      <c r="F1049">
        <f>'[1]Processed Data'!F2540</f>
        <v>20</v>
      </c>
      <c r="G1049">
        <f>'[1]Processed Data'!G2540</f>
        <v>39</v>
      </c>
      <c r="H1049">
        <f>'[1]Processed Data'!H2540</f>
        <v>51.3</v>
      </c>
      <c r="I1049">
        <f>'[1]Processed Data'!I2540</f>
        <v>1</v>
      </c>
      <c r="J1049">
        <f>'[1]Processed Data'!J2540</f>
        <v>2</v>
      </c>
      <c r="K1049">
        <f>'[1]Processed Data'!K2540</f>
        <v>1</v>
      </c>
      <c r="L1049">
        <f>'[1]Processed Data'!L2540</f>
        <v>0</v>
      </c>
      <c r="M1049">
        <f>'[1]Processed Data'!M2540</f>
        <v>0</v>
      </c>
      <c r="N1049">
        <f>'[1]Processed Data'!N2540</f>
        <v>0</v>
      </c>
      <c r="O1049">
        <f>'[1]Processed Data'!O2540</f>
        <v>0</v>
      </c>
      <c r="P1049">
        <f>'[1]Processed Data'!P2540</f>
        <v>0</v>
      </c>
      <c r="Q1049">
        <f>'[1]Processed Data'!Q2540</f>
        <v>2</v>
      </c>
    </row>
    <row r="1050" spans="2:17" hidden="1">
      <c r="B1050">
        <f>'[1]Processed Data'!B2541</f>
        <v>2005</v>
      </c>
      <c r="C1050">
        <f>'[1]Processed Data'!C2541</f>
        <v>94</v>
      </c>
      <c r="D1050" t="str">
        <f>'[1]Processed Data'!D2541</f>
        <v>Ryan Fitzpatrick</v>
      </c>
      <c r="E1050">
        <v>2018</v>
      </c>
      <c r="F1050">
        <f>'[1]Processed Data'!F2541</f>
        <v>76</v>
      </c>
      <c r="G1050">
        <f>'[1]Processed Data'!G2541</f>
        <v>135</v>
      </c>
      <c r="H1050">
        <f>'[1]Processed Data'!H2541</f>
        <v>56.3</v>
      </c>
      <c r="I1050">
        <f>'[1]Processed Data'!I2541</f>
        <v>4</v>
      </c>
      <c r="J1050">
        <f>'[1]Processed Data'!J2541</f>
        <v>8</v>
      </c>
      <c r="K1050">
        <f>'[1]Processed Data'!K2541</f>
        <v>9</v>
      </c>
      <c r="L1050">
        <f>'[1]Processed Data'!L2541</f>
        <v>14</v>
      </c>
      <c r="M1050">
        <f>'[1]Processed Data'!M2541</f>
        <v>64</v>
      </c>
      <c r="N1050">
        <f>'[1]Processed Data'!N2541</f>
        <v>2</v>
      </c>
      <c r="O1050">
        <f>'[1]Processed Data'!O2541</f>
        <v>0</v>
      </c>
      <c r="P1050">
        <f>'[1]Processed Data'!P2541</f>
        <v>0</v>
      </c>
      <c r="Q1050">
        <f>'[1]Processed Data'!Q2541</f>
        <v>4</v>
      </c>
    </row>
    <row r="1051" spans="2:17" hidden="1">
      <c r="B1051">
        <f>'[1]Processed Data'!B2542</f>
        <v>2005</v>
      </c>
      <c r="C1051">
        <f>'[1]Processed Data'!C2542</f>
        <v>95</v>
      </c>
      <c r="D1051" t="str">
        <f>'[1]Processed Data'!D2542</f>
        <v>Shaun Hill</v>
      </c>
      <c r="E1051">
        <v>2018</v>
      </c>
      <c r="F1051">
        <f>'[1]Processed Data'!F2542</f>
        <v>0</v>
      </c>
      <c r="G1051">
        <f>'[1]Processed Data'!G2542</f>
        <v>0</v>
      </c>
      <c r="H1051">
        <f>'[1]Processed Data'!H2542</f>
        <v>0</v>
      </c>
      <c r="I1051">
        <f>'[1]Processed Data'!I2542</f>
        <v>0</v>
      </c>
      <c r="J1051">
        <f>'[1]Processed Data'!J2542</f>
        <v>0</v>
      </c>
      <c r="K1051">
        <f>'[1]Processed Data'!K2542</f>
        <v>0</v>
      </c>
      <c r="L1051">
        <f>'[1]Processed Data'!L2542</f>
        <v>2</v>
      </c>
      <c r="M1051">
        <f>'[1]Processed Data'!M2542</f>
        <v>-2</v>
      </c>
      <c r="N1051">
        <f>'[1]Processed Data'!N2542</f>
        <v>0</v>
      </c>
      <c r="O1051">
        <f>'[1]Processed Data'!O2542</f>
        <v>0</v>
      </c>
      <c r="P1051">
        <f>'[1]Processed Data'!P2542</f>
        <v>0</v>
      </c>
      <c r="Q1051">
        <f>'[1]Processed Data'!Q2542</f>
        <v>1</v>
      </c>
    </row>
    <row r="1052" spans="2:17" hidden="1">
      <c r="B1052">
        <f>'[1]Processed Data'!B2544</f>
        <v>2005</v>
      </c>
      <c r="C1052">
        <f>'[1]Processed Data'!C2544</f>
        <v>97</v>
      </c>
      <c r="D1052" t="str">
        <f>'[1]Processed Data'!D2544</f>
        <v>Tony Romo</v>
      </c>
      <c r="E1052">
        <v>2018</v>
      </c>
      <c r="F1052">
        <f>'[1]Processed Data'!F2544</f>
        <v>0</v>
      </c>
      <c r="G1052">
        <f>'[1]Processed Data'!G2544</f>
        <v>0</v>
      </c>
      <c r="H1052">
        <f>'[1]Processed Data'!H2544</f>
        <v>0</v>
      </c>
      <c r="I1052">
        <f>'[1]Processed Data'!I2544</f>
        <v>0</v>
      </c>
      <c r="J1052">
        <f>'[1]Processed Data'!J2544</f>
        <v>0</v>
      </c>
      <c r="K1052">
        <f>'[1]Processed Data'!K2544</f>
        <v>0</v>
      </c>
      <c r="L1052">
        <f>'[1]Processed Data'!L2544</f>
        <v>2</v>
      </c>
      <c r="M1052">
        <f>'[1]Processed Data'!M2544</f>
        <v>-2</v>
      </c>
      <c r="N1052">
        <f>'[1]Processed Data'!N2544</f>
        <v>0</v>
      </c>
      <c r="O1052">
        <f>'[1]Processed Data'!O2544</f>
        <v>0</v>
      </c>
      <c r="P1052">
        <f>'[1]Processed Data'!P2544</f>
        <v>0</v>
      </c>
      <c r="Q1052">
        <f>'[1]Processed Data'!Q2544</f>
        <v>15</v>
      </c>
    </row>
    <row r="1053" spans="2:17" hidden="1">
      <c r="B1053">
        <f>'[1]Processed Data'!B2546</f>
        <v>2005</v>
      </c>
      <c r="C1053">
        <f>'[1]Processed Data'!C2546</f>
        <v>99</v>
      </c>
      <c r="D1053" t="str">
        <f>'[1]Processed Data'!D2546</f>
        <v>Kyle Orton</v>
      </c>
      <c r="E1053">
        <v>2018</v>
      </c>
      <c r="F1053">
        <f>'[1]Processed Data'!F2546</f>
        <v>190</v>
      </c>
      <c r="G1053">
        <f>'[1]Processed Data'!G2546</f>
        <v>368</v>
      </c>
      <c r="H1053">
        <f>'[1]Processed Data'!H2546</f>
        <v>51.6</v>
      </c>
      <c r="I1053">
        <f>'[1]Processed Data'!I2546</f>
        <v>9</v>
      </c>
      <c r="J1053">
        <f>'[1]Processed Data'!J2546</f>
        <v>13</v>
      </c>
      <c r="K1053">
        <f>'[1]Processed Data'!K2546</f>
        <v>30</v>
      </c>
      <c r="L1053">
        <f>'[1]Processed Data'!L2546</f>
        <v>24</v>
      </c>
      <c r="M1053">
        <f>'[1]Processed Data'!M2546</f>
        <v>44</v>
      </c>
      <c r="N1053">
        <f>'[1]Processed Data'!N2546</f>
        <v>0</v>
      </c>
      <c r="O1053">
        <f>'[1]Processed Data'!O2546</f>
        <v>0</v>
      </c>
      <c r="P1053">
        <f>'[1]Processed Data'!P2546</f>
        <v>0</v>
      </c>
      <c r="Q1053">
        <f>'[1]Processed Data'!Q2546</f>
        <v>15</v>
      </c>
    </row>
    <row r="1054" spans="2:17" hidden="1">
      <c r="B1054">
        <f>'[1]Processed Data'!B2549</f>
        <v>2005</v>
      </c>
      <c r="C1054">
        <f>'[1]Processed Data'!C2549</f>
        <v>102</v>
      </c>
      <c r="D1054" t="str">
        <f>'[1]Processed Data'!D2549</f>
        <v>Matt Cassel</v>
      </c>
      <c r="E1054">
        <v>2018</v>
      </c>
      <c r="F1054">
        <f>'[1]Processed Data'!F2549</f>
        <v>13</v>
      </c>
      <c r="G1054">
        <f>'[1]Processed Data'!G2549</f>
        <v>24</v>
      </c>
      <c r="H1054">
        <f>'[1]Processed Data'!H2549</f>
        <v>54.2</v>
      </c>
      <c r="I1054">
        <f>'[1]Processed Data'!I2549</f>
        <v>2</v>
      </c>
      <c r="J1054">
        <f>'[1]Processed Data'!J2549</f>
        <v>1</v>
      </c>
      <c r="K1054">
        <f>'[1]Processed Data'!K2549</f>
        <v>1</v>
      </c>
      <c r="L1054">
        <f>'[1]Processed Data'!L2549</f>
        <v>6</v>
      </c>
      <c r="M1054">
        <f>'[1]Processed Data'!M2549</f>
        <v>12</v>
      </c>
      <c r="N1054">
        <f>'[1]Processed Data'!N2549</f>
        <v>0</v>
      </c>
      <c r="O1054">
        <f>'[1]Processed Data'!O2549</f>
        <v>0</v>
      </c>
      <c r="P1054">
        <f>'[1]Processed Data'!P2549</f>
        <v>0</v>
      </c>
      <c r="Q1054">
        <f>'[1]Processed Data'!Q2549</f>
        <v>2</v>
      </c>
    </row>
    <row r="1055" spans="2:17" hidden="1">
      <c r="B1055">
        <f>'[1]Processed Data'!B2550</f>
        <v>2005</v>
      </c>
      <c r="C1055">
        <f>'[1]Processed Data'!C2550</f>
        <v>103</v>
      </c>
      <c r="D1055" t="str">
        <f>'[1]Processed Data'!D2550</f>
        <v>Matt Hasselbeck</v>
      </c>
      <c r="E1055">
        <v>2018</v>
      </c>
      <c r="F1055">
        <f>'[1]Processed Data'!F2550</f>
        <v>294</v>
      </c>
      <c r="G1055">
        <f>'[1]Processed Data'!G2550</f>
        <v>449</v>
      </c>
      <c r="H1055">
        <f>'[1]Processed Data'!H2550</f>
        <v>65.5</v>
      </c>
      <c r="I1055">
        <f>'[1]Processed Data'!I2550</f>
        <v>24</v>
      </c>
      <c r="J1055">
        <f>'[1]Processed Data'!J2550</f>
        <v>9</v>
      </c>
      <c r="K1055">
        <f>'[1]Processed Data'!K2550</f>
        <v>24</v>
      </c>
      <c r="L1055">
        <f>'[1]Processed Data'!L2550</f>
        <v>36</v>
      </c>
      <c r="M1055">
        <f>'[1]Processed Data'!M2550</f>
        <v>124</v>
      </c>
      <c r="N1055">
        <f>'[1]Processed Data'!N2550</f>
        <v>1</v>
      </c>
      <c r="O1055">
        <f>'[1]Processed Data'!O2550</f>
        <v>0</v>
      </c>
      <c r="P1055">
        <f>'[1]Processed Data'!P2550</f>
        <v>0</v>
      </c>
      <c r="Q1055">
        <f>'[1]Processed Data'!Q2550</f>
        <v>16</v>
      </c>
    </row>
    <row r="1056" spans="2:17" hidden="1">
      <c r="B1056">
        <f>'[1]Processed Data'!B2586</f>
        <v>2004</v>
      </c>
      <c r="C1056">
        <f>'[1]Processed Data'!C2586</f>
        <v>1</v>
      </c>
      <c r="D1056" t="str">
        <f>'[1]Processed Data'!D2586</f>
        <v>Tom Brady</v>
      </c>
      <c r="E1056">
        <v>2018</v>
      </c>
      <c r="F1056">
        <f>'[1]Processed Data'!F2586</f>
        <v>288</v>
      </c>
      <c r="G1056">
        <f>'[1]Processed Data'!G2586</f>
        <v>474</v>
      </c>
      <c r="H1056">
        <f>'[1]Processed Data'!H2586</f>
        <v>60.8</v>
      </c>
      <c r="I1056">
        <f>'[1]Processed Data'!I2586</f>
        <v>28</v>
      </c>
      <c r="J1056">
        <f>'[1]Processed Data'!J2586</f>
        <v>14</v>
      </c>
      <c r="K1056">
        <f>'[1]Processed Data'!K2586</f>
        <v>26</v>
      </c>
      <c r="L1056">
        <f>'[1]Processed Data'!L2586</f>
        <v>43</v>
      </c>
      <c r="M1056">
        <f>'[1]Processed Data'!M2586</f>
        <v>28</v>
      </c>
      <c r="N1056">
        <f>'[1]Processed Data'!N2586</f>
        <v>0</v>
      </c>
      <c r="O1056">
        <f>'[1]Processed Data'!O2586</f>
        <v>5</v>
      </c>
      <c r="P1056">
        <f>'[1]Processed Data'!P2586</f>
        <v>224.4</v>
      </c>
      <c r="Q1056">
        <f>'[1]Processed Data'!Q2586</f>
        <v>16</v>
      </c>
    </row>
    <row r="1057" spans="2:17" hidden="1">
      <c r="B1057">
        <f>'[1]Processed Data'!B2587</f>
        <v>2004</v>
      </c>
      <c r="C1057">
        <f>'[1]Processed Data'!C2587</f>
        <v>2</v>
      </c>
      <c r="D1057" t="str">
        <f>'[1]Processed Data'!D2587</f>
        <v>Ben Roethlisberger</v>
      </c>
      <c r="E1057">
        <v>2018</v>
      </c>
      <c r="F1057">
        <f>'[1]Processed Data'!F2587</f>
        <v>196</v>
      </c>
      <c r="G1057">
        <f>'[1]Processed Data'!G2587</f>
        <v>295</v>
      </c>
      <c r="H1057">
        <f>'[1]Processed Data'!H2587</f>
        <v>66.400000000000006</v>
      </c>
      <c r="I1057">
        <f>'[1]Processed Data'!I2587</f>
        <v>17</v>
      </c>
      <c r="J1057">
        <f>'[1]Processed Data'!J2587</f>
        <v>11</v>
      </c>
      <c r="K1057">
        <f>'[1]Processed Data'!K2587</f>
        <v>30</v>
      </c>
      <c r="L1057">
        <f>'[1]Processed Data'!L2587</f>
        <v>56</v>
      </c>
      <c r="M1057">
        <f>'[1]Processed Data'!M2587</f>
        <v>144</v>
      </c>
      <c r="N1057">
        <f>'[1]Processed Data'!N2587</f>
        <v>1</v>
      </c>
      <c r="O1057">
        <f>'[1]Processed Data'!O2587</f>
        <v>2</v>
      </c>
      <c r="P1057">
        <f>'[1]Processed Data'!P2587</f>
        <v>167</v>
      </c>
      <c r="Q1057">
        <f>'[1]Processed Data'!Q2587</f>
        <v>14</v>
      </c>
    </row>
    <row r="1058" spans="2:17" hidden="1">
      <c r="B1058">
        <f>'[1]Processed Data'!B2588</f>
        <v>2004</v>
      </c>
      <c r="C1058">
        <f>'[1]Processed Data'!C2588</f>
        <v>3</v>
      </c>
      <c r="D1058" t="str">
        <f>'[1]Processed Data'!D2588</f>
        <v>Josh McCown</v>
      </c>
      <c r="E1058">
        <v>2018</v>
      </c>
      <c r="F1058">
        <f>'[1]Processed Data'!F2588</f>
        <v>233</v>
      </c>
      <c r="G1058">
        <f>'[1]Processed Data'!G2588</f>
        <v>408</v>
      </c>
      <c r="H1058">
        <f>'[1]Processed Data'!H2588</f>
        <v>57.1</v>
      </c>
      <c r="I1058">
        <f>'[1]Processed Data'!I2588</f>
        <v>11</v>
      </c>
      <c r="J1058">
        <f>'[1]Processed Data'!J2588</f>
        <v>10</v>
      </c>
      <c r="K1058">
        <f>'[1]Processed Data'!K2588</f>
        <v>31</v>
      </c>
      <c r="L1058">
        <f>'[1]Processed Data'!L2588</f>
        <v>36</v>
      </c>
      <c r="M1058">
        <f>'[1]Processed Data'!M2588</f>
        <v>112</v>
      </c>
      <c r="N1058">
        <f>'[1]Processed Data'!N2588</f>
        <v>2</v>
      </c>
      <c r="O1058">
        <f>'[1]Processed Data'!O2588</f>
        <v>5</v>
      </c>
      <c r="P1058">
        <f>'[1]Processed Data'!P2588</f>
        <v>137.6</v>
      </c>
      <c r="Q1058">
        <f>'[1]Processed Data'!Q2588</f>
        <v>14</v>
      </c>
    </row>
    <row r="1059" spans="2:17" hidden="1">
      <c r="B1059">
        <f>'[1]Processed Data'!B2589</f>
        <v>2004</v>
      </c>
      <c r="C1059">
        <f>'[1]Processed Data'!C2589</f>
        <v>4</v>
      </c>
      <c r="D1059" t="str">
        <f>'[1]Processed Data'!D2589</f>
        <v>Luke McCown</v>
      </c>
      <c r="E1059">
        <v>2018</v>
      </c>
      <c r="F1059">
        <f>'[1]Processed Data'!F2589</f>
        <v>48</v>
      </c>
      <c r="G1059">
        <f>'[1]Processed Data'!G2589</f>
        <v>98</v>
      </c>
      <c r="H1059">
        <f>'[1]Processed Data'!H2589</f>
        <v>49</v>
      </c>
      <c r="I1059">
        <f>'[1]Processed Data'!I2589</f>
        <v>4</v>
      </c>
      <c r="J1059">
        <f>'[1]Processed Data'!J2589</f>
        <v>7</v>
      </c>
      <c r="K1059">
        <f>'[1]Processed Data'!K2589</f>
        <v>12</v>
      </c>
      <c r="L1059">
        <f>'[1]Processed Data'!L2589</f>
        <v>6</v>
      </c>
      <c r="M1059">
        <f>'[1]Processed Data'!M2589</f>
        <v>25</v>
      </c>
      <c r="N1059">
        <f>'[1]Processed Data'!N2589</f>
        <v>0</v>
      </c>
      <c r="O1059">
        <f>'[1]Processed Data'!O2589</f>
        <v>0</v>
      </c>
      <c r="P1059">
        <f>'[1]Processed Data'!P2589</f>
        <v>28.8</v>
      </c>
      <c r="Q1059">
        <f>'[1]Processed Data'!Q2589</f>
        <v>5</v>
      </c>
    </row>
    <row r="1060" spans="2:17" hidden="1">
      <c r="B1060">
        <f>'[1]Processed Data'!B2590</f>
        <v>2004</v>
      </c>
      <c r="C1060">
        <f>'[1]Processed Data'!C2590</f>
        <v>5</v>
      </c>
      <c r="D1060" t="str">
        <f>'[1]Processed Data'!D2590</f>
        <v>Matt Schaub</v>
      </c>
      <c r="E1060">
        <v>2018</v>
      </c>
      <c r="F1060">
        <f>'[1]Processed Data'!F2590</f>
        <v>33</v>
      </c>
      <c r="G1060">
        <f>'[1]Processed Data'!G2590</f>
        <v>70</v>
      </c>
      <c r="H1060">
        <f>'[1]Processed Data'!H2590</f>
        <v>47.1</v>
      </c>
      <c r="I1060">
        <f>'[1]Processed Data'!I2590</f>
        <v>1</v>
      </c>
      <c r="J1060">
        <f>'[1]Processed Data'!J2590</f>
        <v>4</v>
      </c>
      <c r="K1060">
        <f>'[1]Processed Data'!K2590</f>
        <v>4</v>
      </c>
      <c r="L1060">
        <f>'[1]Processed Data'!L2590</f>
        <v>8</v>
      </c>
      <c r="M1060">
        <f>'[1]Processed Data'!M2590</f>
        <v>26</v>
      </c>
      <c r="N1060">
        <f>'[1]Processed Data'!N2590</f>
        <v>0</v>
      </c>
      <c r="O1060">
        <f>'[1]Processed Data'!O2590</f>
        <v>0</v>
      </c>
      <c r="P1060">
        <f>'[1]Processed Data'!P2590</f>
        <v>11.8</v>
      </c>
      <c r="Q1060">
        <f>'[1]Processed Data'!Q2590</f>
        <v>6</v>
      </c>
    </row>
    <row r="1061" spans="2:17" hidden="1">
      <c r="B1061">
        <f>'[1]Processed Data'!B2663</f>
        <v>2004</v>
      </c>
      <c r="C1061">
        <f>'[1]Processed Data'!C2663</f>
        <v>78</v>
      </c>
      <c r="D1061" t="str">
        <f>'[1]Processed Data'!D2663</f>
        <v>David Carr</v>
      </c>
      <c r="E1061">
        <v>2018</v>
      </c>
      <c r="F1061">
        <f>'[1]Processed Data'!F2663</f>
        <v>285</v>
      </c>
      <c r="G1061">
        <f>'[1]Processed Data'!G2663</f>
        <v>466</v>
      </c>
      <c r="H1061">
        <f>'[1]Processed Data'!H2663</f>
        <v>61.2</v>
      </c>
      <c r="I1061">
        <f>'[1]Processed Data'!I2663</f>
        <v>16</v>
      </c>
      <c r="J1061">
        <f>'[1]Processed Data'!J2663</f>
        <v>14</v>
      </c>
      <c r="K1061">
        <f>'[1]Processed Data'!K2663</f>
        <v>49</v>
      </c>
      <c r="L1061">
        <f>'[1]Processed Data'!L2663</f>
        <v>73</v>
      </c>
      <c r="M1061">
        <f>'[1]Processed Data'!M2663</f>
        <v>299</v>
      </c>
      <c r="N1061">
        <f>'[1]Processed Data'!N2663</f>
        <v>0</v>
      </c>
      <c r="O1061">
        <f>'[1]Processed Data'!O2663</f>
        <v>2</v>
      </c>
      <c r="P1061">
        <f>'[1]Processed Data'!P2663</f>
        <v>0</v>
      </c>
      <c r="Q1061">
        <f>'[1]Processed Data'!Q2663</f>
        <v>16</v>
      </c>
    </row>
    <row r="1062" spans="2:17" hidden="1">
      <c r="B1062">
        <f>'[1]Processed Data'!B2664</f>
        <v>2004</v>
      </c>
      <c r="C1062">
        <f>'[1]Processed Data'!C2664</f>
        <v>79</v>
      </c>
      <c r="D1062" t="str">
        <f>'[1]Processed Data'!D2664</f>
        <v>Drew Brees</v>
      </c>
      <c r="E1062">
        <v>2018</v>
      </c>
      <c r="F1062">
        <f>'[1]Processed Data'!F2664</f>
        <v>262</v>
      </c>
      <c r="G1062">
        <f>'[1]Processed Data'!G2664</f>
        <v>400</v>
      </c>
      <c r="H1062">
        <f>'[1]Processed Data'!H2664</f>
        <v>65.5</v>
      </c>
      <c r="I1062">
        <f>'[1]Processed Data'!I2664</f>
        <v>27</v>
      </c>
      <c r="J1062">
        <f>'[1]Processed Data'!J2664</f>
        <v>7</v>
      </c>
      <c r="K1062">
        <f>'[1]Processed Data'!K2664</f>
        <v>18</v>
      </c>
      <c r="L1062">
        <f>'[1]Processed Data'!L2664</f>
        <v>53</v>
      </c>
      <c r="M1062">
        <f>'[1]Processed Data'!M2664</f>
        <v>85</v>
      </c>
      <c r="N1062">
        <f>'[1]Processed Data'!N2664</f>
        <v>2</v>
      </c>
      <c r="O1062">
        <f>'[1]Processed Data'!O2664</f>
        <v>2</v>
      </c>
      <c r="P1062">
        <f>'[1]Processed Data'!P2664</f>
        <v>0</v>
      </c>
      <c r="Q1062">
        <f>'[1]Processed Data'!Q2664</f>
        <v>15</v>
      </c>
    </row>
    <row r="1063" spans="2:17" hidden="1">
      <c r="B1063">
        <f>'[1]Processed Data'!B2665</f>
        <v>2004</v>
      </c>
      <c r="C1063">
        <f>'[1]Processed Data'!C2665</f>
        <v>80</v>
      </c>
      <c r="D1063" t="str">
        <f>'[1]Processed Data'!D2665</f>
        <v>Eli Manning</v>
      </c>
      <c r="E1063">
        <v>2018</v>
      </c>
      <c r="F1063">
        <f>'[1]Processed Data'!F2665</f>
        <v>95</v>
      </c>
      <c r="G1063">
        <f>'[1]Processed Data'!G2665</f>
        <v>197</v>
      </c>
      <c r="H1063">
        <f>'[1]Processed Data'!H2665</f>
        <v>48.2</v>
      </c>
      <c r="I1063">
        <f>'[1]Processed Data'!I2665</f>
        <v>6</v>
      </c>
      <c r="J1063">
        <f>'[1]Processed Data'!J2665</f>
        <v>9</v>
      </c>
      <c r="K1063">
        <f>'[1]Processed Data'!K2665</f>
        <v>13</v>
      </c>
      <c r="L1063">
        <f>'[1]Processed Data'!L2665</f>
        <v>6</v>
      </c>
      <c r="M1063">
        <f>'[1]Processed Data'!M2665</f>
        <v>35</v>
      </c>
      <c r="N1063">
        <f>'[1]Processed Data'!N2665</f>
        <v>0</v>
      </c>
      <c r="O1063">
        <f>'[1]Processed Data'!O2665</f>
        <v>1</v>
      </c>
      <c r="P1063">
        <f>'[1]Processed Data'!P2665</f>
        <v>0</v>
      </c>
      <c r="Q1063">
        <f>'[1]Processed Data'!Q2665</f>
        <v>9</v>
      </c>
    </row>
    <row r="1064" spans="2:17" hidden="1">
      <c r="B1064">
        <f>'[1]Processed Data'!B2670</f>
        <v>2004</v>
      </c>
      <c r="C1064">
        <f>'[1]Processed Data'!C2670</f>
        <v>85</v>
      </c>
      <c r="D1064" t="str">
        <f>'[1]Processed Data'!D2670</f>
        <v>Carson Palmer</v>
      </c>
      <c r="E1064">
        <v>2018</v>
      </c>
      <c r="F1064">
        <f>'[1]Processed Data'!F2670</f>
        <v>263</v>
      </c>
      <c r="G1064">
        <f>'[1]Processed Data'!G2670</f>
        <v>432</v>
      </c>
      <c r="H1064">
        <f>'[1]Processed Data'!H2670</f>
        <v>60.9</v>
      </c>
      <c r="I1064">
        <f>'[1]Processed Data'!I2670</f>
        <v>18</v>
      </c>
      <c r="J1064">
        <f>'[1]Processed Data'!J2670</f>
        <v>18</v>
      </c>
      <c r="K1064">
        <f>'[1]Processed Data'!K2670</f>
        <v>25</v>
      </c>
      <c r="L1064">
        <f>'[1]Processed Data'!L2670</f>
        <v>18</v>
      </c>
      <c r="M1064">
        <f>'[1]Processed Data'!M2670</f>
        <v>47</v>
      </c>
      <c r="N1064">
        <f>'[1]Processed Data'!N2670</f>
        <v>1</v>
      </c>
      <c r="O1064">
        <f>'[1]Processed Data'!O2670</f>
        <v>2</v>
      </c>
      <c r="P1064">
        <f>'[1]Processed Data'!P2670</f>
        <v>0</v>
      </c>
      <c r="Q1064">
        <f>'[1]Processed Data'!Q2670</f>
        <v>13</v>
      </c>
    </row>
    <row r="1065" spans="2:17" hidden="1">
      <c r="B1065">
        <f>'[1]Processed Data'!B2673</f>
        <v>2004</v>
      </c>
      <c r="C1065">
        <f>'[1]Processed Data'!C2673</f>
        <v>88</v>
      </c>
      <c r="D1065" t="str">
        <f>'[1]Processed Data'!D2673</f>
        <v>Peyton Manning</v>
      </c>
      <c r="E1065">
        <v>2018</v>
      </c>
      <c r="F1065">
        <f>'[1]Processed Data'!F2673</f>
        <v>336</v>
      </c>
      <c r="G1065">
        <f>'[1]Processed Data'!G2673</f>
        <v>497</v>
      </c>
      <c r="H1065">
        <f>'[1]Processed Data'!H2673</f>
        <v>67.599999999999994</v>
      </c>
      <c r="I1065">
        <f>'[1]Processed Data'!I2673</f>
        <v>49</v>
      </c>
      <c r="J1065">
        <f>'[1]Processed Data'!J2673</f>
        <v>10</v>
      </c>
      <c r="K1065">
        <f>'[1]Processed Data'!K2673</f>
        <v>13</v>
      </c>
      <c r="L1065">
        <f>'[1]Processed Data'!L2673</f>
        <v>25</v>
      </c>
      <c r="M1065">
        <f>'[1]Processed Data'!M2673</f>
        <v>38</v>
      </c>
      <c r="N1065">
        <f>'[1]Processed Data'!N2673</f>
        <v>0</v>
      </c>
      <c r="O1065">
        <f>'[1]Processed Data'!O2673</f>
        <v>1</v>
      </c>
      <c r="P1065">
        <f>'[1]Processed Data'!P2673</f>
        <v>0</v>
      </c>
      <c r="Q1065">
        <f>'[1]Processed Data'!Q2673</f>
        <v>16</v>
      </c>
    </row>
    <row r="1066" spans="2:17" hidden="1">
      <c r="B1066">
        <f>'[1]Processed Data'!B2674</f>
        <v>2004</v>
      </c>
      <c r="C1066">
        <f>'[1]Processed Data'!C2674</f>
        <v>89</v>
      </c>
      <c r="D1066" t="str">
        <f>'[1]Processed Data'!D2674</f>
        <v>Philip Rivers</v>
      </c>
      <c r="E1066">
        <v>2018</v>
      </c>
      <c r="F1066">
        <f>'[1]Processed Data'!F2674</f>
        <v>5</v>
      </c>
      <c r="G1066">
        <f>'[1]Processed Data'!G2674</f>
        <v>8</v>
      </c>
      <c r="H1066">
        <f>'[1]Processed Data'!H2674</f>
        <v>62.5</v>
      </c>
      <c r="I1066">
        <f>'[1]Processed Data'!I2674</f>
        <v>1</v>
      </c>
      <c r="J1066">
        <f>'[1]Processed Data'!J2674</f>
        <v>0</v>
      </c>
      <c r="K1066">
        <f>'[1]Processed Data'!K2674</f>
        <v>1</v>
      </c>
      <c r="L1066">
        <f>'[1]Processed Data'!L2674</f>
        <v>4</v>
      </c>
      <c r="M1066">
        <f>'[1]Processed Data'!M2674</f>
        <v>-5</v>
      </c>
      <c r="N1066">
        <f>'[1]Processed Data'!N2674</f>
        <v>0</v>
      </c>
      <c r="O1066">
        <f>'[1]Processed Data'!O2674</f>
        <v>0</v>
      </c>
      <c r="P1066">
        <f>'[1]Processed Data'!P2674</f>
        <v>0</v>
      </c>
      <c r="Q1066">
        <f>'[1]Processed Data'!Q2674</f>
        <v>2</v>
      </c>
    </row>
    <row r="1067" spans="2:17" hidden="1">
      <c r="B1067">
        <f>'[1]Processed Data'!B2675</f>
        <v>2004</v>
      </c>
      <c r="C1067">
        <f>'[1]Processed Data'!C2675</f>
        <v>90</v>
      </c>
      <c r="D1067" t="str">
        <f>'[1]Processed Data'!D2675</f>
        <v>Rex Grossman</v>
      </c>
      <c r="E1067">
        <v>2018</v>
      </c>
      <c r="F1067">
        <f>'[1]Processed Data'!F2675</f>
        <v>47</v>
      </c>
      <c r="G1067">
        <f>'[1]Processed Data'!G2675</f>
        <v>84</v>
      </c>
      <c r="H1067">
        <f>'[1]Processed Data'!H2675</f>
        <v>56</v>
      </c>
      <c r="I1067">
        <f>'[1]Processed Data'!I2675</f>
        <v>1</v>
      </c>
      <c r="J1067">
        <f>'[1]Processed Data'!J2675</f>
        <v>3</v>
      </c>
      <c r="K1067">
        <f>'[1]Processed Data'!K2675</f>
        <v>5</v>
      </c>
      <c r="L1067">
        <f>'[1]Processed Data'!L2675</f>
        <v>11</v>
      </c>
      <c r="M1067">
        <f>'[1]Processed Data'!M2675</f>
        <v>48</v>
      </c>
      <c r="N1067">
        <f>'[1]Processed Data'!N2675</f>
        <v>1</v>
      </c>
      <c r="O1067">
        <f>'[1]Processed Data'!O2675</f>
        <v>2</v>
      </c>
      <c r="P1067">
        <f>'[1]Processed Data'!P2675</f>
        <v>0</v>
      </c>
      <c r="Q1067">
        <f>'[1]Processed Data'!Q2675</f>
        <v>3</v>
      </c>
    </row>
    <row r="1068" spans="2:17" hidden="1">
      <c r="B1068">
        <f>'[1]Processed Data'!B2678</f>
        <v>2004</v>
      </c>
      <c r="C1068">
        <f>'[1]Processed Data'!C2678</f>
        <v>93</v>
      </c>
      <c r="D1068" t="str">
        <f>'[1]Processed Data'!D2678</f>
        <v>Tony Romo</v>
      </c>
      <c r="E1068">
        <v>2018</v>
      </c>
      <c r="F1068">
        <f>'[1]Processed Data'!F2678</f>
        <v>0</v>
      </c>
      <c r="G1068">
        <f>'[1]Processed Data'!G2678</f>
        <v>0</v>
      </c>
      <c r="H1068">
        <f>'[1]Processed Data'!H2678</f>
        <v>0</v>
      </c>
      <c r="I1068">
        <f>'[1]Processed Data'!I2678</f>
        <v>0</v>
      </c>
      <c r="J1068">
        <f>'[1]Processed Data'!J2678</f>
        <v>0</v>
      </c>
      <c r="K1068">
        <f>'[1]Processed Data'!K2678</f>
        <v>0</v>
      </c>
      <c r="L1068">
        <f>'[1]Processed Data'!L2678</f>
        <v>0</v>
      </c>
      <c r="M1068">
        <f>'[1]Processed Data'!M2678</f>
        <v>0</v>
      </c>
      <c r="N1068">
        <f>'[1]Processed Data'!N2678</f>
        <v>0</v>
      </c>
      <c r="O1068">
        <f>'[1]Processed Data'!O2678</f>
        <v>0</v>
      </c>
      <c r="P1068">
        <f>'[1]Processed Data'!P2678</f>
        <v>0</v>
      </c>
      <c r="Q1068">
        <f>'[1]Processed Data'!Q2678</f>
        <v>3</v>
      </c>
    </row>
    <row r="1069" spans="2:17" hidden="1">
      <c r="B1069">
        <f>'[1]Processed Data'!B2679</f>
        <v>2004</v>
      </c>
      <c r="C1069">
        <f>'[1]Processed Data'!C2679</f>
        <v>94</v>
      </c>
      <c r="D1069" t="str">
        <f>'[1]Processed Data'!D2679</f>
        <v>Michael Vick</v>
      </c>
      <c r="E1069">
        <v>2018</v>
      </c>
      <c r="F1069">
        <f>'[1]Processed Data'!F2679</f>
        <v>181</v>
      </c>
      <c r="G1069">
        <f>'[1]Processed Data'!G2679</f>
        <v>321</v>
      </c>
      <c r="H1069">
        <f>'[1]Processed Data'!H2679</f>
        <v>56.4</v>
      </c>
      <c r="I1069">
        <f>'[1]Processed Data'!I2679</f>
        <v>14</v>
      </c>
      <c r="J1069">
        <f>'[1]Processed Data'!J2679</f>
        <v>12</v>
      </c>
      <c r="K1069">
        <f>'[1]Processed Data'!K2679</f>
        <v>46</v>
      </c>
      <c r="L1069">
        <f>'[1]Processed Data'!L2679</f>
        <v>120</v>
      </c>
      <c r="M1069">
        <f>'[1]Processed Data'!M2679</f>
        <v>902</v>
      </c>
      <c r="N1069">
        <f>'[1]Processed Data'!N2679</f>
        <v>3</v>
      </c>
      <c r="O1069">
        <f>'[1]Processed Data'!O2679</f>
        <v>7</v>
      </c>
      <c r="P1069">
        <f>'[1]Processed Data'!P2679</f>
        <v>0</v>
      </c>
      <c r="Q1069">
        <f>'[1]Processed Data'!Q2679</f>
        <v>15</v>
      </c>
    </row>
    <row r="1070" spans="2:17" hidden="1">
      <c r="B1070">
        <f>'[1]Processed Data'!B2683</f>
        <v>2004</v>
      </c>
      <c r="C1070">
        <f>'[1]Processed Data'!C2683</f>
        <v>98</v>
      </c>
      <c r="D1070" t="str">
        <f>'[1]Processed Data'!D2683</f>
        <v>Matt Hasselbeck</v>
      </c>
      <c r="E1070">
        <v>2018</v>
      </c>
      <c r="F1070">
        <f>'[1]Processed Data'!F2683</f>
        <v>279</v>
      </c>
      <c r="G1070">
        <f>'[1]Processed Data'!G2683</f>
        <v>474</v>
      </c>
      <c r="H1070">
        <f>'[1]Processed Data'!H2683</f>
        <v>58.9</v>
      </c>
      <c r="I1070">
        <f>'[1]Processed Data'!I2683</f>
        <v>22</v>
      </c>
      <c r="J1070">
        <f>'[1]Processed Data'!J2683</f>
        <v>15</v>
      </c>
      <c r="K1070">
        <f>'[1]Processed Data'!K2683</f>
        <v>30</v>
      </c>
      <c r="L1070">
        <f>'[1]Processed Data'!L2683</f>
        <v>27</v>
      </c>
      <c r="M1070">
        <f>'[1]Processed Data'!M2683</f>
        <v>90</v>
      </c>
      <c r="N1070">
        <f>'[1]Processed Data'!N2683</f>
        <v>1</v>
      </c>
      <c r="O1070">
        <f>'[1]Processed Data'!O2683</f>
        <v>1</v>
      </c>
      <c r="P1070">
        <f>'[1]Processed Data'!P2683</f>
        <v>0</v>
      </c>
      <c r="Q1070">
        <f>'[1]Processed Data'!Q2683</f>
        <v>14</v>
      </c>
    </row>
    <row r="1071" spans="2:17" hidden="1">
      <c r="B1071">
        <f>'[1]Processed Data'!B2719</f>
        <v>2003</v>
      </c>
      <c r="C1071">
        <f>'[1]Processed Data'!C2719</f>
        <v>1</v>
      </c>
      <c r="D1071" t="str">
        <f>'[1]Processed Data'!D2719</f>
        <v>Tom Brady</v>
      </c>
      <c r="E1071">
        <v>2018</v>
      </c>
      <c r="F1071">
        <f>'[1]Processed Data'!F2719</f>
        <v>317</v>
      </c>
      <c r="G1071">
        <f>'[1]Processed Data'!G2719</f>
        <v>527</v>
      </c>
      <c r="H1071">
        <f>'[1]Processed Data'!H2719</f>
        <v>60.2</v>
      </c>
      <c r="I1071">
        <f>'[1]Processed Data'!I2719</f>
        <v>23</v>
      </c>
      <c r="J1071">
        <f>'[1]Processed Data'!J2719</f>
        <v>12</v>
      </c>
      <c r="K1071">
        <f>'[1]Processed Data'!K2719</f>
        <v>32</v>
      </c>
      <c r="L1071">
        <f>'[1]Processed Data'!L2719</f>
        <v>42</v>
      </c>
      <c r="M1071">
        <f>'[1]Processed Data'!M2719</f>
        <v>63</v>
      </c>
      <c r="N1071">
        <f>'[1]Processed Data'!N2719</f>
        <v>1</v>
      </c>
      <c r="O1071">
        <f>'[1]Processed Data'!O2719</f>
        <v>5</v>
      </c>
      <c r="P1071">
        <f>'[1]Processed Data'!P2719</f>
        <v>215.1</v>
      </c>
      <c r="Q1071">
        <f>'[1]Processed Data'!Q2719</f>
        <v>16</v>
      </c>
    </row>
    <row r="1072" spans="2:17" hidden="1">
      <c r="B1072">
        <f>'[1]Processed Data'!B2720</f>
        <v>2003</v>
      </c>
      <c r="C1072">
        <f>'[1]Processed Data'!C2720</f>
        <v>2</v>
      </c>
      <c r="D1072" t="str">
        <f>'[1]Processed Data'!D2720</f>
        <v>Josh McCown</v>
      </c>
      <c r="E1072">
        <v>2018</v>
      </c>
      <c r="F1072">
        <f>'[1]Processed Data'!F2720</f>
        <v>95</v>
      </c>
      <c r="G1072">
        <f>'[1]Processed Data'!G2720</f>
        <v>166</v>
      </c>
      <c r="H1072">
        <f>'[1]Processed Data'!H2720</f>
        <v>57.2</v>
      </c>
      <c r="I1072">
        <f>'[1]Processed Data'!I2720</f>
        <v>5</v>
      </c>
      <c r="J1072">
        <f>'[1]Processed Data'!J2720</f>
        <v>6</v>
      </c>
      <c r="K1072">
        <f>'[1]Processed Data'!K2720</f>
        <v>25</v>
      </c>
      <c r="L1072">
        <f>'[1]Processed Data'!L2720</f>
        <v>28</v>
      </c>
      <c r="M1072">
        <f>'[1]Processed Data'!M2720</f>
        <v>158</v>
      </c>
      <c r="N1072">
        <f>'[1]Processed Data'!N2720</f>
        <v>1</v>
      </c>
      <c r="O1072">
        <f>'[1]Processed Data'!O2720</f>
        <v>2</v>
      </c>
      <c r="P1072">
        <f>'[1]Processed Data'!P2720</f>
        <v>66.599999999999994</v>
      </c>
      <c r="Q1072">
        <f>'[1]Processed Data'!Q2720</f>
        <v>8</v>
      </c>
    </row>
    <row r="1073" spans="2:17" hidden="1">
      <c r="B1073">
        <f>'[1]Processed Data'!B2795</f>
        <v>2003</v>
      </c>
      <c r="C1073">
        <f>'[1]Processed Data'!C2795</f>
        <v>77</v>
      </c>
      <c r="D1073" t="str">
        <f>'[1]Processed Data'!D2795</f>
        <v>David Carr</v>
      </c>
      <c r="E1073">
        <v>2018</v>
      </c>
      <c r="F1073">
        <f>'[1]Processed Data'!F2795</f>
        <v>167</v>
      </c>
      <c r="G1073">
        <f>'[1]Processed Data'!G2795</f>
        <v>295</v>
      </c>
      <c r="H1073">
        <f>'[1]Processed Data'!H2795</f>
        <v>56.6</v>
      </c>
      <c r="I1073">
        <f>'[1]Processed Data'!I2795</f>
        <v>9</v>
      </c>
      <c r="J1073">
        <f>'[1]Processed Data'!J2795</f>
        <v>13</v>
      </c>
      <c r="K1073">
        <f>'[1]Processed Data'!K2795</f>
        <v>15</v>
      </c>
      <c r="L1073">
        <f>'[1]Processed Data'!L2795</f>
        <v>27</v>
      </c>
      <c r="M1073">
        <f>'[1]Processed Data'!M2795</f>
        <v>151</v>
      </c>
      <c r="N1073">
        <f>'[1]Processed Data'!N2795</f>
        <v>2</v>
      </c>
      <c r="O1073">
        <f>'[1]Processed Data'!O2795</f>
        <v>0</v>
      </c>
      <c r="P1073">
        <f>'[1]Processed Data'!P2795</f>
        <v>0</v>
      </c>
      <c r="Q1073">
        <f>'[1]Processed Data'!Q2795</f>
        <v>12</v>
      </c>
    </row>
    <row r="1074" spans="2:17" hidden="1">
      <c r="B1074">
        <f>'[1]Processed Data'!B2797</f>
        <v>2003</v>
      </c>
      <c r="C1074">
        <f>'[1]Processed Data'!C2797</f>
        <v>79</v>
      </c>
      <c r="D1074" t="str">
        <f>'[1]Processed Data'!D2797</f>
        <v>Drew Brees</v>
      </c>
      <c r="E1074">
        <v>2018</v>
      </c>
      <c r="F1074">
        <f>'[1]Processed Data'!F2797</f>
        <v>205</v>
      </c>
      <c r="G1074">
        <f>'[1]Processed Data'!G2797</f>
        <v>356</v>
      </c>
      <c r="H1074">
        <f>'[1]Processed Data'!H2797</f>
        <v>57.6</v>
      </c>
      <c r="I1074">
        <f>'[1]Processed Data'!I2797</f>
        <v>11</v>
      </c>
      <c r="J1074">
        <f>'[1]Processed Data'!J2797</f>
        <v>15</v>
      </c>
      <c r="K1074">
        <f>'[1]Processed Data'!K2797</f>
        <v>21</v>
      </c>
      <c r="L1074">
        <f>'[1]Processed Data'!L2797</f>
        <v>21</v>
      </c>
      <c r="M1074">
        <f>'[1]Processed Data'!M2797</f>
        <v>84</v>
      </c>
      <c r="N1074">
        <f>'[1]Processed Data'!N2797</f>
        <v>0</v>
      </c>
      <c r="O1074">
        <f>'[1]Processed Data'!O2797</f>
        <v>3</v>
      </c>
      <c r="P1074">
        <f>'[1]Processed Data'!P2797</f>
        <v>0</v>
      </c>
      <c r="Q1074">
        <f>'[1]Processed Data'!Q2797</f>
        <v>11</v>
      </c>
    </row>
    <row r="1075" spans="2:17" hidden="1">
      <c r="B1075">
        <f>'[1]Processed Data'!B2802</f>
        <v>2003</v>
      </c>
      <c r="C1075">
        <f>'[1]Processed Data'!C2802</f>
        <v>84</v>
      </c>
      <c r="D1075" t="str">
        <f>'[1]Processed Data'!D2802</f>
        <v>Rex Grossman</v>
      </c>
      <c r="E1075">
        <v>2018</v>
      </c>
      <c r="F1075">
        <f>'[1]Processed Data'!F2802</f>
        <v>38</v>
      </c>
      <c r="G1075">
        <f>'[1]Processed Data'!G2802</f>
        <v>72</v>
      </c>
      <c r="H1075">
        <f>'[1]Processed Data'!H2802</f>
        <v>52.8</v>
      </c>
      <c r="I1075">
        <f>'[1]Processed Data'!I2802</f>
        <v>2</v>
      </c>
      <c r="J1075">
        <f>'[1]Processed Data'!J2802</f>
        <v>1</v>
      </c>
      <c r="K1075">
        <f>'[1]Processed Data'!K2802</f>
        <v>4</v>
      </c>
      <c r="L1075">
        <f>'[1]Processed Data'!L2802</f>
        <v>3</v>
      </c>
      <c r="M1075">
        <f>'[1]Processed Data'!M2802</f>
        <v>-1</v>
      </c>
      <c r="N1075">
        <f>'[1]Processed Data'!N2802</f>
        <v>0</v>
      </c>
      <c r="O1075">
        <f>'[1]Processed Data'!O2802</f>
        <v>0</v>
      </c>
      <c r="P1075">
        <f>'[1]Processed Data'!P2802</f>
        <v>0</v>
      </c>
      <c r="Q1075">
        <f>'[1]Processed Data'!Q2802</f>
        <v>3</v>
      </c>
    </row>
    <row r="1076" spans="2:17" hidden="1">
      <c r="B1076">
        <f>'[1]Processed Data'!B2804</f>
        <v>2003</v>
      </c>
      <c r="C1076">
        <f>'[1]Processed Data'!C2804</f>
        <v>86</v>
      </c>
      <c r="D1076" t="str">
        <f>'[1]Processed Data'!D2804</f>
        <v>Michael Vick</v>
      </c>
      <c r="E1076">
        <v>2018</v>
      </c>
      <c r="F1076">
        <f>'[1]Processed Data'!F2804</f>
        <v>50</v>
      </c>
      <c r="G1076">
        <f>'[1]Processed Data'!G2804</f>
        <v>100</v>
      </c>
      <c r="H1076">
        <f>'[1]Processed Data'!H2804</f>
        <v>50</v>
      </c>
      <c r="I1076">
        <f>'[1]Processed Data'!I2804</f>
        <v>4</v>
      </c>
      <c r="J1076">
        <f>'[1]Processed Data'!J2804</f>
        <v>3</v>
      </c>
      <c r="K1076">
        <f>'[1]Processed Data'!K2804</f>
        <v>9</v>
      </c>
      <c r="L1076">
        <f>'[1]Processed Data'!L2804</f>
        <v>40</v>
      </c>
      <c r="M1076">
        <f>'[1]Processed Data'!M2804</f>
        <v>255</v>
      </c>
      <c r="N1076">
        <f>'[1]Processed Data'!N2804</f>
        <v>1</v>
      </c>
      <c r="O1076">
        <f>'[1]Processed Data'!O2804</f>
        <v>1</v>
      </c>
      <c r="P1076">
        <f>'[1]Processed Data'!P2804</f>
        <v>0</v>
      </c>
      <c r="Q1076">
        <f>'[1]Processed Data'!Q2804</f>
        <v>5</v>
      </c>
    </row>
    <row r="1077" spans="2:17" hidden="1">
      <c r="B1077">
        <f>'[1]Processed Data'!B2805</f>
        <v>2003</v>
      </c>
      <c r="C1077">
        <f>'[1]Processed Data'!C2805</f>
        <v>87</v>
      </c>
      <c r="D1077" t="str">
        <f>'[1]Processed Data'!D2805</f>
        <v>Peyton Manning</v>
      </c>
      <c r="E1077">
        <v>2018</v>
      </c>
      <c r="F1077">
        <f>'[1]Processed Data'!F2805</f>
        <v>379</v>
      </c>
      <c r="G1077">
        <f>'[1]Processed Data'!G2805</f>
        <v>566</v>
      </c>
      <c r="H1077">
        <f>'[1]Processed Data'!H2805</f>
        <v>67</v>
      </c>
      <c r="I1077">
        <f>'[1]Processed Data'!I2805</f>
        <v>29</v>
      </c>
      <c r="J1077">
        <f>'[1]Processed Data'!J2805</f>
        <v>10</v>
      </c>
      <c r="K1077">
        <f>'[1]Processed Data'!K2805</f>
        <v>18</v>
      </c>
      <c r="L1077">
        <f>'[1]Processed Data'!L2805</f>
        <v>28</v>
      </c>
      <c r="M1077">
        <f>'[1]Processed Data'!M2805</f>
        <v>26</v>
      </c>
      <c r="N1077">
        <f>'[1]Processed Data'!N2805</f>
        <v>0</v>
      </c>
      <c r="O1077">
        <f>'[1]Processed Data'!O2805</f>
        <v>1</v>
      </c>
      <c r="P1077">
        <f>'[1]Processed Data'!P2805</f>
        <v>0</v>
      </c>
      <c r="Q1077">
        <f>'[1]Processed Data'!Q2805</f>
        <v>16</v>
      </c>
    </row>
    <row r="1078" spans="2:17" hidden="1">
      <c r="B1078">
        <f>'[1]Processed Data'!B2811</f>
        <v>2003</v>
      </c>
      <c r="C1078">
        <f>'[1]Processed Data'!C2811</f>
        <v>93</v>
      </c>
      <c r="D1078" t="str">
        <f>'[1]Processed Data'!D2811</f>
        <v>Matt Hasselbeck</v>
      </c>
      <c r="E1078">
        <v>2018</v>
      </c>
      <c r="F1078">
        <f>'[1]Processed Data'!F2811</f>
        <v>313</v>
      </c>
      <c r="G1078">
        <f>'[1]Processed Data'!G2811</f>
        <v>513</v>
      </c>
      <c r="H1078">
        <f>'[1]Processed Data'!H2811</f>
        <v>61</v>
      </c>
      <c r="I1078">
        <f>'[1]Processed Data'!I2811</f>
        <v>26</v>
      </c>
      <c r="J1078">
        <f>'[1]Processed Data'!J2811</f>
        <v>15</v>
      </c>
      <c r="K1078">
        <f>'[1]Processed Data'!K2811</f>
        <v>42</v>
      </c>
      <c r="L1078">
        <f>'[1]Processed Data'!L2811</f>
        <v>36</v>
      </c>
      <c r="M1078">
        <f>'[1]Processed Data'!M2811</f>
        <v>125</v>
      </c>
      <c r="N1078">
        <f>'[1]Processed Data'!N2811</f>
        <v>2</v>
      </c>
      <c r="O1078">
        <f>'[1]Processed Data'!O2811</f>
        <v>1</v>
      </c>
      <c r="P1078">
        <f>'[1]Processed Data'!P2811</f>
        <v>0</v>
      </c>
      <c r="Q1078">
        <f>'[1]Processed Data'!Q2811</f>
        <v>16</v>
      </c>
    </row>
    <row r="1079" spans="2:17" hidden="1">
      <c r="B1079">
        <f>'[1]Processed Data'!B2845</f>
        <v>2002</v>
      </c>
      <c r="C1079">
        <f>'[1]Processed Data'!C2845</f>
        <v>1</v>
      </c>
      <c r="D1079" t="str">
        <f>'[1]Processed Data'!D2845</f>
        <v>Tom Brady</v>
      </c>
      <c r="E1079">
        <v>2018</v>
      </c>
      <c r="F1079">
        <f>'[1]Processed Data'!F2845</f>
        <v>373</v>
      </c>
      <c r="G1079">
        <f>'[1]Processed Data'!G2845</f>
        <v>601</v>
      </c>
      <c r="H1079">
        <f>'[1]Processed Data'!H2845</f>
        <v>62.1</v>
      </c>
      <c r="I1079">
        <f>'[1]Processed Data'!I2845</f>
        <v>28</v>
      </c>
      <c r="J1079">
        <f>'[1]Processed Data'!J2845</f>
        <v>14</v>
      </c>
      <c r="K1079">
        <f>'[1]Processed Data'!K2845</f>
        <v>31</v>
      </c>
      <c r="L1079">
        <f>'[1]Processed Data'!L2845</f>
        <v>42</v>
      </c>
      <c r="M1079">
        <f>'[1]Processed Data'!M2845</f>
        <v>110</v>
      </c>
      <c r="N1079">
        <f>'[1]Processed Data'!N2845</f>
        <v>1</v>
      </c>
      <c r="O1079">
        <f>'[1]Processed Data'!O2845</f>
        <v>5</v>
      </c>
      <c r="P1079">
        <f>'[1]Processed Data'!P2845</f>
        <v>241.6</v>
      </c>
      <c r="Q1079">
        <f>'[1]Processed Data'!Q2845</f>
        <v>16</v>
      </c>
    </row>
    <row r="1080" spans="2:17" hidden="1">
      <c r="B1080">
        <f>'[1]Processed Data'!B2920</f>
        <v>2002</v>
      </c>
      <c r="C1080">
        <f>'[1]Processed Data'!C2920</f>
        <v>76</v>
      </c>
      <c r="D1080" t="str">
        <f>'[1]Processed Data'!D2920</f>
        <v>David Carr</v>
      </c>
      <c r="E1080">
        <v>2018</v>
      </c>
      <c r="F1080">
        <f>'[1]Processed Data'!F2920</f>
        <v>233</v>
      </c>
      <c r="G1080">
        <f>'[1]Processed Data'!G2920</f>
        <v>444</v>
      </c>
      <c r="H1080">
        <f>'[1]Processed Data'!H2920</f>
        <v>52.5</v>
      </c>
      <c r="I1080">
        <f>'[1]Processed Data'!I2920</f>
        <v>9</v>
      </c>
      <c r="J1080">
        <f>'[1]Processed Data'!J2920</f>
        <v>15</v>
      </c>
      <c r="K1080">
        <f>'[1]Processed Data'!K2920</f>
        <v>76</v>
      </c>
      <c r="L1080">
        <f>'[1]Processed Data'!L2920</f>
        <v>59</v>
      </c>
      <c r="M1080">
        <f>'[1]Processed Data'!M2920</f>
        <v>282</v>
      </c>
      <c r="N1080">
        <f>'[1]Processed Data'!N2920</f>
        <v>3</v>
      </c>
      <c r="O1080">
        <f>'[1]Processed Data'!O2920</f>
        <v>7</v>
      </c>
      <c r="P1080">
        <f>'[1]Processed Data'!P2920</f>
        <v>0</v>
      </c>
      <c r="Q1080">
        <f>'[1]Processed Data'!Q2920</f>
        <v>16</v>
      </c>
    </row>
    <row r="1081" spans="2:17" hidden="1">
      <c r="B1081">
        <f>'[1]Processed Data'!B2922</f>
        <v>2002</v>
      </c>
      <c r="C1081">
        <f>'[1]Processed Data'!C2922</f>
        <v>78</v>
      </c>
      <c r="D1081" t="str">
        <f>'[1]Processed Data'!D2922</f>
        <v>Drew Brees</v>
      </c>
      <c r="E1081">
        <v>2018</v>
      </c>
      <c r="F1081">
        <f>'[1]Processed Data'!F2922</f>
        <v>320</v>
      </c>
      <c r="G1081">
        <f>'[1]Processed Data'!G2922</f>
        <v>526</v>
      </c>
      <c r="H1081">
        <f>'[1]Processed Data'!H2922</f>
        <v>60.8</v>
      </c>
      <c r="I1081">
        <f>'[1]Processed Data'!I2922</f>
        <v>17</v>
      </c>
      <c r="J1081">
        <f>'[1]Processed Data'!J2922</f>
        <v>16</v>
      </c>
      <c r="K1081">
        <f>'[1]Processed Data'!K2922</f>
        <v>24</v>
      </c>
      <c r="L1081">
        <f>'[1]Processed Data'!L2922</f>
        <v>38</v>
      </c>
      <c r="M1081">
        <f>'[1]Processed Data'!M2922</f>
        <v>130</v>
      </c>
      <c r="N1081">
        <f>'[1]Processed Data'!N2922</f>
        <v>1</v>
      </c>
      <c r="O1081">
        <f>'[1]Processed Data'!O2922</f>
        <v>0</v>
      </c>
      <c r="P1081">
        <f>'[1]Processed Data'!P2922</f>
        <v>0</v>
      </c>
      <c r="Q1081">
        <f>'[1]Processed Data'!Q2922</f>
        <v>16</v>
      </c>
    </row>
    <row r="1082" spans="2:17" hidden="1">
      <c r="B1082">
        <f>'[1]Processed Data'!B2928</f>
        <v>2002</v>
      </c>
      <c r="C1082">
        <f>'[1]Processed Data'!C2928</f>
        <v>84</v>
      </c>
      <c r="D1082" t="str">
        <f>'[1]Processed Data'!D2928</f>
        <v>Michael Vick</v>
      </c>
      <c r="E1082">
        <v>2018</v>
      </c>
      <c r="F1082">
        <f>'[1]Processed Data'!F2928</f>
        <v>231</v>
      </c>
      <c r="G1082">
        <f>'[1]Processed Data'!G2928</f>
        <v>421</v>
      </c>
      <c r="H1082">
        <f>'[1]Processed Data'!H2928</f>
        <v>54.9</v>
      </c>
      <c r="I1082">
        <f>'[1]Processed Data'!I2928</f>
        <v>16</v>
      </c>
      <c r="J1082">
        <f>'[1]Processed Data'!J2928</f>
        <v>8</v>
      </c>
      <c r="K1082">
        <f>'[1]Processed Data'!K2928</f>
        <v>33</v>
      </c>
      <c r="L1082">
        <f>'[1]Processed Data'!L2928</f>
        <v>113</v>
      </c>
      <c r="M1082">
        <f>'[1]Processed Data'!M2928</f>
        <v>777</v>
      </c>
      <c r="N1082">
        <f>'[1]Processed Data'!N2928</f>
        <v>8</v>
      </c>
      <c r="O1082">
        <f>'[1]Processed Data'!O2928</f>
        <v>6</v>
      </c>
      <c r="P1082">
        <f>'[1]Processed Data'!P2928</f>
        <v>0</v>
      </c>
      <c r="Q1082">
        <f>'[1]Processed Data'!Q2928</f>
        <v>15</v>
      </c>
    </row>
    <row r="1083" spans="2:17" hidden="1">
      <c r="B1083">
        <f>'[1]Processed Data'!B2929</f>
        <v>2002</v>
      </c>
      <c r="C1083">
        <f>'[1]Processed Data'!C2929</f>
        <v>85</v>
      </c>
      <c r="D1083" t="str">
        <f>'[1]Processed Data'!D2929</f>
        <v>Peyton Manning</v>
      </c>
      <c r="E1083">
        <v>2018</v>
      </c>
      <c r="F1083">
        <f>'[1]Processed Data'!F2929</f>
        <v>392</v>
      </c>
      <c r="G1083">
        <f>'[1]Processed Data'!G2929</f>
        <v>591</v>
      </c>
      <c r="H1083">
        <f>'[1]Processed Data'!H2929</f>
        <v>66.3</v>
      </c>
      <c r="I1083">
        <f>'[1]Processed Data'!I2929</f>
        <v>27</v>
      </c>
      <c r="J1083">
        <f>'[1]Processed Data'!J2929</f>
        <v>19</v>
      </c>
      <c r="K1083">
        <f>'[1]Processed Data'!K2929</f>
        <v>23</v>
      </c>
      <c r="L1083">
        <f>'[1]Processed Data'!L2929</f>
        <v>38</v>
      </c>
      <c r="M1083">
        <f>'[1]Processed Data'!M2929</f>
        <v>148</v>
      </c>
      <c r="N1083">
        <f>'[1]Processed Data'!N2929</f>
        <v>2</v>
      </c>
      <c r="O1083">
        <f>'[1]Processed Data'!O2929</f>
        <v>2</v>
      </c>
      <c r="P1083">
        <f>'[1]Processed Data'!P2929</f>
        <v>0</v>
      </c>
      <c r="Q1083">
        <f>'[1]Processed Data'!Q2929</f>
        <v>16</v>
      </c>
    </row>
    <row r="1084" spans="2:17" hidden="1">
      <c r="B1084">
        <f>'[1]Processed Data'!B2935</f>
        <v>2002</v>
      </c>
      <c r="C1084">
        <f>'[1]Processed Data'!C2935</f>
        <v>91</v>
      </c>
      <c r="D1084" t="str">
        <f>'[1]Processed Data'!D2935</f>
        <v>Matt Hasselbeck</v>
      </c>
      <c r="E1084">
        <v>2018</v>
      </c>
      <c r="F1084">
        <f>'[1]Processed Data'!F2935</f>
        <v>267</v>
      </c>
      <c r="G1084">
        <f>'[1]Processed Data'!G2935</f>
        <v>419</v>
      </c>
      <c r="H1084">
        <f>'[1]Processed Data'!H2935</f>
        <v>63.7</v>
      </c>
      <c r="I1084">
        <f>'[1]Processed Data'!I2935</f>
        <v>15</v>
      </c>
      <c r="J1084">
        <f>'[1]Processed Data'!J2935</f>
        <v>10</v>
      </c>
      <c r="K1084">
        <f>'[1]Processed Data'!K2935</f>
        <v>26</v>
      </c>
      <c r="L1084">
        <f>'[1]Processed Data'!L2935</f>
        <v>40</v>
      </c>
      <c r="M1084">
        <f>'[1]Processed Data'!M2935</f>
        <v>202</v>
      </c>
      <c r="N1084">
        <f>'[1]Processed Data'!N2935</f>
        <v>1</v>
      </c>
      <c r="O1084">
        <f>'[1]Processed Data'!O2935</f>
        <v>4</v>
      </c>
      <c r="P1084">
        <f>'[1]Processed Data'!P2935</f>
        <v>0</v>
      </c>
      <c r="Q1084">
        <f>'[1]Processed Data'!Q2935</f>
        <v>13</v>
      </c>
    </row>
    <row r="1085" spans="2:17" hidden="1">
      <c r="B1085">
        <f>'[1]Processed Data'!B2969</f>
        <v>2002</v>
      </c>
      <c r="C1085">
        <f>'[1]Processed Data'!C2969</f>
        <v>125</v>
      </c>
      <c r="D1085" t="str">
        <f>'[1]Processed Data'!D2969</f>
        <v>Josh McCown</v>
      </c>
      <c r="E1085">
        <v>2017</v>
      </c>
      <c r="F1085">
        <f>'[1]Processed Data'!F2969</f>
        <v>7</v>
      </c>
      <c r="G1085">
        <f>'[1]Processed Data'!G2969</f>
        <v>18</v>
      </c>
      <c r="H1085">
        <f>'[1]Processed Data'!H2969</f>
        <v>38.9</v>
      </c>
      <c r="I1085">
        <f>'[1]Processed Data'!I2969</f>
        <v>0</v>
      </c>
      <c r="J1085">
        <f>'[1]Processed Data'!J2969</f>
        <v>2</v>
      </c>
      <c r="K1085">
        <f>'[1]Processed Data'!K2969</f>
        <v>5</v>
      </c>
      <c r="L1085">
        <f>'[1]Processed Data'!L2969</f>
        <v>1</v>
      </c>
      <c r="M1085">
        <f>'[1]Processed Data'!M2969</f>
        <v>20</v>
      </c>
      <c r="N1085">
        <f>'[1]Processed Data'!N2969</f>
        <v>0</v>
      </c>
      <c r="O1085">
        <f>'[1]Processed Data'!O2969</f>
        <v>1</v>
      </c>
      <c r="P1085">
        <f>'[1]Processed Data'!P2969</f>
        <v>-1.4</v>
      </c>
      <c r="Q1085">
        <f>'[1]Processed Data'!Q2969</f>
        <v>2</v>
      </c>
    </row>
    <row r="1086" spans="2:17" hidden="1">
      <c r="B1086">
        <f>'[1]Processed Data'!B1086</f>
        <v>2014</v>
      </c>
      <c r="C1086">
        <f>'[1]Processed Data'!C1086</f>
        <v>66</v>
      </c>
      <c r="D1086" t="str">
        <f>'[1]Processed Data'!D1086</f>
        <v>Trevor Lawrence</v>
      </c>
      <c r="E1086">
        <v>2017</v>
      </c>
      <c r="F1086">
        <f>'[1]Processed Data'!F1086</f>
        <v>0</v>
      </c>
      <c r="G1086">
        <f>'[1]Processed Data'!G1086</f>
        <v>0</v>
      </c>
      <c r="H1086">
        <f>'[1]Processed Data'!H1086</f>
        <v>0</v>
      </c>
      <c r="I1086">
        <f>'[1]Processed Data'!I1086</f>
        <v>0</v>
      </c>
      <c r="J1086">
        <f>'[1]Processed Data'!J1086</f>
        <v>0</v>
      </c>
      <c r="K1086">
        <f>'[1]Processed Data'!K1086</f>
        <v>0</v>
      </c>
      <c r="L1086">
        <f>'[1]Processed Data'!L1086</f>
        <v>0</v>
      </c>
      <c r="M1086">
        <f>'[1]Processed Data'!M1086</f>
        <v>0</v>
      </c>
      <c r="N1086">
        <f>'[1]Processed Data'!N1086</f>
        <v>0</v>
      </c>
      <c r="O1086">
        <f>'[1]Processed Data'!O1086</f>
        <v>0</v>
      </c>
      <c r="P1086">
        <f>'[1]Processed Data'!P1086</f>
        <v>0</v>
      </c>
      <c r="Q1086">
        <f>'[1]Processed Data'!Q1086</f>
        <v>0</v>
      </c>
    </row>
    <row r="1087" spans="2:17" hidden="1">
      <c r="B1087">
        <f>'[1]Processed Data'!B1087</f>
        <v>2014</v>
      </c>
      <c r="C1087">
        <f>'[1]Processed Data'!C1087</f>
        <v>67</v>
      </c>
      <c r="D1087" t="str">
        <f>'[1]Processed Data'!D1087</f>
        <v>Justin Fields</v>
      </c>
      <c r="E1087">
        <v>2017</v>
      </c>
      <c r="F1087">
        <f>'[1]Processed Data'!F1087</f>
        <v>0</v>
      </c>
      <c r="G1087">
        <f>'[1]Processed Data'!G1087</f>
        <v>0</v>
      </c>
      <c r="H1087">
        <f>'[1]Processed Data'!H1087</f>
        <v>0</v>
      </c>
      <c r="I1087">
        <f>'[1]Processed Data'!I1087</f>
        <v>0</v>
      </c>
      <c r="J1087">
        <f>'[1]Processed Data'!J1087</f>
        <v>0</v>
      </c>
      <c r="K1087">
        <f>'[1]Processed Data'!K1087</f>
        <v>0</v>
      </c>
      <c r="L1087">
        <f>'[1]Processed Data'!L1087</f>
        <v>0</v>
      </c>
      <c r="M1087">
        <f>'[1]Processed Data'!M1087</f>
        <v>0</v>
      </c>
      <c r="N1087">
        <f>'[1]Processed Data'!N1087</f>
        <v>0</v>
      </c>
      <c r="O1087">
        <f>'[1]Processed Data'!O1087</f>
        <v>0</v>
      </c>
      <c r="P1087">
        <f>'[1]Processed Data'!P1087</f>
        <v>0</v>
      </c>
      <c r="Q1087">
        <f>'[1]Processed Data'!Q1087</f>
        <v>0</v>
      </c>
    </row>
    <row r="1088" spans="2:17" hidden="1">
      <c r="B1088">
        <f>'[1]Processed Data'!B1088</f>
        <v>2014</v>
      </c>
      <c r="C1088">
        <f>'[1]Processed Data'!C1088</f>
        <v>68</v>
      </c>
      <c r="D1088" t="str">
        <f>'[1]Processed Data'!D1088</f>
        <v>Kyle Allen</v>
      </c>
      <c r="E1088">
        <v>2017</v>
      </c>
      <c r="F1088">
        <f>'[1]Processed Data'!F1088</f>
        <v>0</v>
      </c>
      <c r="G1088">
        <f>'[1]Processed Data'!G1088</f>
        <v>0</v>
      </c>
      <c r="H1088">
        <f>'[1]Processed Data'!H1088</f>
        <v>0</v>
      </c>
      <c r="I1088">
        <f>'[1]Processed Data'!I1088</f>
        <v>0</v>
      </c>
      <c r="J1088">
        <f>'[1]Processed Data'!J1088</f>
        <v>0</v>
      </c>
      <c r="K1088">
        <f>'[1]Processed Data'!K1088</f>
        <v>0</v>
      </c>
      <c r="L1088">
        <f>'[1]Processed Data'!L1088</f>
        <v>0</v>
      </c>
      <c r="M1088">
        <f>'[1]Processed Data'!M1088</f>
        <v>0</v>
      </c>
      <c r="N1088">
        <f>'[1]Processed Data'!N1088</f>
        <v>0</v>
      </c>
      <c r="O1088">
        <f>'[1]Processed Data'!O1088</f>
        <v>0</v>
      </c>
      <c r="P1088">
        <f>'[1]Processed Data'!P1088</f>
        <v>0</v>
      </c>
      <c r="Q1088">
        <f>'[1]Processed Data'!Q1088</f>
        <v>0</v>
      </c>
    </row>
    <row r="1089" spans="2:17" hidden="1">
      <c r="B1089">
        <f>'[1]Processed Data'!B1089</f>
        <v>2014</v>
      </c>
      <c r="C1089">
        <f>'[1]Processed Data'!C1089</f>
        <v>69</v>
      </c>
      <c r="D1089" t="str">
        <f>'[1]Processed Data'!D1089</f>
        <v>Joe Burrow</v>
      </c>
      <c r="E1089">
        <v>2017</v>
      </c>
      <c r="F1089">
        <f>'[1]Processed Data'!F1089</f>
        <v>0</v>
      </c>
      <c r="G1089">
        <f>'[1]Processed Data'!G1089</f>
        <v>0</v>
      </c>
      <c r="H1089">
        <f>'[1]Processed Data'!H1089</f>
        <v>0</v>
      </c>
      <c r="I1089">
        <f>'[1]Processed Data'!I1089</f>
        <v>0</v>
      </c>
      <c r="J1089">
        <f>'[1]Processed Data'!J1089</f>
        <v>0</v>
      </c>
      <c r="K1089">
        <f>'[1]Processed Data'!K1089</f>
        <v>0</v>
      </c>
      <c r="L1089">
        <f>'[1]Processed Data'!L1089</f>
        <v>0</v>
      </c>
      <c r="M1089">
        <f>'[1]Processed Data'!M1089</f>
        <v>0</v>
      </c>
      <c r="N1089">
        <f>'[1]Processed Data'!N1089</f>
        <v>0</v>
      </c>
      <c r="O1089">
        <f>'[1]Processed Data'!O1089</f>
        <v>0</v>
      </c>
      <c r="P1089">
        <f>'[1]Processed Data'!P1089</f>
        <v>0</v>
      </c>
      <c r="Q1089">
        <f>'[1]Processed Data'!Q1089</f>
        <v>0</v>
      </c>
    </row>
    <row r="1090" spans="2:17" hidden="1">
      <c r="B1090">
        <f>'[1]Processed Data'!B1090</f>
        <v>2014</v>
      </c>
      <c r="C1090">
        <f>'[1]Processed Data'!C1090</f>
        <v>70</v>
      </c>
      <c r="D1090" t="str">
        <f>'[1]Processed Data'!D1090</f>
        <v>Tua Tagovailoa</v>
      </c>
      <c r="E1090">
        <v>2017</v>
      </c>
      <c r="F1090">
        <f>'[1]Processed Data'!F1090</f>
        <v>0</v>
      </c>
      <c r="G1090">
        <f>'[1]Processed Data'!G1090</f>
        <v>0</v>
      </c>
      <c r="H1090">
        <f>'[1]Processed Data'!H1090</f>
        <v>0</v>
      </c>
      <c r="I1090">
        <f>'[1]Processed Data'!I1090</f>
        <v>0</v>
      </c>
      <c r="J1090">
        <f>'[1]Processed Data'!J1090</f>
        <v>0</v>
      </c>
      <c r="K1090">
        <f>'[1]Processed Data'!K1090</f>
        <v>0</v>
      </c>
      <c r="L1090">
        <f>'[1]Processed Data'!L1090</f>
        <v>0</v>
      </c>
      <c r="M1090">
        <f>'[1]Processed Data'!M1090</f>
        <v>0</v>
      </c>
      <c r="N1090">
        <f>'[1]Processed Data'!N1090</f>
        <v>0</v>
      </c>
      <c r="O1090">
        <f>'[1]Processed Data'!O1090</f>
        <v>0</v>
      </c>
      <c r="P1090">
        <f>'[1]Processed Data'!P1090</f>
        <v>0</v>
      </c>
      <c r="Q1090">
        <f>'[1]Processed Data'!Q1090</f>
        <v>0</v>
      </c>
    </row>
    <row r="1091" spans="2:17" hidden="1">
      <c r="B1091">
        <f>'[1]Processed Data'!B1091</f>
        <v>2014</v>
      </c>
      <c r="C1091">
        <f>'[1]Processed Data'!C1091</f>
        <v>71</v>
      </c>
      <c r="D1091" t="str">
        <f>'[1]Processed Data'!D1091</f>
        <v>Jacob Eason</v>
      </c>
      <c r="E1091">
        <v>2017</v>
      </c>
      <c r="F1091">
        <f>'[1]Processed Data'!F1091</f>
        <v>0</v>
      </c>
      <c r="G1091">
        <f>'[1]Processed Data'!G1091</f>
        <v>0</v>
      </c>
      <c r="H1091">
        <f>'[1]Processed Data'!H1091</f>
        <v>0</v>
      </c>
      <c r="I1091">
        <f>'[1]Processed Data'!I1091</f>
        <v>0</v>
      </c>
      <c r="J1091">
        <f>'[1]Processed Data'!J1091</f>
        <v>0</v>
      </c>
      <c r="K1091">
        <f>'[1]Processed Data'!K1091</f>
        <v>0</v>
      </c>
      <c r="L1091">
        <f>'[1]Processed Data'!L1091</f>
        <v>0</v>
      </c>
      <c r="M1091">
        <f>'[1]Processed Data'!M1091</f>
        <v>0</v>
      </c>
      <c r="N1091">
        <f>'[1]Processed Data'!N1091</f>
        <v>0</v>
      </c>
      <c r="O1091">
        <f>'[1]Processed Data'!O1091</f>
        <v>0</v>
      </c>
      <c r="P1091">
        <f>'[1]Processed Data'!P1091</f>
        <v>0</v>
      </c>
      <c r="Q1091">
        <f>'[1]Processed Data'!Q1091</f>
        <v>0</v>
      </c>
    </row>
    <row r="1092" spans="2:17" hidden="1">
      <c r="B1092">
        <f>'[1]Processed Data'!B1092</f>
        <v>2014</v>
      </c>
      <c r="C1092">
        <f>'[1]Processed Data'!C1092</f>
        <v>72</v>
      </c>
      <c r="D1092" t="str">
        <f>'[1]Processed Data'!D1092</f>
        <v>Jake Fromm</v>
      </c>
      <c r="E1092">
        <v>2017</v>
      </c>
      <c r="F1092">
        <f>'[1]Processed Data'!F1092</f>
        <v>0</v>
      </c>
      <c r="G1092">
        <f>'[1]Processed Data'!G1092</f>
        <v>0</v>
      </c>
      <c r="H1092">
        <f>'[1]Processed Data'!H1092</f>
        <v>0</v>
      </c>
      <c r="I1092">
        <f>'[1]Processed Data'!I1092</f>
        <v>0</v>
      </c>
      <c r="J1092">
        <f>'[1]Processed Data'!J1092</f>
        <v>0</v>
      </c>
      <c r="K1092">
        <f>'[1]Processed Data'!K1092</f>
        <v>0</v>
      </c>
      <c r="L1092">
        <f>'[1]Processed Data'!L1092</f>
        <v>0</v>
      </c>
      <c r="M1092">
        <f>'[1]Processed Data'!M1092</f>
        <v>0</v>
      </c>
      <c r="N1092">
        <f>'[1]Processed Data'!N1092</f>
        <v>0</v>
      </c>
      <c r="O1092">
        <f>'[1]Processed Data'!O1092</f>
        <v>0</v>
      </c>
      <c r="P1092">
        <f>'[1]Processed Data'!P1092</f>
        <v>0</v>
      </c>
      <c r="Q1092">
        <f>'[1]Processed Data'!Q1092</f>
        <v>0</v>
      </c>
    </row>
    <row r="1093" spans="2:17" hidden="1">
      <c r="B1093">
        <f>'[1]Processed Data'!B1093</f>
        <v>2014</v>
      </c>
      <c r="C1093">
        <f>'[1]Processed Data'!C1093</f>
        <v>73</v>
      </c>
      <c r="D1093" t="str">
        <f>'[1]Processed Data'!D1093</f>
        <v>Jordan Love</v>
      </c>
      <c r="E1093">
        <v>2017</v>
      </c>
      <c r="F1093">
        <f>'[1]Processed Data'!F1093</f>
        <v>0</v>
      </c>
      <c r="G1093">
        <f>'[1]Processed Data'!G1093</f>
        <v>0</v>
      </c>
      <c r="H1093">
        <f>'[1]Processed Data'!H1093</f>
        <v>0</v>
      </c>
      <c r="I1093">
        <f>'[1]Processed Data'!I1093</f>
        <v>0</v>
      </c>
      <c r="J1093">
        <f>'[1]Processed Data'!J1093</f>
        <v>0</v>
      </c>
      <c r="K1093">
        <f>'[1]Processed Data'!K1093</f>
        <v>0</v>
      </c>
      <c r="L1093">
        <f>'[1]Processed Data'!L1093</f>
        <v>0</v>
      </c>
      <c r="M1093">
        <f>'[1]Processed Data'!M1093</f>
        <v>0</v>
      </c>
      <c r="N1093">
        <f>'[1]Processed Data'!N1093</f>
        <v>0</v>
      </c>
      <c r="O1093">
        <f>'[1]Processed Data'!O1093</f>
        <v>0</v>
      </c>
      <c r="P1093">
        <f>'[1]Processed Data'!P1093</f>
        <v>0</v>
      </c>
      <c r="Q1093">
        <f>'[1]Processed Data'!Q1093</f>
        <v>0</v>
      </c>
    </row>
    <row r="1094" spans="2:17" hidden="1">
      <c r="B1094">
        <f>'[1]Processed Data'!B1094</f>
        <v>2014</v>
      </c>
      <c r="C1094">
        <f>'[1]Processed Data'!C1094</f>
        <v>74</v>
      </c>
      <c r="D1094" t="str">
        <f>'[1]Processed Data'!D1094</f>
        <v>Jalen Hurts</v>
      </c>
      <c r="E1094">
        <v>2017</v>
      </c>
      <c r="F1094">
        <f>'[1]Processed Data'!F1094</f>
        <v>0</v>
      </c>
      <c r="G1094">
        <f>'[1]Processed Data'!G1094</f>
        <v>0</v>
      </c>
      <c r="H1094">
        <f>'[1]Processed Data'!H1094</f>
        <v>0</v>
      </c>
      <c r="I1094">
        <f>'[1]Processed Data'!I1094</f>
        <v>0</v>
      </c>
      <c r="J1094">
        <f>'[1]Processed Data'!J1094</f>
        <v>0</v>
      </c>
      <c r="K1094">
        <f>'[1]Processed Data'!K1094</f>
        <v>0</v>
      </c>
      <c r="L1094">
        <f>'[1]Processed Data'!L1094</f>
        <v>0</v>
      </c>
      <c r="M1094">
        <f>'[1]Processed Data'!M1094</f>
        <v>0</v>
      </c>
      <c r="N1094">
        <f>'[1]Processed Data'!N1094</f>
        <v>0</v>
      </c>
      <c r="O1094">
        <f>'[1]Processed Data'!O1094</f>
        <v>0</v>
      </c>
      <c r="P1094">
        <f>'[1]Processed Data'!P1094</f>
        <v>0</v>
      </c>
      <c r="Q1094">
        <f>'[1]Processed Data'!Q1094</f>
        <v>0</v>
      </c>
    </row>
    <row r="1095" spans="2:17" hidden="1">
      <c r="B1095">
        <f>'[1]Processed Data'!B1095</f>
        <v>2014</v>
      </c>
      <c r="C1095">
        <f>'[1]Processed Data'!C1095</f>
        <v>75</v>
      </c>
      <c r="D1095" t="str">
        <f>'[1]Processed Data'!D1095</f>
        <v>Tyler Huntley</v>
      </c>
      <c r="E1095">
        <v>2017</v>
      </c>
      <c r="F1095">
        <f>'[1]Processed Data'!F1095</f>
        <v>0</v>
      </c>
      <c r="G1095">
        <f>'[1]Processed Data'!G1095</f>
        <v>0</v>
      </c>
      <c r="H1095">
        <f>'[1]Processed Data'!H1095</f>
        <v>0</v>
      </c>
      <c r="I1095">
        <f>'[1]Processed Data'!I1095</f>
        <v>0</v>
      </c>
      <c r="J1095">
        <f>'[1]Processed Data'!J1095</f>
        <v>0</v>
      </c>
      <c r="K1095">
        <f>'[1]Processed Data'!K1095</f>
        <v>0</v>
      </c>
      <c r="L1095">
        <f>'[1]Processed Data'!L1095</f>
        <v>0</v>
      </c>
      <c r="M1095">
        <f>'[1]Processed Data'!M1095</f>
        <v>0</v>
      </c>
      <c r="N1095">
        <f>'[1]Processed Data'!N1095</f>
        <v>0</v>
      </c>
      <c r="O1095">
        <f>'[1]Processed Data'!O1095</f>
        <v>0</v>
      </c>
      <c r="P1095">
        <f>'[1]Processed Data'!P1095</f>
        <v>0</v>
      </c>
      <c r="Q1095">
        <f>'[1]Processed Data'!Q1095</f>
        <v>0</v>
      </c>
    </row>
    <row r="1096" spans="2:17" hidden="1">
      <c r="B1096">
        <f>'[1]Processed Data'!B1096</f>
        <v>2014</v>
      </c>
      <c r="C1096">
        <f>'[1]Processed Data'!C1096</f>
        <v>76</v>
      </c>
      <c r="D1096" t="str">
        <f>'[1]Processed Data'!D1096</f>
        <v>Shane Buechele</v>
      </c>
      <c r="E1096">
        <v>2017</v>
      </c>
      <c r="F1096">
        <f>'[1]Processed Data'!F1096</f>
        <v>0</v>
      </c>
      <c r="G1096">
        <f>'[1]Processed Data'!G1096</f>
        <v>0</v>
      </c>
      <c r="H1096">
        <f>'[1]Processed Data'!H1096</f>
        <v>0</v>
      </c>
      <c r="I1096">
        <f>'[1]Processed Data'!I1096</f>
        <v>0</v>
      </c>
      <c r="J1096">
        <f>'[1]Processed Data'!J1096</f>
        <v>0</v>
      </c>
      <c r="K1096">
        <f>'[1]Processed Data'!K1096</f>
        <v>0</v>
      </c>
      <c r="L1096">
        <f>'[1]Processed Data'!L1096</f>
        <v>0</v>
      </c>
      <c r="M1096">
        <f>'[1]Processed Data'!M1096</f>
        <v>0</v>
      </c>
      <c r="N1096">
        <f>'[1]Processed Data'!N1096</f>
        <v>0</v>
      </c>
      <c r="O1096">
        <f>'[1]Processed Data'!O1096</f>
        <v>0</v>
      </c>
      <c r="P1096">
        <f>'[1]Processed Data'!P1096</f>
        <v>0</v>
      </c>
      <c r="Q1096">
        <f>'[1]Processed Data'!Q1096</f>
        <v>0</v>
      </c>
    </row>
    <row r="1097" spans="2:17" hidden="1">
      <c r="B1097">
        <f>'[1]Processed Data'!B1097</f>
        <v>2014</v>
      </c>
      <c r="C1097">
        <f>'[1]Processed Data'!C1097</f>
        <v>77</v>
      </c>
      <c r="D1097" t="str">
        <f>'[1]Processed Data'!D1097</f>
        <v>Kellen Mond</v>
      </c>
      <c r="E1097">
        <v>2017</v>
      </c>
      <c r="F1097">
        <f>'[1]Processed Data'!F1097</f>
        <v>0</v>
      </c>
      <c r="G1097">
        <f>'[1]Processed Data'!G1097</f>
        <v>0</v>
      </c>
      <c r="H1097">
        <f>'[1]Processed Data'!H1097</f>
        <v>0</v>
      </c>
      <c r="I1097">
        <f>'[1]Processed Data'!I1097</f>
        <v>0</v>
      </c>
      <c r="J1097">
        <f>'[1]Processed Data'!J1097</f>
        <v>0</v>
      </c>
      <c r="K1097">
        <f>'[1]Processed Data'!K1097</f>
        <v>0</v>
      </c>
      <c r="L1097">
        <f>'[1]Processed Data'!L1097</f>
        <v>0</v>
      </c>
      <c r="M1097">
        <f>'[1]Processed Data'!M1097</f>
        <v>0</v>
      </c>
      <c r="N1097">
        <f>'[1]Processed Data'!N1097</f>
        <v>0</v>
      </c>
      <c r="O1097">
        <f>'[1]Processed Data'!O1097</f>
        <v>0</v>
      </c>
      <c r="P1097">
        <f>'[1]Processed Data'!P1097</f>
        <v>0</v>
      </c>
      <c r="Q1097">
        <f>'[1]Processed Data'!Q1097</f>
        <v>0</v>
      </c>
    </row>
    <row r="1098" spans="2:17" hidden="1">
      <c r="B1098">
        <f>'[1]Processed Data'!B1098</f>
        <v>2014</v>
      </c>
      <c r="C1098">
        <f>'[1]Processed Data'!C1098</f>
        <v>78</v>
      </c>
      <c r="D1098" t="str">
        <f>'[1]Processed Data'!D1098</f>
        <v>Bryce Perkins</v>
      </c>
      <c r="E1098">
        <v>2017</v>
      </c>
      <c r="F1098">
        <f>'[1]Processed Data'!F1098</f>
        <v>0</v>
      </c>
      <c r="G1098">
        <f>'[1]Processed Data'!G1098</f>
        <v>0</v>
      </c>
      <c r="H1098">
        <f>'[1]Processed Data'!H1098</f>
        <v>0</v>
      </c>
      <c r="I1098">
        <f>'[1]Processed Data'!I1098</f>
        <v>0</v>
      </c>
      <c r="J1098">
        <f>'[1]Processed Data'!J1098</f>
        <v>0</v>
      </c>
      <c r="K1098">
        <f>'[1]Processed Data'!K1098</f>
        <v>0</v>
      </c>
      <c r="L1098">
        <f>'[1]Processed Data'!L1098</f>
        <v>0</v>
      </c>
      <c r="M1098">
        <f>'[1]Processed Data'!M1098</f>
        <v>0</v>
      </c>
      <c r="N1098">
        <f>'[1]Processed Data'!N1098</f>
        <v>0</v>
      </c>
      <c r="O1098">
        <f>'[1]Processed Data'!O1098</f>
        <v>0</v>
      </c>
      <c r="P1098">
        <f>'[1]Processed Data'!P1098</f>
        <v>0</v>
      </c>
      <c r="Q1098">
        <f>'[1]Processed Data'!Q1098</f>
        <v>0</v>
      </c>
    </row>
    <row r="1099" spans="2:17" hidden="1">
      <c r="B1099">
        <f>'[1]Processed Data'!B1099</f>
        <v>2014</v>
      </c>
      <c r="C1099">
        <f>'[1]Processed Data'!C1099</f>
        <v>79</v>
      </c>
      <c r="D1099" t="str">
        <f>'[1]Processed Data'!D1099</f>
        <v>Ryan Willis</v>
      </c>
      <c r="E1099">
        <v>2017</v>
      </c>
      <c r="F1099">
        <f>'[1]Processed Data'!F1099</f>
        <v>0</v>
      </c>
      <c r="G1099">
        <f>'[1]Processed Data'!G1099</f>
        <v>0</v>
      </c>
      <c r="H1099">
        <f>'[1]Processed Data'!H1099</f>
        <v>0</v>
      </c>
      <c r="I1099">
        <f>'[1]Processed Data'!I1099</f>
        <v>0</v>
      </c>
      <c r="J1099">
        <f>'[1]Processed Data'!J1099</f>
        <v>0</v>
      </c>
      <c r="K1099">
        <f>'[1]Processed Data'!K1099</f>
        <v>0</v>
      </c>
      <c r="L1099">
        <f>'[1]Processed Data'!L1099</f>
        <v>0</v>
      </c>
      <c r="M1099">
        <f>'[1]Processed Data'!M1099</f>
        <v>0</v>
      </c>
      <c r="N1099">
        <f>'[1]Processed Data'!N1099</f>
        <v>0</v>
      </c>
      <c r="O1099">
        <f>'[1]Processed Data'!O1099</f>
        <v>0</v>
      </c>
      <c r="P1099">
        <f>'[1]Processed Data'!P1099</f>
        <v>0</v>
      </c>
      <c r="Q1099">
        <f>'[1]Processed Data'!Q1099</f>
        <v>0</v>
      </c>
    </row>
    <row r="1100" spans="2:17" hidden="1">
      <c r="B1100">
        <f>'[1]Processed Data'!B1100</f>
        <v>2014</v>
      </c>
      <c r="C1100">
        <f>'[1]Processed Data'!C1100</f>
        <v>80</v>
      </c>
      <c r="D1100" t="str">
        <f>'[1]Processed Data'!D1100</f>
        <v>Zach Wilson</v>
      </c>
      <c r="E1100">
        <v>2017</v>
      </c>
      <c r="F1100">
        <f>'[1]Processed Data'!F1100</f>
        <v>0</v>
      </c>
      <c r="G1100">
        <f>'[1]Processed Data'!G1100</f>
        <v>0</v>
      </c>
      <c r="H1100">
        <f>'[1]Processed Data'!H1100</f>
        <v>0</v>
      </c>
      <c r="I1100">
        <f>'[1]Processed Data'!I1100</f>
        <v>0</v>
      </c>
      <c r="J1100">
        <f>'[1]Processed Data'!J1100</f>
        <v>0</v>
      </c>
      <c r="K1100">
        <f>'[1]Processed Data'!K1100</f>
        <v>0</v>
      </c>
      <c r="L1100">
        <f>'[1]Processed Data'!L1100</f>
        <v>0</v>
      </c>
      <c r="M1100">
        <f>'[1]Processed Data'!M1100</f>
        <v>0</v>
      </c>
      <c r="N1100">
        <f>'[1]Processed Data'!N1100</f>
        <v>0</v>
      </c>
      <c r="O1100">
        <f>'[1]Processed Data'!O1100</f>
        <v>0</v>
      </c>
      <c r="P1100">
        <f>'[1]Processed Data'!P1100</f>
        <v>0</v>
      </c>
      <c r="Q1100">
        <f>'[1]Processed Data'!Q1100</f>
        <v>0</v>
      </c>
    </row>
    <row r="1101" spans="2:17" hidden="1">
      <c r="B1101">
        <f>'[1]Processed Data'!B1101</f>
        <v>2014</v>
      </c>
      <c r="C1101">
        <f>'[1]Processed Data'!C1101</f>
        <v>81</v>
      </c>
      <c r="D1101" t="str">
        <f>'[1]Processed Data'!D1101</f>
        <v>Davis Mills</v>
      </c>
      <c r="E1101">
        <v>2017</v>
      </c>
      <c r="F1101">
        <f>'[1]Processed Data'!F1101</f>
        <v>0</v>
      </c>
      <c r="G1101">
        <f>'[1]Processed Data'!G1101</f>
        <v>0</v>
      </c>
      <c r="H1101">
        <f>'[1]Processed Data'!H1101</f>
        <v>0</v>
      </c>
      <c r="I1101">
        <f>'[1]Processed Data'!I1101</f>
        <v>0</v>
      </c>
      <c r="J1101">
        <f>'[1]Processed Data'!J1101</f>
        <v>0</v>
      </c>
      <c r="K1101">
        <f>'[1]Processed Data'!K1101</f>
        <v>0</v>
      </c>
      <c r="L1101">
        <f>'[1]Processed Data'!L1101</f>
        <v>0</v>
      </c>
      <c r="M1101">
        <f>'[1]Processed Data'!M1101</f>
        <v>0</v>
      </c>
      <c r="N1101">
        <f>'[1]Processed Data'!N1101</f>
        <v>0</v>
      </c>
      <c r="O1101">
        <f>'[1]Processed Data'!O1101</f>
        <v>0</v>
      </c>
      <c r="P1101">
        <f>'[1]Processed Data'!P1101</f>
        <v>0</v>
      </c>
      <c r="Q1101">
        <f>'[1]Processed Data'!Q1101</f>
        <v>0</v>
      </c>
    </row>
    <row r="1102" spans="2:17" hidden="1">
      <c r="B1102">
        <f>'[1]Processed Data'!B1102</f>
        <v>2014</v>
      </c>
      <c r="C1102">
        <f>'[1]Processed Data'!C1102</f>
        <v>82</v>
      </c>
      <c r="D1102" t="str">
        <f>'[1]Processed Data'!D1102</f>
        <v>Lamar Jackson</v>
      </c>
      <c r="E1102">
        <v>2017</v>
      </c>
      <c r="F1102">
        <f>'[1]Processed Data'!F1102</f>
        <v>0</v>
      </c>
      <c r="G1102">
        <f>'[1]Processed Data'!G1102</f>
        <v>0</v>
      </c>
      <c r="H1102">
        <f>'[1]Processed Data'!H1102</f>
        <v>0</v>
      </c>
      <c r="I1102">
        <f>'[1]Processed Data'!I1102</f>
        <v>0</v>
      </c>
      <c r="J1102">
        <f>'[1]Processed Data'!J1102</f>
        <v>0</v>
      </c>
      <c r="K1102">
        <f>'[1]Processed Data'!K1102</f>
        <v>0</v>
      </c>
      <c r="L1102">
        <f>'[1]Processed Data'!L1102</f>
        <v>0</v>
      </c>
      <c r="M1102">
        <f>'[1]Processed Data'!M1102</f>
        <v>0</v>
      </c>
      <c r="N1102">
        <f>'[1]Processed Data'!N1102</f>
        <v>0</v>
      </c>
      <c r="O1102">
        <f>'[1]Processed Data'!O1102</f>
        <v>0</v>
      </c>
      <c r="P1102">
        <f>'[1]Processed Data'!P1102</f>
        <v>0</v>
      </c>
      <c r="Q1102">
        <f>'[1]Processed Data'!Q1102</f>
        <v>0</v>
      </c>
    </row>
    <row r="1103" spans="2:17" hidden="1">
      <c r="B1103">
        <f>'[1]Processed Data'!B1103</f>
        <v>2014</v>
      </c>
      <c r="C1103">
        <f>'[1]Processed Data'!C1103</f>
        <v>83</v>
      </c>
      <c r="D1103" t="str">
        <f>'[1]Processed Data'!D1103</f>
        <v>Jake Locker</v>
      </c>
      <c r="E1103">
        <v>2017</v>
      </c>
      <c r="F1103">
        <f>'[1]Processed Data'!F1103</f>
        <v>86</v>
      </c>
      <c r="G1103">
        <f>'[1]Processed Data'!G1103</f>
        <v>146</v>
      </c>
      <c r="H1103">
        <f>'[1]Processed Data'!H1103</f>
        <v>58.9</v>
      </c>
      <c r="I1103">
        <f>'[1]Processed Data'!I1103</f>
        <v>5</v>
      </c>
      <c r="J1103">
        <f>'[1]Processed Data'!J1103</f>
        <v>7</v>
      </c>
      <c r="K1103">
        <f>'[1]Processed Data'!K1103</f>
        <v>14</v>
      </c>
      <c r="L1103">
        <f>'[1]Processed Data'!L1103</f>
        <v>22</v>
      </c>
      <c r="M1103">
        <f>'[1]Processed Data'!M1103</f>
        <v>142</v>
      </c>
      <c r="N1103">
        <f>'[1]Processed Data'!N1103</f>
        <v>1</v>
      </c>
      <c r="O1103">
        <f>'[1]Processed Data'!O1103</f>
        <v>1</v>
      </c>
      <c r="P1103">
        <f>'[1]Processed Data'!P1103</f>
        <v>0</v>
      </c>
      <c r="Q1103">
        <f>'[1]Processed Data'!Q1103</f>
        <v>7</v>
      </c>
    </row>
    <row r="1104" spans="2:17" hidden="1">
      <c r="B1104">
        <f>'[1]Processed Data'!B1104</f>
        <v>2014</v>
      </c>
      <c r="C1104">
        <f>'[1]Processed Data'!C1104</f>
        <v>84</v>
      </c>
      <c r="D1104" t="str">
        <f>'[1]Processed Data'!D1104</f>
        <v>Ryan Mallett</v>
      </c>
      <c r="E1104">
        <v>2017</v>
      </c>
      <c r="F1104">
        <f>'[1]Processed Data'!F1104</f>
        <v>41</v>
      </c>
      <c r="G1104">
        <f>'[1]Processed Data'!G1104</f>
        <v>75</v>
      </c>
      <c r="H1104">
        <f>'[1]Processed Data'!H1104</f>
        <v>54.7</v>
      </c>
      <c r="I1104">
        <f>'[1]Processed Data'!I1104</f>
        <v>2</v>
      </c>
      <c r="J1104">
        <f>'[1]Processed Data'!J1104</f>
        <v>2</v>
      </c>
      <c r="K1104">
        <f>'[1]Processed Data'!K1104</f>
        <v>1</v>
      </c>
      <c r="L1104">
        <f>'[1]Processed Data'!L1104</f>
        <v>6</v>
      </c>
      <c r="M1104">
        <f>'[1]Processed Data'!M1104</f>
        <v>-2</v>
      </c>
      <c r="N1104">
        <f>'[1]Processed Data'!N1104</f>
        <v>0</v>
      </c>
      <c r="O1104">
        <f>'[1]Processed Data'!O1104</f>
        <v>0</v>
      </c>
      <c r="P1104">
        <f>'[1]Processed Data'!P1104</f>
        <v>0</v>
      </c>
      <c r="Q1104">
        <f>'[1]Processed Data'!Q1104</f>
        <v>3</v>
      </c>
    </row>
    <row r="1105" spans="2:17" hidden="1">
      <c r="B1105">
        <f>'[1]Processed Data'!B1105</f>
        <v>2014</v>
      </c>
      <c r="C1105">
        <f>'[1]Processed Data'!C1105</f>
        <v>85</v>
      </c>
      <c r="D1105" t="str">
        <f>'[1]Processed Data'!D1105</f>
        <v>Christian Ponder</v>
      </c>
      <c r="E1105">
        <v>2017</v>
      </c>
      <c r="F1105">
        <f>'[1]Processed Data'!F1105</f>
        <v>22</v>
      </c>
      <c r="G1105">
        <f>'[1]Processed Data'!G1105</f>
        <v>44</v>
      </c>
      <c r="H1105">
        <f>'[1]Processed Data'!H1105</f>
        <v>50</v>
      </c>
      <c r="I1105">
        <f>'[1]Processed Data'!I1105</f>
        <v>0</v>
      </c>
      <c r="J1105">
        <f>'[1]Processed Data'!J1105</f>
        <v>2</v>
      </c>
      <c r="K1105">
        <f>'[1]Processed Data'!K1105</f>
        <v>6</v>
      </c>
      <c r="L1105">
        <f>'[1]Processed Data'!L1105</f>
        <v>4</v>
      </c>
      <c r="M1105">
        <f>'[1]Processed Data'!M1105</f>
        <v>16</v>
      </c>
      <c r="N1105">
        <f>'[1]Processed Data'!N1105</f>
        <v>1</v>
      </c>
      <c r="O1105">
        <f>'[1]Processed Data'!O1105</f>
        <v>0</v>
      </c>
      <c r="P1105">
        <f>'[1]Processed Data'!P1105</f>
        <v>0</v>
      </c>
      <c r="Q1105">
        <f>'[1]Processed Data'!Q1105</f>
        <v>2</v>
      </c>
    </row>
    <row r="1106" spans="2:17" hidden="1">
      <c r="B1106">
        <f>'[1]Processed Data'!B1106</f>
        <v>2014</v>
      </c>
      <c r="C1106">
        <f>'[1]Processed Data'!C1106</f>
        <v>86</v>
      </c>
      <c r="D1106" t="str">
        <f>'[1]Processed Data'!D1106</f>
        <v>Colin Kaepernick</v>
      </c>
      <c r="E1106">
        <v>2017</v>
      </c>
      <c r="F1106">
        <f>'[1]Processed Data'!F1106</f>
        <v>289</v>
      </c>
      <c r="G1106">
        <f>'[1]Processed Data'!G1106</f>
        <v>478</v>
      </c>
      <c r="H1106">
        <f>'[1]Processed Data'!H1106</f>
        <v>60.5</v>
      </c>
      <c r="I1106">
        <f>'[1]Processed Data'!I1106</f>
        <v>19</v>
      </c>
      <c r="J1106">
        <f>'[1]Processed Data'!J1106</f>
        <v>10</v>
      </c>
      <c r="K1106">
        <f>'[1]Processed Data'!K1106</f>
        <v>52</v>
      </c>
      <c r="L1106">
        <f>'[1]Processed Data'!L1106</f>
        <v>104</v>
      </c>
      <c r="M1106">
        <f>'[1]Processed Data'!M1106</f>
        <v>639</v>
      </c>
      <c r="N1106">
        <f>'[1]Processed Data'!N1106</f>
        <v>1</v>
      </c>
      <c r="O1106">
        <f>'[1]Processed Data'!O1106</f>
        <v>5</v>
      </c>
      <c r="P1106">
        <f>'[1]Processed Data'!P1106</f>
        <v>0</v>
      </c>
      <c r="Q1106">
        <f>'[1]Processed Data'!Q1106</f>
        <v>16</v>
      </c>
    </row>
    <row r="1107" spans="2:17" hidden="1">
      <c r="B1107">
        <f>'[1]Processed Data'!B1107</f>
        <v>2014</v>
      </c>
      <c r="C1107">
        <f>'[1]Processed Data'!C1107</f>
        <v>87</v>
      </c>
      <c r="D1107" t="str">
        <f>'[1]Processed Data'!D1107</f>
        <v>T.J. Yates</v>
      </c>
      <c r="E1107">
        <v>2017</v>
      </c>
      <c r="F1107">
        <f>'[1]Processed Data'!F1107</f>
        <v>3</v>
      </c>
      <c r="G1107">
        <f>'[1]Processed Data'!G1107</f>
        <v>4</v>
      </c>
      <c r="H1107">
        <f>'[1]Processed Data'!H1107</f>
        <v>75</v>
      </c>
      <c r="I1107">
        <f>'[1]Processed Data'!I1107</f>
        <v>0</v>
      </c>
      <c r="J1107">
        <f>'[1]Processed Data'!J1107</f>
        <v>1</v>
      </c>
      <c r="K1107">
        <f>'[1]Processed Data'!K1107</f>
        <v>0</v>
      </c>
      <c r="L1107">
        <f>'[1]Processed Data'!L1107</f>
        <v>0</v>
      </c>
      <c r="M1107">
        <f>'[1]Processed Data'!M1107</f>
        <v>0</v>
      </c>
      <c r="N1107">
        <f>'[1]Processed Data'!N1107</f>
        <v>0</v>
      </c>
      <c r="O1107">
        <f>'[1]Processed Data'!O1107</f>
        <v>0</v>
      </c>
      <c r="P1107">
        <f>'[1]Processed Data'!P1107</f>
        <v>0</v>
      </c>
      <c r="Q1107">
        <f>'[1]Processed Data'!Q1107</f>
        <v>1</v>
      </c>
    </row>
    <row r="1108" spans="2:17" hidden="1">
      <c r="B1108">
        <f>'[1]Processed Data'!B1108</f>
        <v>2014</v>
      </c>
      <c r="C1108">
        <f>'[1]Processed Data'!C1108</f>
        <v>88</v>
      </c>
      <c r="D1108" t="str">
        <f>'[1]Processed Data'!D1108</f>
        <v>Jordan Palmer</v>
      </c>
      <c r="E1108">
        <v>2017</v>
      </c>
      <c r="F1108">
        <f>'[1]Processed Data'!F1108</f>
        <v>1</v>
      </c>
      <c r="G1108">
        <f>'[1]Processed Data'!G1108</f>
        <v>3</v>
      </c>
      <c r="H1108">
        <f>'[1]Processed Data'!H1108</f>
        <v>33.299999999999997</v>
      </c>
      <c r="I1108">
        <f>'[1]Processed Data'!I1108</f>
        <v>0</v>
      </c>
      <c r="J1108">
        <f>'[1]Processed Data'!J1108</f>
        <v>0</v>
      </c>
      <c r="K1108">
        <f>'[1]Processed Data'!K1108</f>
        <v>0</v>
      </c>
      <c r="L1108">
        <f>'[1]Processed Data'!L1108</f>
        <v>1</v>
      </c>
      <c r="M1108">
        <f>'[1]Processed Data'!M1108</f>
        <v>-1</v>
      </c>
      <c r="N1108">
        <f>'[1]Processed Data'!N1108</f>
        <v>0</v>
      </c>
      <c r="O1108">
        <f>'[1]Processed Data'!O1108</f>
        <v>0</v>
      </c>
      <c r="P1108">
        <f>'[1]Processed Data'!P1108</f>
        <v>0</v>
      </c>
      <c r="Q1108">
        <f>'[1]Processed Data'!Q1108</f>
        <v>1</v>
      </c>
    </row>
    <row r="1109" spans="2:17" hidden="1">
      <c r="B1109">
        <f>'[1]Processed Data'!B1109</f>
        <v>2014</v>
      </c>
      <c r="C1109">
        <f>'[1]Processed Data'!C1109</f>
        <v>89</v>
      </c>
      <c r="D1109" t="str">
        <f>'[1]Processed Data'!D1109</f>
        <v>John David Booty</v>
      </c>
      <c r="E1109">
        <v>2017</v>
      </c>
      <c r="F1109">
        <f>'[1]Processed Data'!F1109</f>
        <v>0</v>
      </c>
      <c r="G1109">
        <f>'[1]Processed Data'!G1109</f>
        <v>0</v>
      </c>
      <c r="H1109">
        <f>'[1]Processed Data'!H1109</f>
        <v>0</v>
      </c>
      <c r="I1109">
        <f>'[1]Processed Data'!I1109</f>
        <v>0</v>
      </c>
      <c r="J1109">
        <f>'[1]Processed Data'!J1109</f>
        <v>0</v>
      </c>
      <c r="K1109">
        <f>'[1]Processed Data'!K1109</f>
        <v>0</v>
      </c>
      <c r="L1109">
        <f>'[1]Processed Data'!L1109</f>
        <v>0</v>
      </c>
      <c r="M1109">
        <f>'[1]Processed Data'!M1109</f>
        <v>0</v>
      </c>
      <c r="N1109">
        <f>'[1]Processed Data'!N1109</f>
        <v>0</v>
      </c>
      <c r="O1109">
        <f>'[1]Processed Data'!O1109</f>
        <v>0</v>
      </c>
      <c r="P1109">
        <f>'[1]Processed Data'!P1109</f>
        <v>0</v>
      </c>
      <c r="Q1109">
        <f>'[1]Processed Data'!Q1109</f>
        <v>0</v>
      </c>
    </row>
    <row r="1110" spans="2:17" hidden="1">
      <c r="B1110">
        <f>'[1]Processed Data'!B1110</f>
        <v>2014</v>
      </c>
      <c r="C1110">
        <f>'[1]Processed Data'!C1110</f>
        <v>90</v>
      </c>
      <c r="D1110" t="str">
        <f>'[1]Processed Data'!D1110</f>
        <v>Erik Ainge</v>
      </c>
      <c r="E1110">
        <v>2017</v>
      </c>
      <c r="F1110">
        <f>'[1]Processed Data'!F1110</f>
        <v>0</v>
      </c>
      <c r="G1110">
        <f>'[1]Processed Data'!G1110</f>
        <v>0</v>
      </c>
      <c r="H1110">
        <f>'[1]Processed Data'!H1110</f>
        <v>0</v>
      </c>
      <c r="I1110">
        <f>'[1]Processed Data'!I1110</f>
        <v>0</v>
      </c>
      <c r="J1110">
        <f>'[1]Processed Data'!J1110</f>
        <v>0</v>
      </c>
      <c r="K1110">
        <f>'[1]Processed Data'!K1110</f>
        <v>0</v>
      </c>
      <c r="L1110">
        <f>'[1]Processed Data'!L1110</f>
        <v>0</v>
      </c>
      <c r="M1110">
        <f>'[1]Processed Data'!M1110</f>
        <v>0</v>
      </c>
      <c r="N1110">
        <f>'[1]Processed Data'!N1110</f>
        <v>0</v>
      </c>
      <c r="O1110">
        <f>'[1]Processed Data'!O1110</f>
        <v>0</v>
      </c>
      <c r="P1110">
        <f>'[1]Processed Data'!P1110</f>
        <v>0</v>
      </c>
      <c r="Q1110">
        <f>'[1]Processed Data'!Q1110</f>
        <v>0</v>
      </c>
    </row>
    <row r="1111" spans="2:17" hidden="1">
      <c r="B1111">
        <f>'[1]Processed Data'!B1111</f>
        <v>2014</v>
      </c>
      <c r="C1111">
        <f>'[1]Processed Data'!C1111</f>
        <v>91</v>
      </c>
      <c r="D1111" t="str">
        <f>'[1]Processed Data'!D1111</f>
        <v>Hunter Cantwell</v>
      </c>
      <c r="E1111">
        <v>2017</v>
      </c>
      <c r="F1111">
        <f>'[1]Processed Data'!F1111</f>
        <v>0</v>
      </c>
      <c r="G1111">
        <f>'[1]Processed Data'!G1111</f>
        <v>0</v>
      </c>
      <c r="H1111">
        <f>'[1]Processed Data'!H1111</f>
        <v>0</v>
      </c>
      <c r="I1111">
        <f>'[1]Processed Data'!I1111</f>
        <v>0</v>
      </c>
      <c r="J1111">
        <f>'[1]Processed Data'!J1111</f>
        <v>0</v>
      </c>
      <c r="K1111">
        <f>'[1]Processed Data'!K1111</f>
        <v>0</v>
      </c>
      <c r="L1111">
        <f>'[1]Processed Data'!L1111</f>
        <v>0</v>
      </c>
      <c r="M1111">
        <f>'[1]Processed Data'!M1111</f>
        <v>0</v>
      </c>
      <c r="N1111">
        <f>'[1]Processed Data'!N1111</f>
        <v>0</v>
      </c>
      <c r="O1111">
        <f>'[1]Processed Data'!O1111</f>
        <v>0</v>
      </c>
      <c r="P1111">
        <f>'[1]Processed Data'!P1111</f>
        <v>0</v>
      </c>
      <c r="Q1111">
        <f>'[1]Processed Data'!Q1111</f>
        <v>0</v>
      </c>
    </row>
    <row r="1112" spans="2:17" hidden="1">
      <c r="B1112">
        <f>'[1]Processed Data'!B1112</f>
        <v>2014</v>
      </c>
      <c r="C1112">
        <f>'[1]Processed Data'!C1112</f>
        <v>92</v>
      </c>
      <c r="D1112" t="str">
        <f>'[1]Processed Data'!D1112</f>
        <v>Ben Chappell</v>
      </c>
      <c r="E1112">
        <v>2017</v>
      </c>
      <c r="F1112">
        <f>'[1]Processed Data'!F1112</f>
        <v>0</v>
      </c>
      <c r="G1112">
        <f>'[1]Processed Data'!G1112</f>
        <v>0</v>
      </c>
      <c r="H1112">
        <f>'[1]Processed Data'!H1112</f>
        <v>0</v>
      </c>
      <c r="I1112">
        <f>'[1]Processed Data'!I1112</f>
        <v>0</v>
      </c>
      <c r="J1112">
        <f>'[1]Processed Data'!J1112</f>
        <v>0</v>
      </c>
      <c r="K1112">
        <f>'[1]Processed Data'!K1112</f>
        <v>0</v>
      </c>
      <c r="L1112">
        <f>'[1]Processed Data'!L1112</f>
        <v>0</v>
      </c>
      <c r="M1112">
        <f>'[1]Processed Data'!M1112</f>
        <v>0</v>
      </c>
      <c r="N1112">
        <f>'[1]Processed Data'!N1112</f>
        <v>0</v>
      </c>
      <c r="O1112">
        <f>'[1]Processed Data'!O1112</f>
        <v>0</v>
      </c>
      <c r="P1112">
        <f>'[1]Processed Data'!P1112</f>
        <v>0</v>
      </c>
      <c r="Q1112">
        <f>'[1]Processed Data'!Q1112</f>
        <v>0</v>
      </c>
    </row>
    <row r="1113" spans="2:17" hidden="1">
      <c r="B1113">
        <f>'[1]Processed Data'!B1113</f>
        <v>2014</v>
      </c>
      <c r="C1113">
        <f>'[1]Processed Data'!C1113</f>
        <v>93</v>
      </c>
      <c r="D1113" t="str">
        <f>'[1]Processed Data'!D1113</f>
        <v>Adam Froman</v>
      </c>
      <c r="E1113">
        <v>2017</v>
      </c>
      <c r="F1113">
        <f>'[1]Processed Data'!F1113</f>
        <v>0</v>
      </c>
      <c r="G1113">
        <f>'[1]Processed Data'!G1113</f>
        <v>0</v>
      </c>
      <c r="H1113">
        <f>'[1]Processed Data'!H1113</f>
        <v>0</v>
      </c>
      <c r="I1113">
        <f>'[1]Processed Data'!I1113</f>
        <v>0</v>
      </c>
      <c r="J1113">
        <f>'[1]Processed Data'!J1113</f>
        <v>0</v>
      </c>
      <c r="K1113">
        <f>'[1]Processed Data'!K1113</f>
        <v>0</v>
      </c>
      <c r="L1113">
        <f>'[1]Processed Data'!L1113</f>
        <v>0</v>
      </c>
      <c r="M1113">
        <f>'[1]Processed Data'!M1113</f>
        <v>0</v>
      </c>
      <c r="N1113">
        <f>'[1]Processed Data'!N1113</f>
        <v>0</v>
      </c>
      <c r="O1113">
        <f>'[1]Processed Data'!O1113</f>
        <v>0</v>
      </c>
      <c r="P1113">
        <f>'[1]Processed Data'!P1113</f>
        <v>0</v>
      </c>
      <c r="Q1113">
        <f>'[1]Processed Data'!Q1113</f>
        <v>0</v>
      </c>
    </row>
    <row r="1114" spans="2:17" hidden="1">
      <c r="B1114">
        <f>'[1]Processed Data'!B1114</f>
        <v>2014</v>
      </c>
      <c r="C1114">
        <f>'[1]Processed Data'!C1114</f>
        <v>94</v>
      </c>
      <c r="D1114" t="str">
        <f>'[1]Processed Data'!D1114</f>
        <v>Austin Davis</v>
      </c>
      <c r="E1114">
        <v>2017</v>
      </c>
      <c r="F1114">
        <f>'[1]Processed Data'!F1114</f>
        <v>180</v>
      </c>
      <c r="G1114">
        <f>'[1]Processed Data'!G1114</f>
        <v>284</v>
      </c>
      <c r="H1114">
        <f>'[1]Processed Data'!H1114</f>
        <v>63.4</v>
      </c>
      <c r="I1114">
        <f>'[1]Processed Data'!I1114</f>
        <v>12</v>
      </c>
      <c r="J1114">
        <f>'[1]Processed Data'!J1114</f>
        <v>9</v>
      </c>
      <c r="K1114">
        <f>'[1]Processed Data'!K1114</f>
        <v>29</v>
      </c>
      <c r="L1114">
        <f>'[1]Processed Data'!L1114</f>
        <v>16</v>
      </c>
      <c r="M1114">
        <f>'[1]Processed Data'!M1114</f>
        <v>36</v>
      </c>
      <c r="N1114">
        <f>'[1]Processed Data'!N1114</f>
        <v>0</v>
      </c>
      <c r="O1114">
        <f>'[1]Processed Data'!O1114</f>
        <v>3</v>
      </c>
      <c r="P1114">
        <f>'[1]Processed Data'!P1114</f>
        <v>0</v>
      </c>
      <c r="Q1114">
        <f>'[1]Processed Data'!Q1114</f>
        <v>10</v>
      </c>
    </row>
    <row r="1115" spans="2:17" hidden="1">
      <c r="B1115">
        <f>'[1]Processed Data'!B1115</f>
        <v>2014</v>
      </c>
      <c r="C1115">
        <f>'[1]Processed Data'!C1115</f>
        <v>95</v>
      </c>
      <c r="D1115" t="str">
        <f>'[1]Processed Data'!D1115</f>
        <v>Andrew Luck</v>
      </c>
      <c r="E1115">
        <v>2017</v>
      </c>
      <c r="F1115">
        <f>'[1]Processed Data'!F1115</f>
        <v>380</v>
      </c>
      <c r="G1115">
        <f>'[1]Processed Data'!G1115</f>
        <v>616</v>
      </c>
      <c r="H1115">
        <f>'[1]Processed Data'!H1115</f>
        <v>61.7</v>
      </c>
      <c r="I1115">
        <f>'[1]Processed Data'!I1115</f>
        <v>40</v>
      </c>
      <c r="J1115">
        <f>'[1]Processed Data'!J1115</f>
        <v>16</v>
      </c>
      <c r="K1115">
        <f>'[1]Processed Data'!K1115</f>
        <v>27</v>
      </c>
      <c r="L1115">
        <f>'[1]Processed Data'!L1115</f>
        <v>64</v>
      </c>
      <c r="M1115">
        <f>'[1]Processed Data'!M1115</f>
        <v>273</v>
      </c>
      <c r="N1115">
        <f>'[1]Processed Data'!N1115</f>
        <v>3</v>
      </c>
      <c r="O1115">
        <f>'[1]Processed Data'!O1115</f>
        <v>6</v>
      </c>
      <c r="P1115">
        <f>'[1]Processed Data'!P1115</f>
        <v>0</v>
      </c>
      <c r="Q1115">
        <f>'[1]Processed Data'!Q1115</f>
        <v>16</v>
      </c>
    </row>
    <row r="1116" spans="2:17" hidden="1">
      <c r="B1116">
        <f>'[1]Processed Data'!B1116</f>
        <v>2014</v>
      </c>
      <c r="C1116">
        <f>'[1]Processed Data'!C1116</f>
        <v>96</v>
      </c>
      <c r="D1116" t="str">
        <f>'[1]Processed Data'!D1116</f>
        <v>Brandon Weeden</v>
      </c>
      <c r="E1116">
        <v>2017</v>
      </c>
      <c r="F1116">
        <f>'[1]Processed Data'!F1116</f>
        <v>24</v>
      </c>
      <c r="G1116">
        <f>'[1]Processed Data'!G1116</f>
        <v>41</v>
      </c>
      <c r="H1116">
        <f>'[1]Processed Data'!H1116</f>
        <v>58.5</v>
      </c>
      <c r="I1116">
        <f>'[1]Processed Data'!I1116</f>
        <v>3</v>
      </c>
      <c r="J1116">
        <f>'[1]Processed Data'!J1116</f>
        <v>2</v>
      </c>
      <c r="K1116">
        <f>'[1]Processed Data'!K1116</f>
        <v>1</v>
      </c>
      <c r="L1116">
        <f>'[1]Processed Data'!L1116</f>
        <v>6</v>
      </c>
      <c r="M1116">
        <f>'[1]Processed Data'!M1116</f>
        <v>-1</v>
      </c>
      <c r="N1116">
        <f>'[1]Processed Data'!N1116</f>
        <v>0</v>
      </c>
      <c r="O1116">
        <f>'[1]Processed Data'!O1116</f>
        <v>0</v>
      </c>
      <c r="P1116">
        <f>'[1]Processed Data'!P1116</f>
        <v>0</v>
      </c>
      <c r="Q1116">
        <f>'[1]Processed Data'!Q1116</f>
        <v>5</v>
      </c>
    </row>
    <row r="1117" spans="2:17" hidden="1">
      <c r="B1117">
        <f>'[1]Processed Data'!B1117</f>
        <v>2014</v>
      </c>
      <c r="C1117">
        <f>'[1]Processed Data'!C1117</f>
        <v>97</v>
      </c>
      <c r="D1117" t="str">
        <f>'[1]Processed Data'!D1117</f>
        <v>Brock Osweiler</v>
      </c>
      <c r="E1117">
        <v>2017</v>
      </c>
      <c r="F1117">
        <f>'[1]Processed Data'!F1117</f>
        <v>4</v>
      </c>
      <c r="G1117">
        <f>'[1]Processed Data'!G1117</f>
        <v>10</v>
      </c>
      <c r="H1117">
        <f>'[1]Processed Data'!H1117</f>
        <v>40</v>
      </c>
      <c r="I1117">
        <f>'[1]Processed Data'!I1117</f>
        <v>1</v>
      </c>
      <c r="J1117">
        <f>'[1]Processed Data'!J1117</f>
        <v>0</v>
      </c>
      <c r="K1117">
        <f>'[1]Processed Data'!K1117</f>
        <v>0</v>
      </c>
      <c r="L1117">
        <f>'[1]Processed Data'!L1117</f>
        <v>8</v>
      </c>
      <c r="M1117">
        <f>'[1]Processed Data'!M1117</f>
        <v>0</v>
      </c>
      <c r="N1117">
        <f>'[1]Processed Data'!N1117</f>
        <v>0</v>
      </c>
      <c r="O1117">
        <f>'[1]Processed Data'!O1117</f>
        <v>0</v>
      </c>
      <c r="P1117">
        <f>'[1]Processed Data'!P1117</f>
        <v>0</v>
      </c>
      <c r="Q1117">
        <f>'[1]Processed Data'!Q1117</f>
        <v>4</v>
      </c>
    </row>
    <row r="1118" spans="2:17" hidden="1">
      <c r="B1118">
        <f>'[1]Processed Data'!B1118</f>
        <v>2014</v>
      </c>
      <c r="C1118">
        <f>'[1]Processed Data'!C1118</f>
        <v>98</v>
      </c>
      <c r="D1118" t="str">
        <f>'[1]Processed Data'!D1118</f>
        <v>Ryan Lindley</v>
      </c>
      <c r="E1118">
        <v>2017</v>
      </c>
      <c r="F1118">
        <f>'[1]Processed Data'!F1118</f>
        <v>45</v>
      </c>
      <c r="G1118">
        <f>'[1]Processed Data'!G1118</f>
        <v>93</v>
      </c>
      <c r="H1118">
        <f>'[1]Processed Data'!H1118</f>
        <v>48.4</v>
      </c>
      <c r="I1118">
        <f>'[1]Processed Data'!I1118</f>
        <v>2</v>
      </c>
      <c r="J1118">
        <f>'[1]Processed Data'!J1118</f>
        <v>4</v>
      </c>
      <c r="K1118">
        <f>'[1]Processed Data'!K1118</f>
        <v>6</v>
      </c>
      <c r="L1118">
        <f>'[1]Processed Data'!L1118</f>
        <v>0</v>
      </c>
      <c r="M1118">
        <f>'[1]Processed Data'!M1118</f>
        <v>0</v>
      </c>
      <c r="N1118">
        <f>'[1]Processed Data'!N1118</f>
        <v>0</v>
      </c>
      <c r="O1118">
        <f>'[1]Processed Data'!O1118</f>
        <v>0</v>
      </c>
      <c r="P1118">
        <f>'[1]Processed Data'!P1118</f>
        <v>0</v>
      </c>
      <c r="Q1118">
        <f>'[1]Processed Data'!Q1118</f>
        <v>3</v>
      </c>
    </row>
    <row r="1119" spans="2:17" hidden="1">
      <c r="B1119">
        <f>'[1]Processed Data'!B1119</f>
        <v>2014</v>
      </c>
      <c r="C1119">
        <f>'[1]Processed Data'!C1119</f>
        <v>99</v>
      </c>
      <c r="D1119" t="str">
        <f>'[1]Processed Data'!D1119</f>
        <v>Derek Anderson</v>
      </c>
      <c r="E1119">
        <v>2017</v>
      </c>
      <c r="F1119">
        <f>'[1]Processed Data'!F1119</f>
        <v>65</v>
      </c>
      <c r="G1119">
        <f>'[1]Processed Data'!G1119</f>
        <v>97</v>
      </c>
      <c r="H1119">
        <f>'[1]Processed Data'!H1119</f>
        <v>67</v>
      </c>
      <c r="I1119">
        <f>'[1]Processed Data'!I1119</f>
        <v>5</v>
      </c>
      <c r="J1119">
        <f>'[1]Processed Data'!J1119</f>
        <v>0</v>
      </c>
      <c r="K1119">
        <f>'[1]Processed Data'!K1119</f>
        <v>4</v>
      </c>
      <c r="L1119">
        <f>'[1]Processed Data'!L1119</f>
        <v>8</v>
      </c>
      <c r="M1119">
        <f>'[1]Processed Data'!M1119</f>
        <v>24</v>
      </c>
      <c r="N1119">
        <f>'[1]Processed Data'!N1119</f>
        <v>0</v>
      </c>
      <c r="O1119">
        <f>'[1]Processed Data'!O1119</f>
        <v>0</v>
      </c>
      <c r="P1119">
        <f>'[1]Processed Data'!P1119</f>
        <v>0</v>
      </c>
      <c r="Q1119">
        <f>'[1]Processed Data'!Q1119</f>
        <v>6</v>
      </c>
    </row>
    <row r="1120" spans="2:17" hidden="1">
      <c r="B1120">
        <f>'[1]Processed Data'!B1120</f>
        <v>2014</v>
      </c>
      <c r="C1120">
        <f>'[1]Processed Data'!C1120</f>
        <v>100</v>
      </c>
      <c r="D1120" t="str">
        <f>'[1]Processed Data'!D1120</f>
        <v>Eli Manning</v>
      </c>
      <c r="E1120">
        <v>2017</v>
      </c>
      <c r="F1120">
        <f>'[1]Processed Data'!F1120</f>
        <v>379</v>
      </c>
      <c r="G1120">
        <f>'[1]Processed Data'!G1120</f>
        <v>601</v>
      </c>
      <c r="H1120">
        <f>'[1]Processed Data'!H1120</f>
        <v>63.1</v>
      </c>
      <c r="I1120">
        <f>'[1]Processed Data'!I1120</f>
        <v>30</v>
      </c>
      <c r="J1120">
        <f>'[1]Processed Data'!J1120</f>
        <v>14</v>
      </c>
      <c r="K1120">
        <f>'[1]Processed Data'!K1120</f>
        <v>28</v>
      </c>
      <c r="L1120">
        <f>'[1]Processed Data'!L1120</f>
        <v>12</v>
      </c>
      <c r="M1120">
        <f>'[1]Processed Data'!M1120</f>
        <v>31</v>
      </c>
      <c r="N1120">
        <f>'[1]Processed Data'!N1120</f>
        <v>1</v>
      </c>
      <c r="O1120">
        <f>'[1]Processed Data'!O1120</f>
        <v>4</v>
      </c>
      <c r="P1120">
        <f>'[1]Processed Data'!P1120</f>
        <v>0</v>
      </c>
      <c r="Q1120">
        <f>'[1]Processed Data'!Q1120</f>
        <v>16</v>
      </c>
    </row>
    <row r="1121" spans="2:17" hidden="1">
      <c r="B1121">
        <f>'[1]Processed Data'!B1121</f>
        <v>2014</v>
      </c>
      <c r="C1121">
        <f>'[1]Processed Data'!C1121</f>
        <v>101</v>
      </c>
      <c r="D1121" t="str">
        <f>'[1]Processed Data'!D1121</f>
        <v>Jason Campbell</v>
      </c>
      <c r="E1121">
        <v>2017</v>
      </c>
      <c r="F1121">
        <f>'[1]Processed Data'!F1121</f>
        <v>11</v>
      </c>
      <c r="G1121">
        <f>'[1]Processed Data'!G1121</f>
        <v>19</v>
      </c>
      <c r="H1121">
        <f>'[1]Processed Data'!H1121</f>
        <v>57.9</v>
      </c>
      <c r="I1121">
        <f>'[1]Processed Data'!I1121</f>
        <v>0</v>
      </c>
      <c r="J1121">
        <f>'[1]Processed Data'!J1121</f>
        <v>0</v>
      </c>
      <c r="K1121">
        <f>'[1]Processed Data'!K1121</f>
        <v>1</v>
      </c>
      <c r="L1121">
        <f>'[1]Processed Data'!L1121</f>
        <v>1</v>
      </c>
      <c r="M1121">
        <f>'[1]Processed Data'!M1121</f>
        <v>1</v>
      </c>
      <c r="N1121">
        <f>'[1]Processed Data'!N1121</f>
        <v>0</v>
      </c>
      <c r="O1121">
        <f>'[1]Processed Data'!O1121</f>
        <v>1</v>
      </c>
      <c r="P1121">
        <f>'[1]Processed Data'!P1121</f>
        <v>0</v>
      </c>
      <c r="Q1121">
        <f>'[1]Processed Data'!Q1121</f>
        <v>4</v>
      </c>
    </row>
    <row r="1122" spans="2:17" hidden="1">
      <c r="B1122">
        <f>'[1]Processed Data'!B1122</f>
        <v>2014</v>
      </c>
      <c r="C1122">
        <f>'[1]Processed Data'!C1122</f>
        <v>102</v>
      </c>
      <c r="D1122" t="str">
        <f>'[1]Processed Data'!D1122</f>
        <v>Jay Cutler</v>
      </c>
      <c r="E1122">
        <v>2017</v>
      </c>
      <c r="F1122">
        <f>'[1]Processed Data'!F1122</f>
        <v>370</v>
      </c>
      <c r="G1122">
        <f>'[1]Processed Data'!G1122</f>
        <v>561</v>
      </c>
      <c r="H1122">
        <f>'[1]Processed Data'!H1122</f>
        <v>66</v>
      </c>
      <c r="I1122">
        <f>'[1]Processed Data'!I1122</f>
        <v>28</v>
      </c>
      <c r="J1122">
        <f>'[1]Processed Data'!J1122</f>
        <v>18</v>
      </c>
      <c r="K1122">
        <f>'[1]Processed Data'!K1122</f>
        <v>38</v>
      </c>
      <c r="L1122">
        <f>'[1]Processed Data'!L1122</f>
        <v>39</v>
      </c>
      <c r="M1122">
        <f>'[1]Processed Data'!M1122</f>
        <v>191</v>
      </c>
      <c r="N1122">
        <f>'[1]Processed Data'!N1122</f>
        <v>2</v>
      </c>
      <c r="O1122">
        <f>'[1]Processed Data'!O1122</f>
        <v>6</v>
      </c>
      <c r="P1122">
        <f>'[1]Processed Data'!P1122</f>
        <v>0</v>
      </c>
      <c r="Q1122">
        <f>'[1]Processed Data'!Q1122</f>
        <v>15</v>
      </c>
    </row>
    <row r="1123" spans="2:17" hidden="1">
      <c r="B1123">
        <f>'[1]Processed Data'!B1123</f>
        <v>2014</v>
      </c>
      <c r="C1123">
        <f>'[1]Processed Data'!C1123</f>
        <v>103</v>
      </c>
      <c r="D1123" t="str">
        <f>'[1]Processed Data'!D1123</f>
        <v>Keith Null</v>
      </c>
      <c r="E1123">
        <v>2017</v>
      </c>
      <c r="F1123">
        <f>'[1]Processed Data'!F1123</f>
        <v>0</v>
      </c>
      <c r="G1123">
        <f>'[1]Processed Data'!G1123</f>
        <v>0</v>
      </c>
      <c r="H1123">
        <f>'[1]Processed Data'!H1123</f>
        <v>0</v>
      </c>
      <c r="I1123">
        <f>'[1]Processed Data'!I1123</f>
        <v>0</v>
      </c>
      <c r="J1123">
        <f>'[1]Processed Data'!J1123</f>
        <v>0</v>
      </c>
      <c r="K1123">
        <f>'[1]Processed Data'!K1123</f>
        <v>0</v>
      </c>
      <c r="L1123">
        <f>'[1]Processed Data'!L1123</f>
        <v>0</v>
      </c>
      <c r="M1123">
        <f>'[1]Processed Data'!M1123</f>
        <v>0</v>
      </c>
      <c r="N1123">
        <f>'[1]Processed Data'!N1123</f>
        <v>0</v>
      </c>
      <c r="O1123">
        <f>'[1]Processed Data'!O1123</f>
        <v>0</v>
      </c>
      <c r="P1123">
        <f>'[1]Processed Data'!P1123</f>
        <v>0</v>
      </c>
      <c r="Q1123">
        <f>'[1]Processed Data'!Q1123</f>
        <v>0</v>
      </c>
    </row>
    <row r="1124" spans="2:17" hidden="1">
      <c r="B1124">
        <f>'[1]Processed Data'!B1124</f>
        <v>2014</v>
      </c>
      <c r="C1124">
        <f>'[1]Processed Data'!C1124</f>
        <v>104</v>
      </c>
      <c r="D1124" t="str">
        <f>'[1]Processed Data'!D1124</f>
        <v>Brett Ratliff</v>
      </c>
      <c r="E1124">
        <v>2017</v>
      </c>
      <c r="F1124">
        <f>'[1]Processed Data'!F1124</f>
        <v>0</v>
      </c>
      <c r="G1124">
        <f>'[1]Processed Data'!G1124</f>
        <v>0</v>
      </c>
      <c r="H1124">
        <f>'[1]Processed Data'!H1124</f>
        <v>0</v>
      </c>
      <c r="I1124">
        <f>'[1]Processed Data'!I1124</f>
        <v>0</v>
      </c>
      <c r="J1124">
        <f>'[1]Processed Data'!J1124</f>
        <v>0</v>
      </c>
      <c r="K1124">
        <f>'[1]Processed Data'!K1124</f>
        <v>0</v>
      </c>
      <c r="L1124">
        <f>'[1]Processed Data'!L1124</f>
        <v>0</v>
      </c>
      <c r="M1124">
        <f>'[1]Processed Data'!M1124</f>
        <v>0</v>
      </c>
      <c r="N1124">
        <f>'[1]Processed Data'!N1124</f>
        <v>0</v>
      </c>
      <c r="O1124">
        <f>'[1]Processed Data'!O1124</f>
        <v>0</v>
      </c>
      <c r="P1124">
        <f>'[1]Processed Data'!P1124</f>
        <v>0</v>
      </c>
      <c r="Q1124">
        <f>'[1]Processed Data'!Q1124</f>
        <v>0</v>
      </c>
    </row>
    <row r="1125" spans="2:17" hidden="1">
      <c r="B1125">
        <f>'[1]Processed Data'!B1125</f>
        <v>2014</v>
      </c>
      <c r="C1125">
        <f>'[1]Processed Data'!C1125</f>
        <v>105</v>
      </c>
      <c r="D1125" t="str">
        <f>'[1]Processed Data'!D1125</f>
        <v>Brian Brohm</v>
      </c>
      <c r="E1125">
        <v>2017</v>
      </c>
      <c r="F1125">
        <f>'[1]Processed Data'!F1125</f>
        <v>0</v>
      </c>
      <c r="G1125">
        <f>'[1]Processed Data'!G1125</f>
        <v>0</v>
      </c>
      <c r="H1125">
        <f>'[1]Processed Data'!H1125</f>
        <v>0</v>
      </c>
      <c r="I1125">
        <f>'[1]Processed Data'!I1125</f>
        <v>0</v>
      </c>
      <c r="J1125">
        <f>'[1]Processed Data'!J1125</f>
        <v>0</v>
      </c>
      <c r="K1125">
        <f>'[1]Processed Data'!K1125</f>
        <v>0</v>
      </c>
      <c r="L1125">
        <f>'[1]Processed Data'!L1125</f>
        <v>0</v>
      </c>
      <c r="M1125">
        <f>'[1]Processed Data'!M1125</f>
        <v>0</v>
      </c>
      <c r="N1125">
        <f>'[1]Processed Data'!N1125</f>
        <v>0</v>
      </c>
      <c r="O1125">
        <f>'[1]Processed Data'!O1125</f>
        <v>0</v>
      </c>
      <c r="P1125">
        <f>'[1]Processed Data'!P1125</f>
        <v>0</v>
      </c>
      <c r="Q1125">
        <f>'[1]Processed Data'!Q1125</f>
        <v>0</v>
      </c>
    </row>
    <row r="1126" spans="2:17" hidden="1">
      <c r="B1126">
        <f>'[1]Processed Data'!B1126</f>
        <v>2014</v>
      </c>
      <c r="C1126">
        <f>'[1]Processed Data'!C1126</f>
        <v>106</v>
      </c>
      <c r="D1126" t="str">
        <f>'[1]Processed Data'!D1126</f>
        <v>Bruce Gradkowski</v>
      </c>
      <c r="E1126">
        <v>2017</v>
      </c>
      <c r="F1126">
        <f>'[1]Processed Data'!F1126</f>
        <v>0</v>
      </c>
      <c r="G1126">
        <f>'[1]Processed Data'!G1126</f>
        <v>0</v>
      </c>
      <c r="H1126">
        <f>'[1]Processed Data'!H1126</f>
        <v>0</v>
      </c>
      <c r="I1126">
        <f>'[1]Processed Data'!I1126</f>
        <v>0</v>
      </c>
      <c r="J1126">
        <f>'[1]Processed Data'!J1126</f>
        <v>0</v>
      </c>
      <c r="K1126">
        <f>'[1]Processed Data'!K1126</f>
        <v>0</v>
      </c>
      <c r="L1126">
        <f>'[1]Processed Data'!L1126</f>
        <v>2</v>
      </c>
      <c r="M1126">
        <f>'[1]Processed Data'!M1126</f>
        <v>-2</v>
      </c>
      <c r="N1126">
        <f>'[1]Processed Data'!N1126</f>
        <v>0</v>
      </c>
      <c r="O1126">
        <f>'[1]Processed Data'!O1126</f>
        <v>0</v>
      </c>
      <c r="P1126">
        <f>'[1]Processed Data'!P1126</f>
        <v>0</v>
      </c>
      <c r="Q1126">
        <f>'[1]Processed Data'!Q1126</f>
        <v>1</v>
      </c>
    </row>
    <row r="1127" spans="2:17" hidden="1">
      <c r="B1127">
        <f>'[1]Processed Data'!B1127</f>
        <v>2014</v>
      </c>
      <c r="C1127">
        <f>'[1]Processed Data'!C1127</f>
        <v>107</v>
      </c>
      <c r="D1127" t="str">
        <f>'[1]Processed Data'!D1127</f>
        <v>Carson Palmer</v>
      </c>
      <c r="E1127">
        <v>2017</v>
      </c>
      <c r="F1127">
        <f>'[1]Processed Data'!F1127</f>
        <v>141</v>
      </c>
      <c r="G1127">
        <f>'[1]Processed Data'!G1127</f>
        <v>224</v>
      </c>
      <c r="H1127">
        <f>'[1]Processed Data'!H1127</f>
        <v>62.9</v>
      </c>
      <c r="I1127">
        <f>'[1]Processed Data'!I1127</f>
        <v>11</v>
      </c>
      <c r="J1127">
        <f>'[1]Processed Data'!J1127</f>
        <v>3</v>
      </c>
      <c r="K1127">
        <f>'[1]Processed Data'!K1127</f>
        <v>9</v>
      </c>
      <c r="L1127">
        <f>'[1]Processed Data'!L1127</f>
        <v>8</v>
      </c>
      <c r="M1127">
        <f>'[1]Processed Data'!M1127</f>
        <v>25</v>
      </c>
      <c r="N1127">
        <f>'[1]Processed Data'!N1127</f>
        <v>0</v>
      </c>
      <c r="O1127">
        <f>'[1]Processed Data'!O1127</f>
        <v>1</v>
      </c>
      <c r="P1127">
        <f>'[1]Processed Data'!P1127</f>
        <v>0</v>
      </c>
      <c r="Q1127">
        <f>'[1]Processed Data'!Q1127</f>
        <v>6</v>
      </c>
    </row>
    <row r="1128" spans="2:17" hidden="1">
      <c r="B1128">
        <f>'[1]Processed Data'!B1128</f>
        <v>2014</v>
      </c>
      <c r="C1128">
        <f>'[1]Processed Data'!C1128</f>
        <v>108</v>
      </c>
      <c r="D1128" t="str">
        <f>'[1]Processed Data'!D1128</f>
        <v>Josh Johnson</v>
      </c>
      <c r="E1128">
        <v>2017</v>
      </c>
      <c r="F1128">
        <f>'[1]Processed Data'!F1128</f>
        <v>0</v>
      </c>
      <c r="G1128">
        <f>'[1]Processed Data'!G1128</f>
        <v>0</v>
      </c>
      <c r="H1128">
        <f>'[1]Processed Data'!H1128</f>
        <v>0</v>
      </c>
      <c r="I1128">
        <f>'[1]Processed Data'!I1128</f>
        <v>0</v>
      </c>
      <c r="J1128">
        <f>'[1]Processed Data'!J1128</f>
        <v>0</v>
      </c>
      <c r="K1128">
        <f>'[1]Processed Data'!K1128</f>
        <v>0</v>
      </c>
      <c r="L1128">
        <f>'[1]Processed Data'!L1128</f>
        <v>0</v>
      </c>
      <c r="M1128">
        <f>'[1]Processed Data'!M1128</f>
        <v>0</v>
      </c>
      <c r="N1128">
        <f>'[1]Processed Data'!N1128</f>
        <v>0</v>
      </c>
      <c r="O1128">
        <f>'[1]Processed Data'!O1128</f>
        <v>0</v>
      </c>
      <c r="P1128">
        <f>'[1]Processed Data'!P1128</f>
        <v>0</v>
      </c>
      <c r="Q1128">
        <f>'[1]Processed Data'!Q1128</f>
        <v>0</v>
      </c>
    </row>
    <row r="1129" spans="2:17" hidden="1">
      <c r="B1129">
        <f>'[1]Processed Data'!B1129</f>
        <v>2014</v>
      </c>
      <c r="C1129">
        <f>'[1]Processed Data'!C1129</f>
        <v>109</v>
      </c>
      <c r="D1129" t="str">
        <f>'[1]Processed Data'!D1129</f>
        <v>Kellen Clemens</v>
      </c>
      <c r="E1129">
        <v>2017</v>
      </c>
      <c r="F1129">
        <f>'[1]Processed Data'!F1129</f>
        <v>1</v>
      </c>
      <c r="G1129">
        <f>'[1]Processed Data'!G1129</f>
        <v>3</v>
      </c>
      <c r="H1129">
        <f>'[1]Processed Data'!H1129</f>
        <v>33.299999999999997</v>
      </c>
      <c r="I1129">
        <f>'[1]Processed Data'!I1129</f>
        <v>0</v>
      </c>
      <c r="J1129">
        <f>'[1]Processed Data'!J1129</f>
        <v>0</v>
      </c>
      <c r="K1129">
        <f>'[1]Processed Data'!K1129</f>
        <v>1</v>
      </c>
      <c r="L1129">
        <f>'[1]Processed Data'!L1129</f>
        <v>0</v>
      </c>
      <c r="M1129">
        <f>'[1]Processed Data'!M1129</f>
        <v>0</v>
      </c>
      <c r="N1129">
        <f>'[1]Processed Data'!N1129</f>
        <v>0</v>
      </c>
      <c r="O1129">
        <f>'[1]Processed Data'!O1129</f>
        <v>0</v>
      </c>
      <c r="P1129">
        <f>'[1]Processed Data'!P1129</f>
        <v>0</v>
      </c>
      <c r="Q1129">
        <f>'[1]Processed Data'!Q1129</f>
        <v>2</v>
      </c>
    </row>
    <row r="1130" spans="2:17" hidden="1">
      <c r="B1130">
        <f>'[1]Processed Data'!B1130</f>
        <v>2014</v>
      </c>
      <c r="C1130">
        <f>'[1]Processed Data'!C1130</f>
        <v>110</v>
      </c>
      <c r="D1130" t="str">
        <f>'[1]Processed Data'!D1130</f>
        <v>Shaun Hill</v>
      </c>
      <c r="E1130">
        <v>2017</v>
      </c>
      <c r="F1130">
        <f>'[1]Processed Data'!F1130</f>
        <v>145</v>
      </c>
      <c r="G1130">
        <f>'[1]Processed Data'!G1130</f>
        <v>229</v>
      </c>
      <c r="H1130">
        <f>'[1]Processed Data'!H1130</f>
        <v>63.3</v>
      </c>
      <c r="I1130">
        <f>'[1]Processed Data'!I1130</f>
        <v>8</v>
      </c>
      <c r="J1130">
        <f>'[1]Processed Data'!J1130</f>
        <v>7</v>
      </c>
      <c r="K1130">
        <f>'[1]Processed Data'!K1130</f>
        <v>18</v>
      </c>
      <c r="L1130">
        <f>'[1]Processed Data'!L1130</f>
        <v>10</v>
      </c>
      <c r="M1130">
        <f>'[1]Processed Data'!M1130</f>
        <v>10</v>
      </c>
      <c r="N1130">
        <f>'[1]Processed Data'!N1130</f>
        <v>1</v>
      </c>
      <c r="O1130">
        <f>'[1]Processed Data'!O1130</f>
        <v>1</v>
      </c>
      <c r="P1130">
        <f>'[1]Processed Data'!P1130</f>
        <v>0</v>
      </c>
      <c r="Q1130">
        <f>'[1]Processed Data'!Q1130</f>
        <v>9</v>
      </c>
    </row>
    <row r="1131" spans="2:17" hidden="1">
      <c r="B1131">
        <f>'[1]Processed Data'!B1131</f>
        <v>2014</v>
      </c>
      <c r="C1131">
        <f>'[1]Processed Data'!C1131</f>
        <v>111</v>
      </c>
      <c r="D1131" t="str">
        <f>'[1]Processed Data'!D1131</f>
        <v>Tarvaris Jackson</v>
      </c>
      <c r="E1131">
        <v>2017</v>
      </c>
      <c r="F1131">
        <f>'[1]Processed Data'!F1131</f>
        <v>1</v>
      </c>
      <c r="G1131">
        <f>'[1]Processed Data'!G1131</f>
        <v>1</v>
      </c>
      <c r="H1131">
        <f>'[1]Processed Data'!H1131</f>
        <v>100</v>
      </c>
      <c r="I1131">
        <f>'[1]Processed Data'!I1131</f>
        <v>0</v>
      </c>
      <c r="J1131">
        <f>'[1]Processed Data'!J1131</f>
        <v>0</v>
      </c>
      <c r="K1131">
        <f>'[1]Processed Data'!K1131</f>
        <v>0</v>
      </c>
      <c r="L1131">
        <f>'[1]Processed Data'!L1131</f>
        <v>0</v>
      </c>
      <c r="M1131">
        <f>'[1]Processed Data'!M1131</f>
        <v>0</v>
      </c>
      <c r="N1131">
        <f>'[1]Processed Data'!N1131</f>
        <v>0</v>
      </c>
      <c r="O1131">
        <f>'[1]Processed Data'!O1131</f>
        <v>0</v>
      </c>
      <c r="P1131">
        <f>'[1]Processed Data'!P1131</f>
        <v>0</v>
      </c>
      <c r="Q1131">
        <f>'[1]Processed Data'!Q1131</f>
        <v>1</v>
      </c>
    </row>
    <row r="1132" spans="2:17" hidden="1">
      <c r="B1132">
        <f>'[1]Processed Data'!B1132</f>
        <v>2014</v>
      </c>
      <c r="C1132">
        <f>'[1]Processed Data'!C1132</f>
        <v>112</v>
      </c>
      <c r="D1132" t="str">
        <f>'[1]Processed Data'!D1132</f>
        <v>Tony Romo</v>
      </c>
      <c r="E1132">
        <v>2017</v>
      </c>
      <c r="F1132">
        <f>'[1]Processed Data'!F1132</f>
        <v>304</v>
      </c>
      <c r="G1132">
        <f>'[1]Processed Data'!G1132</f>
        <v>435</v>
      </c>
      <c r="H1132">
        <f>'[1]Processed Data'!H1132</f>
        <v>69.900000000000006</v>
      </c>
      <c r="I1132">
        <f>'[1]Processed Data'!I1132</f>
        <v>34</v>
      </c>
      <c r="J1132">
        <f>'[1]Processed Data'!J1132</f>
        <v>9</v>
      </c>
      <c r="K1132">
        <f>'[1]Processed Data'!K1132</f>
        <v>29</v>
      </c>
      <c r="L1132">
        <f>'[1]Processed Data'!L1132</f>
        <v>26</v>
      </c>
      <c r="M1132">
        <f>'[1]Processed Data'!M1132</f>
        <v>61</v>
      </c>
      <c r="N1132">
        <f>'[1]Processed Data'!N1132</f>
        <v>0</v>
      </c>
      <c r="O1132">
        <f>'[1]Processed Data'!O1132</f>
        <v>3</v>
      </c>
      <c r="P1132">
        <f>'[1]Processed Data'!P1132</f>
        <v>0</v>
      </c>
      <c r="Q1132">
        <f>'[1]Processed Data'!Q1132</f>
        <v>15</v>
      </c>
    </row>
    <row r="1133" spans="2:17" hidden="1">
      <c r="B1133">
        <f>'[1]Processed Data'!B1133</f>
        <v>2014</v>
      </c>
      <c r="C1133">
        <f>'[1]Processed Data'!C1133</f>
        <v>113</v>
      </c>
      <c r="D1133" t="str">
        <f>'[1]Processed Data'!D1133</f>
        <v>Philip Rivers</v>
      </c>
      <c r="E1133">
        <v>2017</v>
      </c>
      <c r="F1133">
        <f>'[1]Processed Data'!F1133</f>
        <v>379</v>
      </c>
      <c r="G1133">
        <f>'[1]Processed Data'!G1133</f>
        <v>570</v>
      </c>
      <c r="H1133">
        <f>'[1]Processed Data'!H1133</f>
        <v>66.5</v>
      </c>
      <c r="I1133">
        <f>'[1]Processed Data'!I1133</f>
        <v>31</v>
      </c>
      <c r="J1133">
        <f>'[1]Processed Data'!J1133</f>
        <v>18</v>
      </c>
      <c r="K1133">
        <f>'[1]Processed Data'!K1133</f>
        <v>36</v>
      </c>
      <c r="L1133">
        <f>'[1]Processed Data'!L1133</f>
        <v>37</v>
      </c>
      <c r="M1133">
        <f>'[1]Processed Data'!M1133</f>
        <v>102</v>
      </c>
      <c r="N1133">
        <f>'[1]Processed Data'!N1133</f>
        <v>0</v>
      </c>
      <c r="O1133">
        <f>'[1]Processed Data'!O1133</f>
        <v>2</v>
      </c>
      <c r="P1133">
        <f>'[1]Processed Data'!P1133</f>
        <v>0</v>
      </c>
      <c r="Q1133">
        <f>'[1]Processed Data'!Q1133</f>
        <v>16</v>
      </c>
    </row>
    <row r="1134" spans="2:17" hidden="1">
      <c r="B1134">
        <f>'[1]Processed Data'!B1134</f>
        <v>2014</v>
      </c>
      <c r="C1134">
        <f>'[1]Processed Data'!C1134</f>
        <v>114</v>
      </c>
      <c r="D1134" t="str">
        <f>'[1]Processed Data'!D1134</f>
        <v>Jimmy Clausen</v>
      </c>
      <c r="E1134">
        <v>2017</v>
      </c>
      <c r="F1134">
        <f>'[1]Processed Data'!F1134</f>
        <v>26</v>
      </c>
      <c r="G1134">
        <f>'[1]Processed Data'!G1134</f>
        <v>48</v>
      </c>
      <c r="H1134">
        <f>'[1]Processed Data'!H1134</f>
        <v>54.2</v>
      </c>
      <c r="I1134">
        <f>'[1]Processed Data'!I1134</f>
        <v>2</v>
      </c>
      <c r="J1134">
        <f>'[1]Processed Data'!J1134</f>
        <v>1</v>
      </c>
      <c r="K1134">
        <f>'[1]Processed Data'!K1134</f>
        <v>3</v>
      </c>
      <c r="L1134">
        <f>'[1]Processed Data'!L1134</f>
        <v>3</v>
      </c>
      <c r="M1134">
        <f>'[1]Processed Data'!M1134</f>
        <v>9</v>
      </c>
      <c r="N1134">
        <f>'[1]Processed Data'!N1134</f>
        <v>0</v>
      </c>
      <c r="O1134">
        <f>'[1]Processed Data'!O1134</f>
        <v>0</v>
      </c>
      <c r="P1134">
        <f>'[1]Processed Data'!P1134</f>
        <v>0</v>
      </c>
      <c r="Q1134">
        <f>'[1]Processed Data'!Q1134</f>
        <v>4</v>
      </c>
    </row>
    <row r="1135" spans="2:17" hidden="1">
      <c r="B1135">
        <f>'[1]Processed Data'!B1135</f>
        <v>2014</v>
      </c>
      <c r="C1135">
        <f>'[1]Processed Data'!C1135</f>
        <v>115</v>
      </c>
      <c r="D1135" t="str">
        <f>'[1]Processed Data'!D1135</f>
        <v>Charlie Whitehurst</v>
      </c>
      <c r="E1135">
        <v>2017</v>
      </c>
      <c r="F1135">
        <f>'[1]Processed Data'!F1135</f>
        <v>105</v>
      </c>
      <c r="G1135">
        <f>'[1]Processed Data'!G1135</f>
        <v>185</v>
      </c>
      <c r="H1135">
        <f>'[1]Processed Data'!H1135</f>
        <v>56.8</v>
      </c>
      <c r="I1135">
        <f>'[1]Processed Data'!I1135</f>
        <v>7</v>
      </c>
      <c r="J1135">
        <f>'[1]Processed Data'!J1135</f>
        <v>2</v>
      </c>
      <c r="K1135">
        <f>'[1]Processed Data'!K1135</f>
        <v>18</v>
      </c>
      <c r="L1135">
        <f>'[1]Processed Data'!L1135</f>
        <v>20</v>
      </c>
      <c r="M1135">
        <f>'[1]Processed Data'!M1135</f>
        <v>90</v>
      </c>
      <c r="N1135">
        <f>'[1]Processed Data'!N1135</f>
        <v>0</v>
      </c>
      <c r="O1135">
        <f>'[1]Processed Data'!O1135</f>
        <v>0</v>
      </c>
      <c r="P1135">
        <f>'[1]Processed Data'!P1135</f>
        <v>0</v>
      </c>
      <c r="Q1135">
        <f>'[1]Processed Data'!Q1135</f>
        <v>7</v>
      </c>
    </row>
    <row r="1136" spans="2:17" hidden="1">
      <c r="B1136">
        <f>'[1]Processed Data'!B1136</f>
        <v>2014</v>
      </c>
      <c r="C1136">
        <f>'[1]Processed Data'!C1136</f>
        <v>116</v>
      </c>
      <c r="D1136" t="str">
        <f>'[1]Processed Data'!D1136</f>
        <v>Peyton Manning</v>
      </c>
      <c r="E1136">
        <v>2017</v>
      </c>
      <c r="F1136">
        <f>'[1]Processed Data'!F1136</f>
        <v>395</v>
      </c>
      <c r="G1136">
        <f>'[1]Processed Data'!G1136</f>
        <v>597</v>
      </c>
      <c r="H1136">
        <f>'[1]Processed Data'!H1136</f>
        <v>66.2</v>
      </c>
      <c r="I1136">
        <f>'[1]Processed Data'!I1136</f>
        <v>39</v>
      </c>
      <c r="J1136">
        <f>'[1]Processed Data'!J1136</f>
        <v>15</v>
      </c>
      <c r="K1136">
        <f>'[1]Processed Data'!K1136</f>
        <v>17</v>
      </c>
      <c r="L1136">
        <f>'[1]Processed Data'!L1136</f>
        <v>24</v>
      </c>
      <c r="M1136">
        <f>'[1]Processed Data'!M1136</f>
        <v>-24</v>
      </c>
      <c r="N1136">
        <f>'[1]Processed Data'!N1136</f>
        <v>0</v>
      </c>
      <c r="O1136">
        <f>'[1]Processed Data'!O1136</f>
        <v>2</v>
      </c>
      <c r="P1136">
        <f>'[1]Processed Data'!P1136</f>
        <v>0</v>
      </c>
      <c r="Q1136">
        <f>'[1]Processed Data'!Q1136</f>
        <v>16</v>
      </c>
    </row>
    <row r="1137" spans="2:17" hidden="1">
      <c r="B1137">
        <f>'[1]Processed Data'!B1137</f>
        <v>2014</v>
      </c>
      <c r="C1137">
        <f>'[1]Processed Data'!C1137</f>
        <v>117</v>
      </c>
      <c r="D1137" t="str">
        <f>'[1]Processed Data'!D1137</f>
        <v>Kyle Orton</v>
      </c>
      <c r="E1137">
        <v>2017</v>
      </c>
      <c r="F1137">
        <f>'[1]Processed Data'!F1137</f>
        <v>287</v>
      </c>
      <c r="G1137">
        <f>'[1]Processed Data'!G1137</f>
        <v>447</v>
      </c>
      <c r="H1137">
        <f>'[1]Processed Data'!H1137</f>
        <v>64.2</v>
      </c>
      <c r="I1137">
        <f>'[1]Processed Data'!I1137</f>
        <v>18</v>
      </c>
      <c r="J1137">
        <f>'[1]Processed Data'!J1137</f>
        <v>10</v>
      </c>
      <c r="K1137">
        <f>'[1]Processed Data'!K1137</f>
        <v>33</v>
      </c>
      <c r="L1137">
        <f>'[1]Processed Data'!L1137</f>
        <v>15</v>
      </c>
      <c r="M1137">
        <f>'[1]Processed Data'!M1137</f>
        <v>14</v>
      </c>
      <c r="N1137">
        <f>'[1]Processed Data'!N1137</f>
        <v>1</v>
      </c>
      <c r="O1137">
        <f>'[1]Processed Data'!O1137</f>
        <v>3</v>
      </c>
      <c r="P1137">
        <f>'[1]Processed Data'!P1137</f>
        <v>0</v>
      </c>
      <c r="Q1137">
        <f>'[1]Processed Data'!Q1137</f>
        <v>12</v>
      </c>
    </row>
    <row r="1138" spans="2:17" hidden="1">
      <c r="B1138">
        <f>'[1]Processed Data'!B1138</f>
        <v>2014</v>
      </c>
      <c r="C1138">
        <f>'[1]Processed Data'!C1138</f>
        <v>118</v>
      </c>
      <c r="D1138" t="str">
        <f>'[1]Processed Data'!D1138</f>
        <v>Luke McCown</v>
      </c>
      <c r="E1138">
        <v>2017</v>
      </c>
      <c r="F1138">
        <f>'[1]Processed Data'!F1138</f>
        <v>0</v>
      </c>
      <c r="G1138">
        <f>'[1]Processed Data'!G1138</f>
        <v>0</v>
      </c>
      <c r="H1138">
        <f>'[1]Processed Data'!H1138</f>
        <v>0</v>
      </c>
      <c r="I1138">
        <f>'[1]Processed Data'!I1138</f>
        <v>0</v>
      </c>
      <c r="J1138">
        <f>'[1]Processed Data'!J1138</f>
        <v>0</v>
      </c>
      <c r="K1138">
        <f>'[1]Processed Data'!K1138</f>
        <v>0</v>
      </c>
      <c r="L1138">
        <f>'[1]Processed Data'!L1138</f>
        <v>0</v>
      </c>
      <c r="M1138">
        <f>'[1]Processed Data'!M1138</f>
        <v>0</v>
      </c>
      <c r="N1138">
        <f>'[1]Processed Data'!N1138</f>
        <v>0</v>
      </c>
      <c r="O1138">
        <f>'[1]Processed Data'!O1138</f>
        <v>0</v>
      </c>
      <c r="P1138">
        <f>'[1]Processed Data'!P1138</f>
        <v>0</v>
      </c>
      <c r="Q1138">
        <f>'[1]Processed Data'!Q1138</f>
        <v>16</v>
      </c>
    </row>
    <row r="1139" spans="2:17" hidden="1">
      <c r="B1139">
        <f>'[1]Processed Data'!B1139</f>
        <v>2014</v>
      </c>
      <c r="C1139">
        <f>'[1]Processed Data'!C1139</f>
        <v>119</v>
      </c>
      <c r="D1139" t="str">
        <f>'[1]Processed Data'!D1139</f>
        <v>Mark Sanchez</v>
      </c>
      <c r="E1139">
        <v>2017</v>
      </c>
      <c r="F1139">
        <f>'[1]Processed Data'!F1139</f>
        <v>198</v>
      </c>
      <c r="G1139">
        <f>'[1]Processed Data'!G1139</f>
        <v>309</v>
      </c>
      <c r="H1139">
        <f>'[1]Processed Data'!H1139</f>
        <v>64.099999999999994</v>
      </c>
      <c r="I1139">
        <f>'[1]Processed Data'!I1139</f>
        <v>14</v>
      </c>
      <c r="J1139">
        <f>'[1]Processed Data'!J1139</f>
        <v>11</v>
      </c>
      <c r="K1139">
        <f>'[1]Processed Data'!K1139</f>
        <v>23</v>
      </c>
      <c r="L1139">
        <f>'[1]Processed Data'!L1139</f>
        <v>34</v>
      </c>
      <c r="M1139">
        <f>'[1]Processed Data'!M1139</f>
        <v>87</v>
      </c>
      <c r="N1139">
        <f>'[1]Processed Data'!N1139</f>
        <v>1</v>
      </c>
      <c r="O1139">
        <f>'[1]Processed Data'!O1139</f>
        <v>3</v>
      </c>
      <c r="P1139">
        <f>'[1]Processed Data'!P1139</f>
        <v>0</v>
      </c>
      <c r="Q1139">
        <f>'[1]Processed Data'!Q1139</f>
        <v>9</v>
      </c>
    </row>
    <row r="1140" spans="2:17" hidden="1">
      <c r="B1140">
        <f>'[1]Processed Data'!B1140</f>
        <v>2014</v>
      </c>
      <c r="C1140">
        <f>'[1]Processed Data'!C1140</f>
        <v>120</v>
      </c>
      <c r="D1140" t="str">
        <f>'[1]Processed Data'!D1140</f>
        <v>Matt Cassel</v>
      </c>
      <c r="E1140">
        <v>2017</v>
      </c>
      <c r="F1140">
        <f>'[1]Processed Data'!F1140</f>
        <v>41</v>
      </c>
      <c r="G1140">
        <f>'[1]Processed Data'!G1140</f>
        <v>71</v>
      </c>
      <c r="H1140">
        <f>'[1]Processed Data'!H1140</f>
        <v>57.7</v>
      </c>
      <c r="I1140">
        <f>'[1]Processed Data'!I1140</f>
        <v>3</v>
      </c>
      <c r="J1140">
        <f>'[1]Processed Data'!J1140</f>
        <v>4</v>
      </c>
      <c r="K1140">
        <f>'[1]Processed Data'!K1140</f>
        <v>6</v>
      </c>
      <c r="L1140">
        <f>'[1]Processed Data'!L1140</f>
        <v>9</v>
      </c>
      <c r="M1140">
        <f>'[1]Processed Data'!M1140</f>
        <v>18</v>
      </c>
      <c r="N1140">
        <f>'[1]Processed Data'!N1140</f>
        <v>0</v>
      </c>
      <c r="O1140">
        <f>'[1]Processed Data'!O1140</f>
        <v>0</v>
      </c>
      <c r="P1140">
        <f>'[1]Processed Data'!P1140</f>
        <v>0</v>
      </c>
      <c r="Q1140">
        <f>'[1]Processed Data'!Q1140</f>
        <v>3</v>
      </c>
    </row>
    <row r="1141" spans="2:17" hidden="1">
      <c r="B1141">
        <f>'[1]Processed Data'!B1141</f>
        <v>2014</v>
      </c>
      <c r="C1141">
        <f>'[1]Processed Data'!C1141</f>
        <v>121</v>
      </c>
      <c r="D1141" t="str">
        <f>'[1]Processed Data'!D1141</f>
        <v>Matt Flynn</v>
      </c>
      <c r="E1141">
        <v>2017</v>
      </c>
      <c r="F1141">
        <f>'[1]Processed Data'!F1141</f>
        <v>8</v>
      </c>
      <c r="G1141">
        <f>'[1]Processed Data'!G1141</f>
        <v>16</v>
      </c>
      <c r="H1141">
        <f>'[1]Processed Data'!H1141</f>
        <v>50</v>
      </c>
      <c r="I1141">
        <f>'[1]Processed Data'!I1141</f>
        <v>0</v>
      </c>
      <c r="J1141">
        <f>'[1]Processed Data'!J1141</f>
        <v>1</v>
      </c>
      <c r="K1141">
        <f>'[1]Processed Data'!K1141</f>
        <v>2</v>
      </c>
      <c r="L1141">
        <f>'[1]Processed Data'!L1141</f>
        <v>10</v>
      </c>
      <c r="M1141">
        <f>'[1]Processed Data'!M1141</f>
        <v>-10</v>
      </c>
      <c r="N1141">
        <f>'[1]Processed Data'!N1141</f>
        <v>0</v>
      </c>
      <c r="O1141">
        <f>'[1]Processed Data'!O1141</f>
        <v>1</v>
      </c>
      <c r="P1141">
        <f>'[1]Processed Data'!P1141</f>
        <v>0</v>
      </c>
      <c r="Q1141">
        <f>'[1]Processed Data'!Q1141</f>
        <v>7</v>
      </c>
    </row>
    <row r="1142" spans="2:17" hidden="1">
      <c r="B1142">
        <f>'[1]Processed Data'!B1142</f>
        <v>2014</v>
      </c>
      <c r="C1142">
        <f>'[1]Processed Data'!C1142</f>
        <v>122</v>
      </c>
      <c r="D1142" t="str">
        <f>'[1]Processed Data'!D1142</f>
        <v>Matt Hasselbeck</v>
      </c>
      <c r="E1142">
        <v>2017</v>
      </c>
      <c r="F1142">
        <f>'[1]Processed Data'!F1142</f>
        <v>30</v>
      </c>
      <c r="G1142">
        <f>'[1]Processed Data'!G1142</f>
        <v>44</v>
      </c>
      <c r="H1142">
        <f>'[1]Processed Data'!H1142</f>
        <v>68.2</v>
      </c>
      <c r="I1142">
        <f>'[1]Processed Data'!I1142</f>
        <v>2</v>
      </c>
      <c r="J1142">
        <f>'[1]Processed Data'!J1142</f>
        <v>0</v>
      </c>
      <c r="K1142">
        <f>'[1]Processed Data'!K1142</f>
        <v>2</v>
      </c>
      <c r="L1142">
        <f>'[1]Processed Data'!L1142</f>
        <v>8</v>
      </c>
      <c r="M1142">
        <f>'[1]Processed Data'!M1142</f>
        <v>-11</v>
      </c>
      <c r="N1142">
        <f>'[1]Processed Data'!N1142</f>
        <v>0</v>
      </c>
      <c r="O1142">
        <f>'[1]Processed Data'!O1142</f>
        <v>1</v>
      </c>
      <c r="P1142">
        <f>'[1]Processed Data'!P1142</f>
        <v>0</v>
      </c>
      <c r="Q1142">
        <f>'[1]Processed Data'!Q1142</f>
        <v>4</v>
      </c>
    </row>
    <row r="1143" spans="2:17" hidden="1">
      <c r="B1143">
        <f>'[1]Processed Data'!B1143</f>
        <v>2014</v>
      </c>
      <c r="C1143">
        <f>'[1]Processed Data'!C1143</f>
        <v>123</v>
      </c>
      <c r="D1143" t="str">
        <f>'[1]Processed Data'!D1143</f>
        <v>Matt Schaub</v>
      </c>
      <c r="E1143">
        <v>2017</v>
      </c>
      <c r="F1143">
        <f>'[1]Processed Data'!F1143</f>
        <v>5</v>
      </c>
      <c r="G1143">
        <f>'[1]Processed Data'!G1143</f>
        <v>10</v>
      </c>
      <c r="H1143">
        <f>'[1]Processed Data'!H1143</f>
        <v>50</v>
      </c>
      <c r="I1143">
        <f>'[1]Processed Data'!I1143</f>
        <v>0</v>
      </c>
      <c r="J1143">
        <f>'[1]Processed Data'!J1143</f>
        <v>2</v>
      </c>
      <c r="K1143">
        <f>'[1]Processed Data'!K1143</f>
        <v>3</v>
      </c>
      <c r="L1143">
        <f>'[1]Processed Data'!L1143</f>
        <v>0</v>
      </c>
      <c r="M1143">
        <f>'[1]Processed Data'!M1143</f>
        <v>0</v>
      </c>
      <c r="N1143">
        <f>'[1]Processed Data'!N1143</f>
        <v>0</v>
      </c>
      <c r="O1143">
        <f>'[1]Processed Data'!O1143</f>
        <v>1</v>
      </c>
      <c r="P1143">
        <f>'[1]Processed Data'!P1143</f>
        <v>0</v>
      </c>
      <c r="Q1143">
        <f>'[1]Processed Data'!Q1143</f>
        <v>11</v>
      </c>
    </row>
    <row r="1144" spans="2:17" hidden="1">
      <c r="B1144">
        <f>'[1]Processed Data'!B1144</f>
        <v>2014</v>
      </c>
      <c r="C1144">
        <f>'[1]Processed Data'!C1144</f>
        <v>124</v>
      </c>
      <c r="D1144" t="str">
        <f>'[1]Processed Data'!D1144</f>
        <v>Michael Vick</v>
      </c>
      <c r="E1144">
        <v>2017</v>
      </c>
      <c r="F1144">
        <f>'[1]Processed Data'!F1144</f>
        <v>64</v>
      </c>
      <c r="G1144">
        <f>'[1]Processed Data'!G1144</f>
        <v>121</v>
      </c>
      <c r="H1144">
        <f>'[1]Processed Data'!H1144</f>
        <v>52.9</v>
      </c>
      <c r="I1144">
        <f>'[1]Processed Data'!I1144</f>
        <v>3</v>
      </c>
      <c r="J1144">
        <f>'[1]Processed Data'!J1144</f>
        <v>2</v>
      </c>
      <c r="K1144">
        <f>'[1]Processed Data'!K1144</f>
        <v>19</v>
      </c>
      <c r="L1144">
        <f>'[1]Processed Data'!L1144</f>
        <v>26</v>
      </c>
      <c r="M1144">
        <f>'[1]Processed Data'!M1144</f>
        <v>153</v>
      </c>
      <c r="N1144">
        <f>'[1]Processed Data'!N1144</f>
        <v>0</v>
      </c>
      <c r="O1144">
        <f>'[1]Processed Data'!O1144</f>
        <v>2</v>
      </c>
      <c r="P1144">
        <f>'[1]Processed Data'!P1144</f>
        <v>0</v>
      </c>
      <c r="Q1144">
        <f>'[1]Processed Data'!Q1144</f>
        <v>10</v>
      </c>
    </row>
    <row r="1145" spans="2:17" hidden="1">
      <c r="B1145">
        <f>'[1]Processed Data'!B1145</f>
        <v>2014</v>
      </c>
      <c r="C1145">
        <f>'[1]Processed Data'!C1145</f>
        <v>125</v>
      </c>
      <c r="D1145" t="str">
        <f>'[1]Processed Data'!D1145</f>
        <v>Mitchell Trubisky</v>
      </c>
      <c r="E1145">
        <v>2017</v>
      </c>
      <c r="F1145">
        <f>'[1]Processed Data'!F1145</f>
        <v>0</v>
      </c>
      <c r="G1145">
        <f>'[1]Processed Data'!G1145</f>
        <v>0</v>
      </c>
      <c r="H1145">
        <f>'[1]Processed Data'!H1145</f>
        <v>0</v>
      </c>
      <c r="I1145">
        <f>'[1]Processed Data'!I1145</f>
        <v>0</v>
      </c>
      <c r="J1145">
        <f>'[1]Processed Data'!J1145</f>
        <v>0</v>
      </c>
      <c r="K1145">
        <f>'[1]Processed Data'!K1145</f>
        <v>0</v>
      </c>
      <c r="L1145">
        <f>'[1]Processed Data'!L1145</f>
        <v>0</v>
      </c>
      <c r="M1145">
        <f>'[1]Processed Data'!M1145</f>
        <v>0</v>
      </c>
      <c r="N1145">
        <f>'[1]Processed Data'!N1145</f>
        <v>0</v>
      </c>
      <c r="O1145">
        <f>'[1]Processed Data'!O1145</f>
        <v>0</v>
      </c>
      <c r="P1145">
        <f>'[1]Processed Data'!P1145</f>
        <v>0</v>
      </c>
      <c r="Q1145">
        <f>'[1]Processed Data'!Q1145</f>
        <v>0</v>
      </c>
    </row>
    <row r="1146" spans="2:17" hidden="1">
      <c r="B1146">
        <f>'[1]Processed Data'!B1146</f>
        <v>2014</v>
      </c>
      <c r="C1146">
        <f>'[1]Processed Data'!C1146</f>
        <v>126</v>
      </c>
      <c r="D1146" t="str">
        <f>'[1]Processed Data'!D1146</f>
        <v>Deshaun Watson</v>
      </c>
      <c r="E1146">
        <v>2017</v>
      </c>
      <c r="F1146">
        <f>'[1]Processed Data'!F1146</f>
        <v>0</v>
      </c>
      <c r="G1146">
        <f>'[1]Processed Data'!G1146</f>
        <v>0</v>
      </c>
      <c r="H1146">
        <f>'[1]Processed Data'!H1146</f>
        <v>0</v>
      </c>
      <c r="I1146">
        <f>'[1]Processed Data'!I1146</f>
        <v>0</v>
      </c>
      <c r="J1146">
        <f>'[1]Processed Data'!J1146</f>
        <v>0</v>
      </c>
      <c r="K1146">
        <f>'[1]Processed Data'!K1146</f>
        <v>0</v>
      </c>
      <c r="L1146">
        <f>'[1]Processed Data'!L1146</f>
        <v>0</v>
      </c>
      <c r="M1146">
        <f>'[1]Processed Data'!M1146</f>
        <v>0</v>
      </c>
      <c r="N1146">
        <f>'[1]Processed Data'!N1146</f>
        <v>0</v>
      </c>
      <c r="O1146">
        <f>'[1]Processed Data'!O1146</f>
        <v>0</v>
      </c>
      <c r="P1146">
        <f>'[1]Processed Data'!P1146</f>
        <v>0</v>
      </c>
      <c r="Q1146">
        <f>'[1]Processed Data'!Q1146</f>
        <v>0</v>
      </c>
    </row>
    <row r="1147" spans="2:17" hidden="1">
      <c r="B1147">
        <f>'[1]Processed Data'!B1147</f>
        <v>2014</v>
      </c>
      <c r="C1147">
        <f>'[1]Processed Data'!C1147</f>
        <v>127</v>
      </c>
      <c r="D1147" t="str">
        <f>'[1]Processed Data'!D1147</f>
        <v>Patrick Mahomes II</v>
      </c>
      <c r="E1147">
        <v>2017</v>
      </c>
      <c r="F1147">
        <f>'[1]Processed Data'!F1147</f>
        <v>0</v>
      </c>
      <c r="G1147">
        <f>'[1]Processed Data'!G1147</f>
        <v>0</v>
      </c>
      <c r="H1147">
        <f>'[1]Processed Data'!H1147</f>
        <v>0</v>
      </c>
      <c r="I1147">
        <f>'[1]Processed Data'!I1147</f>
        <v>0</v>
      </c>
      <c r="J1147">
        <f>'[1]Processed Data'!J1147</f>
        <v>0</v>
      </c>
      <c r="K1147">
        <f>'[1]Processed Data'!K1147</f>
        <v>0</v>
      </c>
      <c r="L1147">
        <f>'[1]Processed Data'!L1147</f>
        <v>0</v>
      </c>
      <c r="M1147">
        <f>'[1]Processed Data'!M1147</f>
        <v>0</v>
      </c>
      <c r="N1147">
        <f>'[1]Processed Data'!N1147</f>
        <v>0</v>
      </c>
      <c r="O1147">
        <f>'[1]Processed Data'!O1147</f>
        <v>0</v>
      </c>
      <c r="P1147">
        <f>'[1]Processed Data'!P1147</f>
        <v>0</v>
      </c>
      <c r="Q1147">
        <f>'[1]Processed Data'!Q1147</f>
        <v>0</v>
      </c>
    </row>
    <row r="1148" spans="2:17" hidden="1">
      <c r="B1148">
        <f>'[1]Processed Data'!B1148</f>
        <v>2014</v>
      </c>
      <c r="C1148">
        <f>'[1]Processed Data'!C1148</f>
        <v>128</v>
      </c>
      <c r="D1148" t="str">
        <f>'[1]Processed Data'!D1148</f>
        <v>Carson Wentz</v>
      </c>
      <c r="E1148">
        <v>2017</v>
      </c>
      <c r="F1148">
        <f>'[1]Processed Data'!F1148</f>
        <v>0</v>
      </c>
      <c r="G1148">
        <f>'[1]Processed Data'!G1148</f>
        <v>0</v>
      </c>
      <c r="H1148">
        <f>'[1]Processed Data'!H1148</f>
        <v>0</v>
      </c>
      <c r="I1148">
        <f>'[1]Processed Data'!I1148</f>
        <v>0</v>
      </c>
      <c r="J1148">
        <f>'[1]Processed Data'!J1148</f>
        <v>0</v>
      </c>
      <c r="K1148">
        <f>'[1]Processed Data'!K1148</f>
        <v>0</v>
      </c>
      <c r="L1148">
        <f>'[1]Processed Data'!L1148</f>
        <v>0</v>
      </c>
      <c r="M1148">
        <f>'[1]Processed Data'!M1148</f>
        <v>0</v>
      </c>
      <c r="N1148">
        <f>'[1]Processed Data'!N1148</f>
        <v>0</v>
      </c>
      <c r="O1148">
        <f>'[1]Processed Data'!O1148</f>
        <v>0</v>
      </c>
      <c r="P1148">
        <f>'[1]Processed Data'!P1148</f>
        <v>0</v>
      </c>
      <c r="Q1148">
        <f>'[1]Processed Data'!Q1148</f>
        <v>0</v>
      </c>
    </row>
    <row r="1149" spans="2:17" hidden="1">
      <c r="B1149">
        <f>'[1]Processed Data'!B1149</f>
        <v>2014</v>
      </c>
      <c r="C1149">
        <f>'[1]Processed Data'!C1149</f>
        <v>129</v>
      </c>
      <c r="D1149" t="str">
        <f>'[1]Processed Data'!D1149</f>
        <v>Dak Prescott</v>
      </c>
      <c r="E1149">
        <v>2017</v>
      </c>
      <c r="F1149">
        <f>'[1]Processed Data'!F1149</f>
        <v>0</v>
      </c>
      <c r="G1149">
        <f>'[1]Processed Data'!G1149</f>
        <v>0</v>
      </c>
      <c r="H1149">
        <f>'[1]Processed Data'!H1149</f>
        <v>0</v>
      </c>
      <c r="I1149">
        <f>'[1]Processed Data'!I1149</f>
        <v>0</v>
      </c>
      <c r="J1149">
        <f>'[1]Processed Data'!J1149</f>
        <v>0</v>
      </c>
      <c r="K1149">
        <f>'[1]Processed Data'!K1149</f>
        <v>0</v>
      </c>
      <c r="L1149">
        <f>'[1]Processed Data'!L1149</f>
        <v>0</v>
      </c>
      <c r="M1149">
        <f>'[1]Processed Data'!M1149</f>
        <v>0</v>
      </c>
      <c r="N1149">
        <f>'[1]Processed Data'!N1149</f>
        <v>0</v>
      </c>
      <c r="O1149">
        <f>'[1]Processed Data'!O1149</f>
        <v>0</v>
      </c>
      <c r="P1149">
        <f>'[1]Processed Data'!P1149</f>
        <v>0</v>
      </c>
      <c r="Q1149">
        <f>'[1]Processed Data'!Q1149</f>
        <v>0</v>
      </c>
    </row>
    <row r="1150" spans="2:17" hidden="1">
      <c r="B1150">
        <f>'[1]Processed Data'!B1150</f>
        <v>2014</v>
      </c>
      <c r="C1150">
        <f>'[1]Processed Data'!C1150</f>
        <v>130</v>
      </c>
      <c r="D1150" t="str">
        <f>'[1]Processed Data'!D1150</f>
        <v>Jeff Driskel</v>
      </c>
      <c r="E1150">
        <v>2017</v>
      </c>
      <c r="F1150">
        <f>'[1]Processed Data'!F1150</f>
        <v>0</v>
      </c>
      <c r="G1150">
        <f>'[1]Processed Data'!G1150</f>
        <v>0</v>
      </c>
      <c r="H1150">
        <f>'[1]Processed Data'!H1150</f>
        <v>0</v>
      </c>
      <c r="I1150">
        <f>'[1]Processed Data'!I1150</f>
        <v>0</v>
      </c>
      <c r="J1150">
        <f>'[1]Processed Data'!J1150</f>
        <v>0</v>
      </c>
      <c r="K1150">
        <f>'[1]Processed Data'!K1150</f>
        <v>0</v>
      </c>
      <c r="L1150">
        <f>'[1]Processed Data'!L1150</f>
        <v>0</v>
      </c>
      <c r="M1150">
        <f>'[1]Processed Data'!M1150</f>
        <v>0</v>
      </c>
      <c r="N1150">
        <f>'[1]Processed Data'!N1150</f>
        <v>0</v>
      </c>
      <c r="O1150">
        <f>'[1]Processed Data'!O1150</f>
        <v>0</v>
      </c>
      <c r="P1150">
        <f>'[1]Processed Data'!P1150</f>
        <v>0</v>
      </c>
      <c r="Q1150">
        <f>'[1]Processed Data'!Q1150</f>
        <v>0</v>
      </c>
    </row>
    <row r="1151" spans="2:17" hidden="1">
      <c r="B1151">
        <f>'[1]Processed Data'!B1151</f>
        <v>2014</v>
      </c>
      <c r="C1151">
        <f>'[1]Processed Data'!C1151</f>
        <v>131</v>
      </c>
      <c r="D1151" t="str">
        <f>'[1]Processed Data'!D1151</f>
        <v>Jacoby Brissett</v>
      </c>
      <c r="E1151">
        <v>2017</v>
      </c>
      <c r="F1151">
        <f>'[1]Processed Data'!F1151</f>
        <v>0</v>
      </c>
      <c r="G1151">
        <f>'[1]Processed Data'!G1151</f>
        <v>0</v>
      </c>
      <c r="H1151">
        <f>'[1]Processed Data'!H1151</f>
        <v>0</v>
      </c>
      <c r="I1151">
        <f>'[1]Processed Data'!I1151</f>
        <v>0</v>
      </c>
      <c r="J1151">
        <f>'[1]Processed Data'!J1151</f>
        <v>0</v>
      </c>
      <c r="K1151">
        <f>'[1]Processed Data'!K1151</f>
        <v>0</v>
      </c>
      <c r="L1151">
        <f>'[1]Processed Data'!L1151</f>
        <v>0</v>
      </c>
      <c r="M1151">
        <f>'[1]Processed Data'!M1151</f>
        <v>0</v>
      </c>
      <c r="N1151">
        <f>'[1]Processed Data'!N1151</f>
        <v>0</v>
      </c>
      <c r="O1151">
        <f>'[1]Processed Data'!O1151</f>
        <v>0</v>
      </c>
      <c r="P1151">
        <f>'[1]Processed Data'!P1151</f>
        <v>0</v>
      </c>
      <c r="Q1151">
        <f>'[1]Processed Data'!Q1151</f>
        <v>0</v>
      </c>
    </row>
    <row r="1152" spans="2:17" hidden="1">
      <c r="B1152">
        <f>'[1]Processed Data'!B1152</f>
        <v>2014</v>
      </c>
      <c r="C1152">
        <f>'[1]Processed Data'!C1152</f>
        <v>132</v>
      </c>
      <c r="D1152" t="str">
        <f>'[1]Processed Data'!D1152</f>
        <v>Nate Sudfeld</v>
      </c>
      <c r="E1152">
        <v>2017</v>
      </c>
      <c r="F1152">
        <f>'[1]Processed Data'!F1152</f>
        <v>0</v>
      </c>
      <c r="G1152">
        <f>'[1]Processed Data'!G1152</f>
        <v>0</v>
      </c>
      <c r="H1152">
        <f>'[1]Processed Data'!H1152</f>
        <v>0</v>
      </c>
      <c r="I1152">
        <f>'[1]Processed Data'!I1152</f>
        <v>0</v>
      </c>
      <c r="J1152">
        <f>'[1]Processed Data'!J1152</f>
        <v>0</v>
      </c>
      <c r="K1152">
        <f>'[1]Processed Data'!K1152</f>
        <v>0</v>
      </c>
      <c r="L1152">
        <f>'[1]Processed Data'!L1152</f>
        <v>0</v>
      </c>
      <c r="M1152">
        <f>'[1]Processed Data'!M1152</f>
        <v>0</v>
      </c>
      <c r="N1152">
        <f>'[1]Processed Data'!N1152</f>
        <v>0</v>
      </c>
      <c r="O1152">
        <f>'[1]Processed Data'!O1152</f>
        <v>0</v>
      </c>
      <c r="P1152">
        <f>'[1]Processed Data'!P1152</f>
        <v>0</v>
      </c>
      <c r="Q1152">
        <f>'[1]Processed Data'!Q1152</f>
        <v>0</v>
      </c>
    </row>
    <row r="1153" spans="2:17" hidden="1">
      <c r="B1153">
        <f>'[1]Processed Data'!B1153</f>
        <v>2014</v>
      </c>
      <c r="C1153">
        <f>'[1]Processed Data'!C1153</f>
        <v>133</v>
      </c>
      <c r="D1153" t="str">
        <f>'[1]Processed Data'!D1153</f>
        <v>Brandon Allen</v>
      </c>
      <c r="E1153">
        <v>2017</v>
      </c>
      <c r="F1153">
        <f>'[1]Processed Data'!F1153</f>
        <v>0</v>
      </c>
      <c r="G1153">
        <f>'[1]Processed Data'!G1153</f>
        <v>0</v>
      </c>
      <c r="H1153">
        <f>'[1]Processed Data'!H1153</f>
        <v>0</v>
      </c>
      <c r="I1153">
        <f>'[1]Processed Data'!I1153</f>
        <v>0</v>
      </c>
      <c r="J1153">
        <f>'[1]Processed Data'!J1153</f>
        <v>0</v>
      </c>
      <c r="K1153">
        <f>'[1]Processed Data'!K1153</f>
        <v>0</v>
      </c>
      <c r="L1153">
        <f>'[1]Processed Data'!L1153</f>
        <v>0</v>
      </c>
      <c r="M1153">
        <f>'[1]Processed Data'!M1153</f>
        <v>0</v>
      </c>
      <c r="N1153">
        <f>'[1]Processed Data'!N1153</f>
        <v>0</v>
      </c>
      <c r="O1153">
        <f>'[1]Processed Data'!O1153</f>
        <v>0</v>
      </c>
      <c r="P1153">
        <f>'[1]Processed Data'!P1153</f>
        <v>0</v>
      </c>
      <c r="Q1153">
        <f>'[1]Processed Data'!Q1153</f>
        <v>0</v>
      </c>
    </row>
    <row r="1154" spans="2:17" hidden="1">
      <c r="B1154">
        <f>'[1]Processed Data'!B1154</f>
        <v>2014</v>
      </c>
      <c r="C1154">
        <f>'[1]Processed Data'!C1154</f>
        <v>134</v>
      </c>
      <c r="D1154" t="str">
        <f>'[1]Processed Data'!D1154</f>
        <v>Kevin Hogan</v>
      </c>
      <c r="E1154">
        <v>2017</v>
      </c>
      <c r="F1154">
        <f>'[1]Processed Data'!F1154</f>
        <v>0</v>
      </c>
      <c r="G1154">
        <f>'[1]Processed Data'!G1154</f>
        <v>0</v>
      </c>
      <c r="H1154">
        <f>'[1]Processed Data'!H1154</f>
        <v>0</v>
      </c>
      <c r="I1154">
        <f>'[1]Processed Data'!I1154</f>
        <v>0</v>
      </c>
      <c r="J1154">
        <f>'[1]Processed Data'!J1154</f>
        <v>0</v>
      </c>
      <c r="K1154">
        <f>'[1]Processed Data'!K1154</f>
        <v>0</v>
      </c>
      <c r="L1154">
        <f>'[1]Processed Data'!L1154</f>
        <v>0</v>
      </c>
      <c r="M1154">
        <f>'[1]Processed Data'!M1154</f>
        <v>0</v>
      </c>
      <c r="N1154">
        <f>'[1]Processed Data'!N1154</f>
        <v>0</v>
      </c>
      <c r="O1154">
        <f>'[1]Processed Data'!O1154</f>
        <v>0</v>
      </c>
      <c r="P1154">
        <f>'[1]Processed Data'!P1154</f>
        <v>0</v>
      </c>
      <c r="Q1154">
        <f>'[1]Processed Data'!Q1154</f>
        <v>0</v>
      </c>
    </row>
    <row r="1155" spans="2:17" hidden="1">
      <c r="B1155">
        <f>'[1]Processed Data'!B1155</f>
        <v>2014</v>
      </c>
      <c r="C1155">
        <f>'[1]Processed Data'!C1155</f>
        <v>135</v>
      </c>
      <c r="D1155" t="str">
        <f>'[1]Processed Data'!D1155</f>
        <v>Logan Woodside</v>
      </c>
      <c r="E1155">
        <v>2017</v>
      </c>
      <c r="F1155">
        <f>'[1]Processed Data'!F1155</f>
        <v>0</v>
      </c>
      <c r="G1155">
        <f>'[1]Processed Data'!G1155</f>
        <v>0</v>
      </c>
      <c r="H1155">
        <f>'[1]Processed Data'!H1155</f>
        <v>0</v>
      </c>
      <c r="I1155">
        <f>'[1]Processed Data'!I1155</f>
        <v>0</v>
      </c>
      <c r="J1155">
        <f>'[1]Processed Data'!J1155</f>
        <v>0</v>
      </c>
      <c r="K1155">
        <f>'[1]Processed Data'!K1155</f>
        <v>0</v>
      </c>
      <c r="L1155">
        <f>'[1]Processed Data'!L1155</f>
        <v>0</v>
      </c>
      <c r="M1155">
        <f>'[1]Processed Data'!M1155</f>
        <v>0</v>
      </c>
      <c r="N1155">
        <f>'[1]Processed Data'!N1155</f>
        <v>0</v>
      </c>
      <c r="O1155">
        <f>'[1]Processed Data'!O1155</f>
        <v>0</v>
      </c>
      <c r="P1155">
        <f>'[1]Processed Data'!P1155</f>
        <v>0</v>
      </c>
      <c r="Q1155">
        <f>'[1]Processed Data'!Q1155</f>
        <v>0</v>
      </c>
    </row>
    <row r="1156" spans="2:17" hidden="1">
      <c r="B1156">
        <f>'[1]Processed Data'!B1156</f>
        <v>2014</v>
      </c>
      <c r="C1156">
        <f>'[1]Processed Data'!C1156</f>
        <v>136</v>
      </c>
      <c r="D1156" t="str">
        <f>'[1]Processed Data'!D1156</f>
        <v>Mason Rudolph</v>
      </c>
      <c r="E1156">
        <v>2017</v>
      </c>
      <c r="F1156">
        <f>'[1]Processed Data'!F1156</f>
        <v>0</v>
      </c>
      <c r="G1156">
        <f>'[1]Processed Data'!G1156</f>
        <v>0</v>
      </c>
      <c r="H1156">
        <f>'[1]Processed Data'!H1156</f>
        <v>0</v>
      </c>
      <c r="I1156">
        <f>'[1]Processed Data'!I1156</f>
        <v>0</v>
      </c>
      <c r="J1156">
        <f>'[1]Processed Data'!J1156</f>
        <v>0</v>
      </c>
      <c r="K1156">
        <f>'[1]Processed Data'!K1156</f>
        <v>0</v>
      </c>
      <c r="L1156">
        <f>'[1]Processed Data'!L1156</f>
        <v>0</v>
      </c>
      <c r="M1156">
        <f>'[1]Processed Data'!M1156</f>
        <v>0</v>
      </c>
      <c r="N1156">
        <f>'[1]Processed Data'!N1156</f>
        <v>0</v>
      </c>
      <c r="O1156">
        <f>'[1]Processed Data'!O1156</f>
        <v>0</v>
      </c>
      <c r="P1156">
        <f>'[1]Processed Data'!P1156</f>
        <v>0</v>
      </c>
      <c r="Q1156">
        <f>'[1]Processed Data'!Q1156</f>
        <v>0</v>
      </c>
    </row>
    <row r="1157" spans="2:17" hidden="1">
      <c r="B1157">
        <f>'[1]Processed Data'!B1157</f>
        <v>2014</v>
      </c>
      <c r="C1157">
        <f>'[1]Processed Data'!C1157</f>
        <v>137</v>
      </c>
      <c r="D1157" t="str">
        <f>'[1]Processed Data'!D1157</f>
        <v>Josh Rosen</v>
      </c>
      <c r="E1157">
        <v>2017</v>
      </c>
      <c r="F1157">
        <f>'[1]Processed Data'!F1157</f>
        <v>0</v>
      </c>
      <c r="G1157">
        <f>'[1]Processed Data'!G1157</f>
        <v>0</v>
      </c>
      <c r="H1157">
        <f>'[1]Processed Data'!H1157</f>
        <v>0</v>
      </c>
      <c r="I1157">
        <f>'[1]Processed Data'!I1157</f>
        <v>0</v>
      </c>
      <c r="J1157">
        <f>'[1]Processed Data'!J1157</f>
        <v>0</v>
      </c>
      <c r="K1157">
        <f>'[1]Processed Data'!K1157</f>
        <v>0</v>
      </c>
      <c r="L1157">
        <f>'[1]Processed Data'!L1157</f>
        <v>0</v>
      </c>
      <c r="M1157">
        <f>'[1]Processed Data'!M1157</f>
        <v>0</v>
      </c>
      <c r="N1157">
        <f>'[1]Processed Data'!N1157</f>
        <v>0</v>
      </c>
      <c r="O1157">
        <f>'[1]Processed Data'!O1157</f>
        <v>0</v>
      </c>
      <c r="P1157">
        <f>'[1]Processed Data'!P1157</f>
        <v>0</v>
      </c>
      <c r="Q1157">
        <f>'[1]Processed Data'!Q1157</f>
        <v>0</v>
      </c>
    </row>
    <row r="1158" spans="2:17" hidden="1">
      <c r="B1158">
        <f>'[1]Processed Data'!B1158</f>
        <v>2014</v>
      </c>
      <c r="C1158">
        <f>'[1]Processed Data'!C1158</f>
        <v>138</v>
      </c>
      <c r="D1158" t="str">
        <f>'[1]Processed Data'!D1158</f>
        <v>Sam Darnold</v>
      </c>
      <c r="E1158">
        <v>2017</v>
      </c>
      <c r="F1158">
        <f>'[1]Processed Data'!F1158</f>
        <v>0</v>
      </c>
      <c r="G1158">
        <f>'[1]Processed Data'!G1158</f>
        <v>0</v>
      </c>
      <c r="H1158">
        <f>'[1]Processed Data'!H1158</f>
        <v>0</v>
      </c>
      <c r="I1158">
        <f>'[1]Processed Data'!I1158</f>
        <v>0</v>
      </c>
      <c r="J1158">
        <f>'[1]Processed Data'!J1158</f>
        <v>0</v>
      </c>
      <c r="K1158">
        <f>'[1]Processed Data'!K1158</f>
        <v>0</v>
      </c>
      <c r="L1158">
        <f>'[1]Processed Data'!L1158</f>
        <v>0</v>
      </c>
      <c r="M1158">
        <f>'[1]Processed Data'!M1158</f>
        <v>0</v>
      </c>
      <c r="N1158">
        <f>'[1]Processed Data'!N1158</f>
        <v>0</v>
      </c>
      <c r="O1158">
        <f>'[1]Processed Data'!O1158</f>
        <v>0</v>
      </c>
      <c r="P1158">
        <f>'[1]Processed Data'!P1158</f>
        <v>0</v>
      </c>
      <c r="Q1158">
        <f>'[1]Processed Data'!Q1158</f>
        <v>0</v>
      </c>
    </row>
    <row r="1159" spans="2:17" hidden="1">
      <c r="B1159">
        <f>'[1]Processed Data'!B1159</f>
        <v>2014</v>
      </c>
      <c r="C1159">
        <f>'[1]Processed Data'!C1159</f>
        <v>139</v>
      </c>
      <c r="D1159" t="str">
        <f>'[1]Processed Data'!D1159</f>
        <v>Baker Mayfield</v>
      </c>
      <c r="E1159">
        <v>2017</v>
      </c>
      <c r="F1159">
        <f>'[1]Processed Data'!F1159</f>
        <v>0</v>
      </c>
      <c r="G1159">
        <f>'[1]Processed Data'!G1159</f>
        <v>0</v>
      </c>
      <c r="H1159">
        <f>'[1]Processed Data'!H1159</f>
        <v>0</v>
      </c>
      <c r="I1159">
        <f>'[1]Processed Data'!I1159</f>
        <v>0</v>
      </c>
      <c r="J1159">
        <f>'[1]Processed Data'!J1159</f>
        <v>0</v>
      </c>
      <c r="K1159">
        <f>'[1]Processed Data'!K1159</f>
        <v>0</v>
      </c>
      <c r="L1159">
        <f>'[1]Processed Data'!L1159</f>
        <v>0</v>
      </c>
      <c r="M1159">
        <f>'[1]Processed Data'!M1159</f>
        <v>0</v>
      </c>
      <c r="N1159">
        <f>'[1]Processed Data'!N1159</f>
        <v>0</v>
      </c>
      <c r="O1159">
        <f>'[1]Processed Data'!O1159</f>
        <v>0</v>
      </c>
      <c r="P1159">
        <f>'[1]Processed Data'!P1159</f>
        <v>0</v>
      </c>
      <c r="Q1159">
        <f>'[1]Processed Data'!Q1159</f>
        <v>0</v>
      </c>
    </row>
    <row r="1160" spans="2:17" hidden="1">
      <c r="B1160">
        <f>'[1]Processed Data'!B1160</f>
        <v>2014</v>
      </c>
      <c r="C1160">
        <f>'[1]Processed Data'!C1160</f>
        <v>140</v>
      </c>
      <c r="D1160" t="str">
        <f>'[1]Processed Data'!D1160</f>
        <v>Josh Allen</v>
      </c>
      <c r="E1160">
        <v>2017</v>
      </c>
      <c r="F1160">
        <f>'[1]Processed Data'!F1160</f>
        <v>0</v>
      </c>
      <c r="G1160">
        <f>'[1]Processed Data'!G1160</f>
        <v>0</v>
      </c>
      <c r="H1160">
        <f>'[1]Processed Data'!H1160</f>
        <v>0</v>
      </c>
      <c r="I1160">
        <f>'[1]Processed Data'!I1160</f>
        <v>0</v>
      </c>
      <c r="J1160">
        <f>'[1]Processed Data'!J1160</f>
        <v>0</v>
      </c>
      <c r="K1160">
        <f>'[1]Processed Data'!K1160</f>
        <v>0</v>
      </c>
      <c r="L1160">
        <f>'[1]Processed Data'!L1160</f>
        <v>0</v>
      </c>
      <c r="M1160">
        <f>'[1]Processed Data'!M1160</f>
        <v>0</v>
      </c>
      <c r="N1160">
        <f>'[1]Processed Data'!N1160</f>
        <v>0</v>
      </c>
      <c r="O1160">
        <f>'[1]Processed Data'!O1160</f>
        <v>0</v>
      </c>
      <c r="P1160">
        <f>'[1]Processed Data'!P1160</f>
        <v>0</v>
      </c>
      <c r="Q1160">
        <f>'[1]Processed Data'!Q1160</f>
        <v>0</v>
      </c>
    </row>
    <row r="1161" spans="2:17" hidden="1">
      <c r="B1161">
        <f>'[1]Processed Data'!B1161</f>
        <v>2014</v>
      </c>
      <c r="C1161">
        <f>'[1]Processed Data'!C1161</f>
        <v>141</v>
      </c>
      <c r="D1161" t="str">
        <f>'[1]Processed Data'!D1161</f>
        <v>Mike White</v>
      </c>
      <c r="E1161">
        <v>2016</v>
      </c>
      <c r="F1161">
        <f>'[1]Processed Data'!F1161</f>
        <v>0</v>
      </c>
      <c r="G1161">
        <f>'[1]Processed Data'!G1161</f>
        <v>0</v>
      </c>
      <c r="H1161">
        <f>'[1]Processed Data'!H1161</f>
        <v>0</v>
      </c>
      <c r="I1161">
        <f>'[1]Processed Data'!I1161</f>
        <v>0</v>
      </c>
      <c r="J1161">
        <f>'[1]Processed Data'!J1161</f>
        <v>0</v>
      </c>
      <c r="K1161">
        <f>'[1]Processed Data'!K1161</f>
        <v>0</v>
      </c>
      <c r="L1161">
        <f>'[1]Processed Data'!L1161</f>
        <v>0</v>
      </c>
      <c r="M1161">
        <f>'[1]Processed Data'!M1161</f>
        <v>0</v>
      </c>
      <c r="N1161">
        <f>'[1]Processed Data'!N1161</f>
        <v>0</v>
      </c>
      <c r="O1161">
        <f>'[1]Processed Data'!O1161</f>
        <v>0</v>
      </c>
      <c r="P1161">
        <f>'[1]Processed Data'!P1161</f>
        <v>0</v>
      </c>
      <c r="Q1161">
        <f>'[1]Processed Data'!Q1161</f>
        <v>0</v>
      </c>
    </row>
    <row r="1162" spans="2:17" hidden="1">
      <c r="B1162">
        <f>'[1]Processed Data'!B1162</f>
        <v>2014</v>
      </c>
      <c r="C1162">
        <f>'[1]Processed Data'!C1162</f>
        <v>142</v>
      </c>
      <c r="D1162" t="str">
        <f>'[1]Processed Data'!D1162</f>
        <v>Taysom Hill</v>
      </c>
      <c r="E1162">
        <v>2016</v>
      </c>
      <c r="F1162">
        <f>'[1]Processed Data'!F1162</f>
        <v>0</v>
      </c>
      <c r="G1162">
        <f>'[1]Processed Data'!G1162</f>
        <v>0</v>
      </c>
      <c r="H1162">
        <f>'[1]Processed Data'!H1162</f>
        <v>0</v>
      </c>
      <c r="I1162">
        <f>'[1]Processed Data'!I1162</f>
        <v>0</v>
      </c>
      <c r="J1162">
        <f>'[1]Processed Data'!J1162</f>
        <v>0</v>
      </c>
      <c r="K1162">
        <f>'[1]Processed Data'!K1162</f>
        <v>0</v>
      </c>
      <c r="L1162">
        <f>'[1]Processed Data'!L1162</f>
        <v>0</v>
      </c>
      <c r="M1162">
        <f>'[1]Processed Data'!M1162</f>
        <v>0</v>
      </c>
      <c r="N1162">
        <f>'[1]Processed Data'!N1162</f>
        <v>0</v>
      </c>
      <c r="O1162">
        <f>'[1]Processed Data'!O1162</f>
        <v>0</v>
      </c>
      <c r="P1162">
        <f>'[1]Processed Data'!P1162</f>
        <v>0</v>
      </c>
      <c r="Q1162">
        <f>'[1]Processed Data'!Q1162</f>
        <v>0</v>
      </c>
    </row>
    <row r="1163" spans="2:17" hidden="1">
      <c r="B1163">
        <f>'[1]Processed Data'!B1163</f>
        <v>2014</v>
      </c>
      <c r="C1163">
        <f>'[1]Processed Data'!C1163</f>
        <v>143</v>
      </c>
      <c r="D1163" t="str">
        <f>'[1]Processed Data'!D1163</f>
        <v>Joshua Dobbs</v>
      </c>
      <c r="E1163">
        <v>2016</v>
      </c>
      <c r="F1163">
        <f>'[1]Processed Data'!F1163</f>
        <v>0</v>
      </c>
      <c r="G1163">
        <f>'[1]Processed Data'!G1163</f>
        <v>0</v>
      </c>
      <c r="H1163">
        <f>'[1]Processed Data'!H1163</f>
        <v>0</v>
      </c>
      <c r="I1163">
        <f>'[1]Processed Data'!I1163</f>
        <v>0</v>
      </c>
      <c r="J1163">
        <f>'[1]Processed Data'!J1163</f>
        <v>0</v>
      </c>
      <c r="K1163">
        <f>'[1]Processed Data'!K1163</f>
        <v>0</v>
      </c>
      <c r="L1163">
        <f>'[1]Processed Data'!L1163</f>
        <v>0</v>
      </c>
      <c r="M1163">
        <f>'[1]Processed Data'!M1163</f>
        <v>0</v>
      </c>
      <c r="N1163">
        <f>'[1]Processed Data'!N1163</f>
        <v>0</v>
      </c>
      <c r="O1163">
        <f>'[1]Processed Data'!O1163</f>
        <v>0</v>
      </c>
      <c r="P1163">
        <f>'[1]Processed Data'!P1163</f>
        <v>0</v>
      </c>
      <c r="Q1163">
        <f>'[1]Processed Data'!Q1163</f>
        <v>0</v>
      </c>
    </row>
    <row r="1164" spans="2:17" hidden="1">
      <c r="B1164">
        <f>'[1]Processed Data'!B1164</f>
        <v>2014</v>
      </c>
      <c r="C1164">
        <f>'[1]Processed Data'!C1164</f>
        <v>144</v>
      </c>
      <c r="D1164" t="str">
        <f>'[1]Processed Data'!D1164</f>
        <v>Davis Webb</v>
      </c>
      <c r="E1164">
        <v>2016</v>
      </c>
      <c r="F1164">
        <f>'[1]Processed Data'!F1164</f>
        <v>0</v>
      </c>
      <c r="G1164">
        <f>'[1]Processed Data'!G1164</f>
        <v>0</v>
      </c>
      <c r="H1164">
        <f>'[1]Processed Data'!H1164</f>
        <v>0</v>
      </c>
      <c r="I1164">
        <f>'[1]Processed Data'!I1164</f>
        <v>0</v>
      </c>
      <c r="J1164">
        <f>'[1]Processed Data'!J1164</f>
        <v>0</v>
      </c>
      <c r="K1164">
        <f>'[1]Processed Data'!K1164</f>
        <v>0</v>
      </c>
      <c r="L1164">
        <f>'[1]Processed Data'!L1164</f>
        <v>0</v>
      </c>
      <c r="M1164">
        <f>'[1]Processed Data'!M1164</f>
        <v>0</v>
      </c>
      <c r="N1164">
        <f>'[1]Processed Data'!N1164</f>
        <v>0</v>
      </c>
      <c r="O1164">
        <f>'[1]Processed Data'!O1164</f>
        <v>0</v>
      </c>
      <c r="P1164">
        <f>'[1]Processed Data'!P1164</f>
        <v>0</v>
      </c>
      <c r="Q1164">
        <f>'[1]Processed Data'!Q1164</f>
        <v>0</v>
      </c>
    </row>
    <row r="1165" spans="2:17" hidden="1">
      <c r="B1165">
        <f>'[1]Processed Data'!B1165</f>
        <v>2014</v>
      </c>
      <c r="C1165">
        <f>'[1]Processed Data'!C1165</f>
        <v>145</v>
      </c>
      <c r="D1165" t="str">
        <f>'[1]Processed Data'!D1165</f>
        <v>C.J. Beathard</v>
      </c>
      <c r="E1165">
        <v>2016</v>
      </c>
      <c r="F1165">
        <f>'[1]Processed Data'!F1165</f>
        <v>0</v>
      </c>
      <c r="G1165">
        <f>'[1]Processed Data'!G1165</f>
        <v>0</v>
      </c>
      <c r="H1165">
        <f>'[1]Processed Data'!H1165</f>
        <v>0</v>
      </c>
      <c r="I1165">
        <f>'[1]Processed Data'!I1165</f>
        <v>0</v>
      </c>
      <c r="J1165">
        <f>'[1]Processed Data'!J1165</f>
        <v>0</v>
      </c>
      <c r="K1165">
        <f>'[1]Processed Data'!K1165</f>
        <v>0</v>
      </c>
      <c r="L1165">
        <f>'[1]Processed Data'!L1165</f>
        <v>0</v>
      </c>
      <c r="M1165">
        <f>'[1]Processed Data'!M1165</f>
        <v>0</v>
      </c>
      <c r="N1165">
        <f>'[1]Processed Data'!N1165</f>
        <v>0</v>
      </c>
      <c r="O1165">
        <f>'[1]Processed Data'!O1165</f>
        <v>0</v>
      </c>
      <c r="P1165">
        <f>'[1]Processed Data'!P1165</f>
        <v>0</v>
      </c>
      <c r="Q1165">
        <f>'[1]Processed Data'!Q1165</f>
        <v>0</v>
      </c>
    </row>
    <row r="1166" spans="2:17" hidden="1">
      <c r="B1166">
        <f>'[1]Processed Data'!B1166</f>
        <v>2014</v>
      </c>
      <c r="C1166">
        <f>'[1]Processed Data'!C1166</f>
        <v>146</v>
      </c>
      <c r="D1166" t="str">
        <f>'[1]Processed Data'!D1166</f>
        <v>Cooper Rush</v>
      </c>
      <c r="E1166">
        <v>2016</v>
      </c>
      <c r="F1166">
        <f>'[1]Processed Data'!F1166</f>
        <v>0</v>
      </c>
      <c r="G1166">
        <f>'[1]Processed Data'!G1166</f>
        <v>0</v>
      </c>
      <c r="H1166">
        <f>'[1]Processed Data'!H1166</f>
        <v>0</v>
      </c>
      <c r="I1166">
        <f>'[1]Processed Data'!I1166</f>
        <v>0</v>
      </c>
      <c r="J1166">
        <f>'[1]Processed Data'!J1166</f>
        <v>0</v>
      </c>
      <c r="K1166">
        <f>'[1]Processed Data'!K1166</f>
        <v>0</v>
      </c>
      <c r="L1166">
        <f>'[1]Processed Data'!L1166</f>
        <v>0</v>
      </c>
      <c r="M1166">
        <f>'[1]Processed Data'!M1166</f>
        <v>0</v>
      </c>
      <c r="N1166">
        <f>'[1]Processed Data'!N1166</f>
        <v>0</v>
      </c>
      <c r="O1166">
        <f>'[1]Processed Data'!O1166</f>
        <v>0</v>
      </c>
      <c r="P1166">
        <f>'[1]Processed Data'!P1166</f>
        <v>0</v>
      </c>
      <c r="Q1166">
        <f>'[1]Processed Data'!Q1166</f>
        <v>0</v>
      </c>
    </row>
    <row r="1167" spans="2:17" hidden="1">
      <c r="B1167">
        <f>'[1]Processed Data'!B1167</f>
        <v>2014</v>
      </c>
      <c r="C1167">
        <f>'[1]Processed Data'!C1167</f>
        <v>147</v>
      </c>
      <c r="D1167" t="str">
        <f>'[1]Processed Data'!D1167</f>
        <v>Nick Mullens</v>
      </c>
      <c r="E1167">
        <v>2016</v>
      </c>
      <c r="F1167">
        <f>'[1]Processed Data'!F1167</f>
        <v>0</v>
      </c>
      <c r="G1167">
        <f>'[1]Processed Data'!G1167</f>
        <v>0</v>
      </c>
      <c r="H1167">
        <f>'[1]Processed Data'!H1167</f>
        <v>0</v>
      </c>
      <c r="I1167">
        <f>'[1]Processed Data'!I1167</f>
        <v>0</v>
      </c>
      <c r="J1167">
        <f>'[1]Processed Data'!J1167</f>
        <v>0</v>
      </c>
      <c r="K1167">
        <f>'[1]Processed Data'!K1167</f>
        <v>0</v>
      </c>
      <c r="L1167">
        <f>'[1]Processed Data'!L1167</f>
        <v>0</v>
      </c>
      <c r="M1167">
        <f>'[1]Processed Data'!M1167</f>
        <v>0</v>
      </c>
      <c r="N1167">
        <f>'[1]Processed Data'!N1167</f>
        <v>0</v>
      </c>
      <c r="O1167">
        <f>'[1]Processed Data'!O1167</f>
        <v>0</v>
      </c>
      <c r="P1167">
        <f>'[1]Processed Data'!P1167</f>
        <v>0</v>
      </c>
      <c r="Q1167">
        <f>'[1]Processed Data'!Q1167</f>
        <v>0</v>
      </c>
    </row>
    <row r="1168" spans="2:17" hidden="1">
      <c r="B1168">
        <f>'[1]Processed Data'!B1168</f>
        <v>2014</v>
      </c>
      <c r="C1168">
        <f>'[1]Processed Data'!C1168</f>
        <v>148</v>
      </c>
      <c r="D1168" t="str">
        <f>'[1]Processed Data'!D1168</f>
        <v>P.J. Walker</v>
      </c>
      <c r="E1168">
        <v>2016</v>
      </c>
      <c r="F1168">
        <f>'[1]Processed Data'!F1168</f>
        <v>0</v>
      </c>
      <c r="G1168">
        <f>'[1]Processed Data'!G1168</f>
        <v>0</v>
      </c>
      <c r="H1168">
        <f>'[1]Processed Data'!H1168</f>
        <v>0</v>
      </c>
      <c r="I1168">
        <f>'[1]Processed Data'!I1168</f>
        <v>0</v>
      </c>
      <c r="J1168">
        <f>'[1]Processed Data'!J1168</f>
        <v>0</v>
      </c>
      <c r="K1168">
        <f>'[1]Processed Data'!K1168</f>
        <v>0</v>
      </c>
      <c r="L1168">
        <f>'[1]Processed Data'!L1168</f>
        <v>0</v>
      </c>
      <c r="M1168">
        <f>'[1]Processed Data'!M1168</f>
        <v>0</v>
      </c>
      <c r="N1168">
        <f>'[1]Processed Data'!N1168</f>
        <v>0</v>
      </c>
      <c r="O1168">
        <f>'[1]Processed Data'!O1168</f>
        <v>0</v>
      </c>
      <c r="P1168">
        <f>'[1]Processed Data'!P1168</f>
        <v>0</v>
      </c>
      <c r="Q1168">
        <f>'[1]Processed Data'!Q1168</f>
        <v>0</v>
      </c>
    </row>
    <row r="1169" spans="2:17" hidden="1">
      <c r="B1169">
        <f>'[1]Processed Data'!B1169</f>
        <v>2014</v>
      </c>
      <c r="C1169">
        <f>'[1]Processed Data'!C1169</f>
        <v>149</v>
      </c>
      <c r="D1169" t="str">
        <f>'[1]Processed Data'!D1169</f>
        <v>Jared Goff</v>
      </c>
      <c r="E1169">
        <v>2016</v>
      </c>
      <c r="F1169">
        <f>'[1]Processed Data'!F1169</f>
        <v>0</v>
      </c>
      <c r="G1169">
        <f>'[1]Processed Data'!G1169</f>
        <v>0</v>
      </c>
      <c r="H1169">
        <f>'[1]Processed Data'!H1169</f>
        <v>0</v>
      </c>
      <c r="I1169">
        <f>'[1]Processed Data'!I1169</f>
        <v>0</v>
      </c>
      <c r="J1169">
        <f>'[1]Processed Data'!J1169</f>
        <v>0</v>
      </c>
      <c r="K1169">
        <f>'[1]Processed Data'!K1169</f>
        <v>0</v>
      </c>
      <c r="L1169">
        <f>'[1]Processed Data'!L1169</f>
        <v>0</v>
      </c>
      <c r="M1169">
        <f>'[1]Processed Data'!M1169</f>
        <v>0</v>
      </c>
      <c r="N1169">
        <f>'[1]Processed Data'!N1169</f>
        <v>0</v>
      </c>
      <c r="O1169">
        <f>'[1]Processed Data'!O1169</f>
        <v>0</v>
      </c>
      <c r="P1169">
        <f>'[1]Processed Data'!P1169</f>
        <v>0</v>
      </c>
      <c r="Q1169">
        <f>'[1]Processed Data'!Q1169</f>
        <v>0</v>
      </c>
    </row>
    <row r="1170" spans="2:17" hidden="1">
      <c r="B1170">
        <f>'[1]Processed Data'!B1170</f>
        <v>2014</v>
      </c>
      <c r="C1170">
        <f>'[1]Processed Data'!C1170</f>
        <v>150</v>
      </c>
      <c r="D1170" t="str">
        <f>'[1]Processed Data'!D1170</f>
        <v>Ryan Nassib</v>
      </c>
      <c r="E1170">
        <v>2016</v>
      </c>
      <c r="F1170">
        <f>'[1]Processed Data'!F1170</f>
        <v>4</v>
      </c>
      <c r="G1170">
        <f>'[1]Processed Data'!G1170</f>
        <v>5</v>
      </c>
      <c r="H1170">
        <f>'[1]Processed Data'!H1170</f>
        <v>80</v>
      </c>
      <c r="I1170">
        <f>'[1]Processed Data'!I1170</f>
        <v>0</v>
      </c>
      <c r="J1170">
        <f>'[1]Processed Data'!J1170</f>
        <v>0</v>
      </c>
      <c r="K1170">
        <f>'[1]Processed Data'!K1170</f>
        <v>2</v>
      </c>
      <c r="L1170">
        <f>'[1]Processed Data'!L1170</f>
        <v>2</v>
      </c>
      <c r="M1170">
        <f>'[1]Processed Data'!M1170</f>
        <v>-3</v>
      </c>
      <c r="N1170">
        <f>'[1]Processed Data'!N1170</f>
        <v>0</v>
      </c>
      <c r="O1170">
        <f>'[1]Processed Data'!O1170</f>
        <v>0</v>
      </c>
      <c r="P1170">
        <f>'[1]Processed Data'!P1170</f>
        <v>0</v>
      </c>
      <c r="Q1170">
        <f>'[1]Processed Data'!Q1170</f>
        <v>4</v>
      </c>
    </row>
    <row r="1171" spans="2:17" hidden="1">
      <c r="B1171">
        <f>'[1]Processed Data'!B1171</f>
        <v>2014</v>
      </c>
      <c r="C1171">
        <f>'[1]Processed Data'!C1171</f>
        <v>151</v>
      </c>
      <c r="D1171" t="str">
        <f>'[1]Processed Data'!D1171</f>
        <v>Garrett Gilbert</v>
      </c>
      <c r="E1171">
        <v>2016</v>
      </c>
      <c r="F1171">
        <f>'[1]Processed Data'!F1171</f>
        <v>0</v>
      </c>
      <c r="G1171">
        <f>'[1]Processed Data'!G1171</f>
        <v>0</v>
      </c>
      <c r="H1171">
        <f>'[1]Processed Data'!H1171</f>
        <v>0</v>
      </c>
      <c r="I1171">
        <f>'[1]Processed Data'!I1171</f>
        <v>0</v>
      </c>
      <c r="J1171">
        <f>'[1]Processed Data'!J1171</f>
        <v>0</v>
      </c>
      <c r="K1171">
        <f>'[1]Processed Data'!K1171</f>
        <v>0</v>
      </c>
      <c r="L1171">
        <f>'[1]Processed Data'!L1171</f>
        <v>0</v>
      </c>
      <c r="M1171">
        <f>'[1]Processed Data'!M1171</f>
        <v>0</v>
      </c>
      <c r="N1171">
        <f>'[1]Processed Data'!N1171</f>
        <v>0</v>
      </c>
      <c r="O1171">
        <f>'[1]Processed Data'!O1171</f>
        <v>0</v>
      </c>
      <c r="P1171">
        <f>'[1]Processed Data'!P1171</f>
        <v>0</v>
      </c>
      <c r="Q1171">
        <f>'[1]Processed Data'!Q1171</f>
        <v>0</v>
      </c>
    </row>
    <row r="1172" spans="2:17" hidden="1">
      <c r="B1172">
        <f>'[1]Processed Data'!B1172</f>
        <v>2014</v>
      </c>
      <c r="C1172">
        <f>'[1]Processed Data'!C1172</f>
        <v>152</v>
      </c>
      <c r="D1172" t="str">
        <f>'[1]Processed Data'!D1172</f>
        <v>Connor Shaw</v>
      </c>
      <c r="E1172">
        <v>2016</v>
      </c>
      <c r="F1172">
        <f>'[1]Processed Data'!F1172</f>
        <v>14</v>
      </c>
      <c r="G1172">
        <f>'[1]Processed Data'!G1172</f>
        <v>28</v>
      </c>
      <c r="H1172">
        <f>'[1]Processed Data'!H1172</f>
        <v>50</v>
      </c>
      <c r="I1172">
        <f>'[1]Processed Data'!I1172</f>
        <v>0</v>
      </c>
      <c r="J1172">
        <f>'[1]Processed Data'!J1172</f>
        <v>1</v>
      </c>
      <c r="K1172">
        <f>'[1]Processed Data'!K1172</f>
        <v>4</v>
      </c>
      <c r="L1172">
        <f>'[1]Processed Data'!L1172</f>
        <v>7</v>
      </c>
      <c r="M1172">
        <f>'[1]Processed Data'!M1172</f>
        <v>9</v>
      </c>
      <c r="N1172">
        <f>'[1]Processed Data'!N1172</f>
        <v>0</v>
      </c>
      <c r="O1172">
        <f>'[1]Processed Data'!O1172</f>
        <v>1</v>
      </c>
      <c r="P1172">
        <f>'[1]Processed Data'!P1172</f>
        <v>0</v>
      </c>
      <c r="Q1172">
        <f>'[1]Processed Data'!Q1172</f>
        <v>1</v>
      </c>
    </row>
    <row r="1173" spans="2:17" hidden="1">
      <c r="B1173">
        <f>'[1]Processed Data'!B1173</f>
        <v>2014</v>
      </c>
      <c r="C1173">
        <f>'[1]Processed Data'!C1173</f>
        <v>153</v>
      </c>
      <c r="D1173" t="str">
        <f>'[1]Processed Data'!D1173</f>
        <v>Matt Simms</v>
      </c>
      <c r="E1173">
        <v>2016</v>
      </c>
      <c r="F1173">
        <f>'[1]Processed Data'!F1173</f>
        <v>3</v>
      </c>
      <c r="G1173">
        <f>'[1]Processed Data'!G1173</f>
        <v>8</v>
      </c>
      <c r="H1173">
        <f>'[1]Processed Data'!H1173</f>
        <v>37.5</v>
      </c>
      <c r="I1173">
        <f>'[1]Processed Data'!I1173</f>
        <v>0</v>
      </c>
      <c r="J1173">
        <f>'[1]Processed Data'!J1173</f>
        <v>0</v>
      </c>
      <c r="K1173">
        <f>'[1]Processed Data'!K1173</f>
        <v>0</v>
      </c>
      <c r="L1173">
        <f>'[1]Processed Data'!L1173</f>
        <v>1</v>
      </c>
      <c r="M1173">
        <f>'[1]Processed Data'!M1173</f>
        <v>2</v>
      </c>
      <c r="N1173">
        <f>'[1]Processed Data'!N1173</f>
        <v>0</v>
      </c>
      <c r="O1173">
        <f>'[1]Processed Data'!O1173</f>
        <v>0</v>
      </c>
      <c r="P1173">
        <f>'[1]Processed Data'!P1173</f>
        <v>0</v>
      </c>
      <c r="Q1173">
        <f>'[1]Processed Data'!Q1173</f>
        <v>1</v>
      </c>
    </row>
    <row r="1174" spans="2:17" hidden="1">
      <c r="B1174">
        <f>'[1]Processed Data'!B1174</f>
        <v>2014</v>
      </c>
      <c r="C1174">
        <f>'[1]Processed Data'!C1174</f>
        <v>154</v>
      </c>
      <c r="D1174" t="str">
        <f>'[1]Processed Data'!D1174</f>
        <v>E.J. Manuel</v>
      </c>
      <c r="E1174">
        <v>2016</v>
      </c>
      <c r="F1174">
        <f>'[1]Processed Data'!F1174</f>
        <v>76</v>
      </c>
      <c r="G1174">
        <f>'[1]Processed Data'!G1174</f>
        <v>131</v>
      </c>
      <c r="H1174">
        <f>'[1]Processed Data'!H1174</f>
        <v>58</v>
      </c>
      <c r="I1174">
        <f>'[1]Processed Data'!I1174</f>
        <v>5</v>
      </c>
      <c r="J1174">
        <f>'[1]Processed Data'!J1174</f>
        <v>3</v>
      </c>
      <c r="K1174">
        <f>'[1]Processed Data'!K1174</f>
        <v>6</v>
      </c>
      <c r="L1174">
        <f>'[1]Processed Data'!L1174</f>
        <v>16</v>
      </c>
      <c r="M1174">
        <f>'[1]Processed Data'!M1174</f>
        <v>52</v>
      </c>
      <c r="N1174">
        <f>'[1]Processed Data'!N1174</f>
        <v>1</v>
      </c>
      <c r="O1174">
        <f>'[1]Processed Data'!O1174</f>
        <v>0</v>
      </c>
      <c r="P1174">
        <f>'[1]Processed Data'!P1174</f>
        <v>0</v>
      </c>
      <c r="Q1174">
        <f>'[1]Processed Data'!Q1174</f>
        <v>5</v>
      </c>
    </row>
    <row r="1175" spans="2:17" hidden="1">
      <c r="B1175">
        <f>'[1]Processed Data'!B1175</f>
        <v>2014</v>
      </c>
      <c r="C1175">
        <f>'[1]Processed Data'!C1175</f>
        <v>155</v>
      </c>
      <c r="D1175" t="str">
        <f>'[1]Processed Data'!D1175</f>
        <v>Matt Barkley</v>
      </c>
      <c r="E1175">
        <v>2016</v>
      </c>
      <c r="F1175">
        <f>'[1]Processed Data'!F1175</f>
        <v>0</v>
      </c>
      <c r="G1175">
        <f>'[1]Processed Data'!G1175</f>
        <v>1</v>
      </c>
      <c r="H1175">
        <f>'[1]Processed Data'!H1175</f>
        <v>0</v>
      </c>
      <c r="I1175">
        <f>'[1]Processed Data'!I1175</f>
        <v>0</v>
      </c>
      <c r="J1175">
        <f>'[1]Processed Data'!J1175</f>
        <v>0</v>
      </c>
      <c r="K1175">
        <f>'[1]Processed Data'!K1175</f>
        <v>0</v>
      </c>
      <c r="L1175">
        <f>'[1]Processed Data'!L1175</f>
        <v>3</v>
      </c>
      <c r="M1175">
        <f>'[1]Processed Data'!M1175</f>
        <v>0</v>
      </c>
      <c r="N1175">
        <f>'[1]Processed Data'!N1175</f>
        <v>0</v>
      </c>
      <c r="O1175">
        <f>'[1]Processed Data'!O1175</f>
        <v>0</v>
      </c>
      <c r="P1175">
        <f>'[1]Processed Data'!P1175</f>
        <v>0</v>
      </c>
      <c r="Q1175">
        <f>'[1]Processed Data'!Q1175</f>
        <v>1</v>
      </c>
    </row>
    <row r="1176" spans="2:17" hidden="1">
      <c r="B1176">
        <f>'[1]Processed Data'!B1176</f>
        <v>2014</v>
      </c>
      <c r="C1176">
        <f>'[1]Processed Data'!C1176</f>
        <v>156</v>
      </c>
      <c r="D1176" t="str">
        <f>'[1]Processed Data'!D1176</f>
        <v>Matt McGloin</v>
      </c>
      <c r="E1176">
        <v>2016</v>
      </c>
      <c r="F1176">
        <f>'[1]Processed Data'!F1176</f>
        <v>12</v>
      </c>
      <c r="G1176">
        <f>'[1]Processed Data'!G1176</f>
        <v>19</v>
      </c>
      <c r="H1176">
        <f>'[1]Processed Data'!H1176</f>
        <v>63.2</v>
      </c>
      <c r="I1176">
        <f>'[1]Processed Data'!I1176</f>
        <v>1</v>
      </c>
      <c r="J1176">
        <f>'[1]Processed Data'!J1176</f>
        <v>2</v>
      </c>
      <c r="K1176">
        <f>'[1]Processed Data'!K1176</f>
        <v>1</v>
      </c>
      <c r="L1176">
        <f>'[1]Processed Data'!L1176</f>
        <v>2</v>
      </c>
      <c r="M1176">
        <f>'[1]Processed Data'!M1176</f>
        <v>3</v>
      </c>
      <c r="N1176">
        <f>'[1]Processed Data'!N1176</f>
        <v>0</v>
      </c>
      <c r="O1176">
        <f>'[1]Processed Data'!O1176</f>
        <v>0</v>
      </c>
      <c r="P1176">
        <f>'[1]Processed Data'!P1176</f>
        <v>0</v>
      </c>
      <c r="Q1176">
        <f>'[1]Processed Data'!Q1176</f>
        <v>1</v>
      </c>
    </row>
    <row r="1177" spans="2:17" hidden="1">
      <c r="B1177">
        <f>'[1]Processed Data'!B1177</f>
        <v>2014</v>
      </c>
      <c r="C1177">
        <f>'[1]Processed Data'!C1177</f>
        <v>157</v>
      </c>
      <c r="D1177" t="str">
        <f>'[1]Processed Data'!D1177</f>
        <v>Johnny Manziel</v>
      </c>
      <c r="E1177">
        <v>2016</v>
      </c>
      <c r="F1177">
        <f>'[1]Processed Data'!F1177</f>
        <v>18</v>
      </c>
      <c r="G1177">
        <f>'[1]Processed Data'!G1177</f>
        <v>35</v>
      </c>
      <c r="H1177">
        <f>'[1]Processed Data'!H1177</f>
        <v>51.4</v>
      </c>
      <c r="I1177">
        <f>'[1]Processed Data'!I1177</f>
        <v>0</v>
      </c>
      <c r="J1177">
        <f>'[1]Processed Data'!J1177</f>
        <v>2</v>
      </c>
      <c r="K1177">
        <f>'[1]Processed Data'!K1177</f>
        <v>3</v>
      </c>
      <c r="L1177">
        <f>'[1]Processed Data'!L1177</f>
        <v>9</v>
      </c>
      <c r="M1177">
        <f>'[1]Processed Data'!M1177</f>
        <v>29</v>
      </c>
      <c r="N1177">
        <f>'[1]Processed Data'!N1177</f>
        <v>1</v>
      </c>
      <c r="O1177">
        <f>'[1]Processed Data'!O1177</f>
        <v>0</v>
      </c>
      <c r="P1177">
        <f>'[1]Processed Data'!P1177</f>
        <v>0</v>
      </c>
      <c r="Q1177">
        <f>'[1]Processed Data'!Q1177</f>
        <v>5</v>
      </c>
    </row>
    <row r="1178" spans="2:17" hidden="1">
      <c r="B1178">
        <f>'[1]Processed Data'!B1178</f>
        <v>2014</v>
      </c>
      <c r="C1178">
        <f>'[1]Processed Data'!C1178</f>
        <v>158</v>
      </c>
      <c r="D1178" t="str">
        <f>'[1]Processed Data'!D1178</f>
        <v>David Fales</v>
      </c>
      <c r="E1178">
        <v>2016</v>
      </c>
      <c r="F1178">
        <f>'[1]Processed Data'!F1178</f>
        <v>0</v>
      </c>
      <c r="G1178">
        <f>'[1]Processed Data'!G1178</f>
        <v>0</v>
      </c>
      <c r="H1178">
        <f>'[1]Processed Data'!H1178</f>
        <v>0</v>
      </c>
      <c r="I1178">
        <f>'[1]Processed Data'!I1178</f>
        <v>0</v>
      </c>
      <c r="J1178">
        <f>'[1]Processed Data'!J1178</f>
        <v>0</v>
      </c>
      <c r="K1178">
        <f>'[1]Processed Data'!K1178</f>
        <v>0</v>
      </c>
      <c r="L1178">
        <f>'[1]Processed Data'!L1178</f>
        <v>0</v>
      </c>
      <c r="M1178">
        <f>'[1]Processed Data'!M1178</f>
        <v>0</v>
      </c>
      <c r="N1178">
        <f>'[1]Processed Data'!N1178</f>
        <v>0</v>
      </c>
      <c r="O1178">
        <f>'[1]Processed Data'!O1178</f>
        <v>0</v>
      </c>
      <c r="P1178">
        <f>'[1]Processed Data'!P1178</f>
        <v>0</v>
      </c>
      <c r="Q1178">
        <f>'[1]Processed Data'!Q1178</f>
        <v>0</v>
      </c>
    </row>
    <row r="1179" spans="2:17" hidden="1">
      <c r="B1179">
        <f>'[1]Processed Data'!B1179</f>
        <v>2014</v>
      </c>
      <c r="C1179">
        <f>'[1]Processed Data'!C1179</f>
        <v>159</v>
      </c>
      <c r="D1179" t="str">
        <f>'[1]Processed Data'!D1179</f>
        <v>AJ McCarron</v>
      </c>
      <c r="E1179">
        <v>2016</v>
      </c>
      <c r="F1179">
        <f>'[1]Processed Data'!F1179</f>
        <v>0</v>
      </c>
      <c r="G1179">
        <f>'[1]Processed Data'!G1179</f>
        <v>0</v>
      </c>
      <c r="H1179">
        <f>'[1]Processed Data'!H1179</f>
        <v>0</v>
      </c>
      <c r="I1179">
        <f>'[1]Processed Data'!I1179</f>
        <v>0</v>
      </c>
      <c r="J1179">
        <f>'[1]Processed Data'!J1179</f>
        <v>0</v>
      </c>
      <c r="K1179">
        <f>'[1]Processed Data'!K1179</f>
        <v>0</v>
      </c>
      <c r="L1179">
        <f>'[1]Processed Data'!L1179</f>
        <v>0</v>
      </c>
      <c r="M1179">
        <f>'[1]Processed Data'!M1179</f>
        <v>0</v>
      </c>
      <c r="N1179">
        <f>'[1]Processed Data'!N1179</f>
        <v>0</v>
      </c>
      <c r="O1179">
        <f>'[1]Processed Data'!O1179</f>
        <v>0</v>
      </c>
      <c r="P1179">
        <f>'[1]Processed Data'!P1179</f>
        <v>0</v>
      </c>
      <c r="Q1179">
        <f>'[1]Processed Data'!Q1179</f>
        <v>0</v>
      </c>
    </row>
    <row r="1180" spans="2:17" hidden="1">
      <c r="B1180">
        <f>'[1]Processed Data'!B1180</f>
        <v>2014</v>
      </c>
      <c r="C1180">
        <f>'[1]Processed Data'!C1180</f>
        <v>160</v>
      </c>
      <c r="D1180" t="str">
        <f>'[1]Processed Data'!D1180</f>
        <v>Derek Carr</v>
      </c>
      <c r="E1180">
        <v>2016</v>
      </c>
      <c r="F1180">
        <f>'[1]Processed Data'!F1180</f>
        <v>348</v>
      </c>
      <c r="G1180">
        <f>'[1]Processed Data'!G1180</f>
        <v>599</v>
      </c>
      <c r="H1180">
        <f>'[1]Processed Data'!H1180</f>
        <v>58.1</v>
      </c>
      <c r="I1180">
        <f>'[1]Processed Data'!I1180</f>
        <v>21</v>
      </c>
      <c r="J1180">
        <f>'[1]Processed Data'!J1180</f>
        <v>12</v>
      </c>
      <c r="K1180">
        <f>'[1]Processed Data'!K1180</f>
        <v>24</v>
      </c>
      <c r="L1180">
        <f>'[1]Processed Data'!L1180</f>
        <v>29</v>
      </c>
      <c r="M1180">
        <f>'[1]Processed Data'!M1180</f>
        <v>92</v>
      </c>
      <c r="N1180">
        <f>'[1]Processed Data'!N1180</f>
        <v>0</v>
      </c>
      <c r="O1180">
        <f>'[1]Processed Data'!O1180</f>
        <v>4</v>
      </c>
      <c r="P1180">
        <f>'[1]Processed Data'!P1180</f>
        <v>0</v>
      </c>
      <c r="Q1180">
        <f>'[1]Processed Data'!Q1180</f>
        <v>16</v>
      </c>
    </row>
    <row r="1181" spans="2:17" hidden="1">
      <c r="B1181">
        <f>'[1]Processed Data'!B1181</f>
        <v>2014</v>
      </c>
      <c r="C1181">
        <f>'[1]Processed Data'!C1181</f>
        <v>161</v>
      </c>
      <c r="D1181" t="str">
        <f>'[1]Processed Data'!D1181</f>
        <v>Zach Mettenberger</v>
      </c>
      <c r="E1181">
        <v>2016</v>
      </c>
      <c r="F1181">
        <f>'[1]Processed Data'!F1181</f>
        <v>107</v>
      </c>
      <c r="G1181">
        <f>'[1]Processed Data'!G1181</f>
        <v>179</v>
      </c>
      <c r="H1181">
        <f>'[1]Processed Data'!H1181</f>
        <v>59.8</v>
      </c>
      <c r="I1181">
        <f>'[1]Processed Data'!I1181</f>
        <v>8</v>
      </c>
      <c r="J1181">
        <f>'[1]Processed Data'!J1181</f>
        <v>7</v>
      </c>
      <c r="K1181">
        <f>'[1]Processed Data'!K1181</f>
        <v>18</v>
      </c>
      <c r="L1181">
        <f>'[1]Processed Data'!L1181</f>
        <v>5</v>
      </c>
      <c r="M1181">
        <f>'[1]Processed Data'!M1181</f>
        <v>4</v>
      </c>
      <c r="N1181">
        <f>'[1]Processed Data'!N1181</f>
        <v>0</v>
      </c>
      <c r="O1181">
        <f>'[1]Processed Data'!O1181</f>
        <v>2</v>
      </c>
      <c r="P1181">
        <f>'[1]Processed Data'!P1181</f>
        <v>0</v>
      </c>
      <c r="Q1181">
        <f>'[1]Processed Data'!Q1181</f>
        <v>7</v>
      </c>
    </row>
    <row r="1182" spans="2:17" hidden="1">
      <c r="B1182">
        <f>'[1]Processed Data'!B1182</f>
        <v>2014</v>
      </c>
      <c r="C1182">
        <f>'[1]Processed Data'!C1182</f>
        <v>162</v>
      </c>
      <c r="D1182" t="str">
        <f>'[1]Processed Data'!D1182</f>
        <v>Tom Savage</v>
      </c>
      <c r="E1182">
        <v>2016</v>
      </c>
      <c r="F1182">
        <f>'[1]Processed Data'!F1182</f>
        <v>10</v>
      </c>
      <c r="G1182">
        <f>'[1]Processed Data'!G1182</f>
        <v>19</v>
      </c>
      <c r="H1182">
        <f>'[1]Processed Data'!H1182</f>
        <v>52.6</v>
      </c>
      <c r="I1182">
        <f>'[1]Processed Data'!I1182</f>
        <v>0</v>
      </c>
      <c r="J1182">
        <f>'[1]Processed Data'!J1182</f>
        <v>1</v>
      </c>
      <c r="K1182">
        <f>'[1]Processed Data'!K1182</f>
        <v>1</v>
      </c>
      <c r="L1182">
        <f>'[1]Processed Data'!L1182</f>
        <v>6</v>
      </c>
      <c r="M1182">
        <f>'[1]Processed Data'!M1182</f>
        <v>-6</v>
      </c>
      <c r="N1182">
        <f>'[1]Processed Data'!N1182</f>
        <v>0</v>
      </c>
      <c r="O1182">
        <f>'[1]Processed Data'!O1182</f>
        <v>1</v>
      </c>
      <c r="P1182">
        <f>'[1]Processed Data'!P1182</f>
        <v>0</v>
      </c>
      <c r="Q1182">
        <f>'[1]Processed Data'!Q1182</f>
        <v>2</v>
      </c>
    </row>
    <row r="1183" spans="2:17" hidden="1">
      <c r="B1183">
        <f>'[1]Processed Data'!B1183</f>
        <v>2014</v>
      </c>
      <c r="C1183">
        <f>'[1]Processed Data'!C1183</f>
        <v>163</v>
      </c>
      <c r="D1183" t="str">
        <f>'[1]Processed Data'!D1183</f>
        <v>Brett Smith</v>
      </c>
      <c r="E1183">
        <v>2016</v>
      </c>
      <c r="F1183">
        <f>'[1]Processed Data'!F1183</f>
        <v>0</v>
      </c>
      <c r="G1183">
        <f>'[1]Processed Data'!G1183</f>
        <v>0</v>
      </c>
      <c r="H1183">
        <f>'[1]Processed Data'!H1183</f>
        <v>0</v>
      </c>
      <c r="I1183">
        <f>'[1]Processed Data'!I1183</f>
        <v>0</v>
      </c>
      <c r="J1183">
        <f>'[1]Processed Data'!J1183</f>
        <v>0</v>
      </c>
      <c r="K1183">
        <f>'[1]Processed Data'!K1183</f>
        <v>0</v>
      </c>
      <c r="L1183">
        <f>'[1]Processed Data'!L1183</f>
        <v>0</v>
      </c>
      <c r="M1183">
        <f>'[1]Processed Data'!M1183</f>
        <v>0</v>
      </c>
      <c r="N1183">
        <f>'[1]Processed Data'!N1183</f>
        <v>0</v>
      </c>
      <c r="O1183">
        <f>'[1]Processed Data'!O1183</f>
        <v>0</v>
      </c>
      <c r="P1183">
        <f>'[1]Processed Data'!P1183</f>
        <v>0</v>
      </c>
      <c r="Q1183">
        <f>'[1]Processed Data'!Q1183</f>
        <v>0</v>
      </c>
    </row>
    <row r="1184" spans="2:17" hidden="1">
      <c r="B1184">
        <f>'[1]Processed Data'!B1184</f>
        <v>2014</v>
      </c>
      <c r="C1184">
        <f>'[1]Processed Data'!C1184</f>
        <v>164</v>
      </c>
      <c r="D1184" t="str">
        <f>'[1]Processed Data'!D1184</f>
        <v>Trevor Siemian</v>
      </c>
      <c r="E1184">
        <v>2016</v>
      </c>
      <c r="F1184">
        <f>'[1]Processed Data'!F1184</f>
        <v>0</v>
      </c>
      <c r="G1184">
        <f>'[1]Processed Data'!G1184</f>
        <v>0</v>
      </c>
      <c r="H1184">
        <f>'[1]Processed Data'!H1184</f>
        <v>0</v>
      </c>
      <c r="I1184">
        <f>'[1]Processed Data'!I1184</f>
        <v>0</v>
      </c>
      <c r="J1184">
        <f>'[1]Processed Data'!J1184</f>
        <v>0</v>
      </c>
      <c r="K1184">
        <f>'[1]Processed Data'!K1184</f>
        <v>0</v>
      </c>
      <c r="L1184">
        <f>'[1]Processed Data'!L1184</f>
        <v>0</v>
      </c>
      <c r="M1184">
        <f>'[1]Processed Data'!M1184</f>
        <v>0</v>
      </c>
      <c r="N1184">
        <f>'[1]Processed Data'!N1184</f>
        <v>0</v>
      </c>
      <c r="O1184">
        <f>'[1]Processed Data'!O1184</f>
        <v>0</v>
      </c>
      <c r="P1184">
        <f>'[1]Processed Data'!P1184</f>
        <v>0</v>
      </c>
      <c r="Q1184">
        <f>'[1]Processed Data'!Q1184</f>
        <v>0</v>
      </c>
    </row>
    <row r="1185" spans="2:17" hidden="1">
      <c r="B1185">
        <f>'[1]Processed Data'!B1185</f>
        <v>2014</v>
      </c>
      <c r="C1185">
        <f>'[1]Processed Data'!C1185</f>
        <v>165</v>
      </c>
      <c r="D1185" t="str">
        <f>'[1]Processed Data'!D1185</f>
        <v>Marcus Mariota</v>
      </c>
      <c r="E1185">
        <v>2016</v>
      </c>
      <c r="F1185">
        <f>'[1]Processed Data'!F1185</f>
        <v>0</v>
      </c>
      <c r="G1185">
        <f>'[1]Processed Data'!G1185</f>
        <v>0</v>
      </c>
      <c r="H1185">
        <f>'[1]Processed Data'!H1185</f>
        <v>0</v>
      </c>
      <c r="I1185">
        <f>'[1]Processed Data'!I1185</f>
        <v>0</v>
      </c>
      <c r="J1185">
        <f>'[1]Processed Data'!J1185</f>
        <v>0</v>
      </c>
      <c r="K1185">
        <f>'[1]Processed Data'!K1185</f>
        <v>0</v>
      </c>
      <c r="L1185">
        <f>'[1]Processed Data'!L1185</f>
        <v>0</v>
      </c>
      <c r="M1185">
        <f>'[1]Processed Data'!M1185</f>
        <v>0</v>
      </c>
      <c r="N1185">
        <f>'[1]Processed Data'!N1185</f>
        <v>0</v>
      </c>
      <c r="O1185">
        <f>'[1]Processed Data'!O1185</f>
        <v>0</v>
      </c>
      <c r="P1185">
        <f>'[1]Processed Data'!P1185</f>
        <v>0</v>
      </c>
      <c r="Q1185">
        <f>'[1]Processed Data'!Q1185</f>
        <v>0</v>
      </c>
    </row>
    <row r="1186" spans="2:17" hidden="1">
      <c r="B1186">
        <f>'[1]Processed Data'!B1186</f>
        <v>2014</v>
      </c>
      <c r="C1186">
        <f>'[1]Processed Data'!C1186</f>
        <v>166</v>
      </c>
      <c r="D1186" t="str">
        <f>'[1]Processed Data'!D1186</f>
        <v>Jameis Winston</v>
      </c>
      <c r="E1186">
        <v>2016</v>
      </c>
      <c r="F1186">
        <f>'[1]Processed Data'!F1186</f>
        <v>0</v>
      </c>
      <c r="G1186">
        <f>'[1]Processed Data'!G1186</f>
        <v>0</v>
      </c>
      <c r="H1186">
        <f>'[1]Processed Data'!H1186</f>
        <v>0</v>
      </c>
      <c r="I1186">
        <f>'[1]Processed Data'!I1186</f>
        <v>0</v>
      </c>
      <c r="J1186">
        <f>'[1]Processed Data'!J1186</f>
        <v>0</v>
      </c>
      <c r="K1186">
        <f>'[1]Processed Data'!K1186</f>
        <v>0</v>
      </c>
      <c r="L1186">
        <f>'[1]Processed Data'!L1186</f>
        <v>0</v>
      </c>
      <c r="M1186">
        <f>'[1]Processed Data'!M1186</f>
        <v>0</v>
      </c>
      <c r="N1186">
        <f>'[1]Processed Data'!N1186</f>
        <v>0</v>
      </c>
      <c r="O1186">
        <f>'[1]Processed Data'!O1186</f>
        <v>0</v>
      </c>
      <c r="P1186">
        <f>'[1]Processed Data'!P1186</f>
        <v>0</v>
      </c>
      <c r="Q1186">
        <f>'[1]Processed Data'!Q1186</f>
        <v>0</v>
      </c>
    </row>
    <row r="1187" spans="2:17" hidden="1">
      <c r="B1187">
        <f>'[1]Processed Data'!B1187</f>
        <v>2014</v>
      </c>
      <c r="C1187">
        <f>'[1]Processed Data'!C1187</f>
        <v>167</v>
      </c>
      <c r="D1187" t="str">
        <f>'[1]Processed Data'!D1187</f>
        <v>Sean Mannion</v>
      </c>
      <c r="E1187">
        <v>2016</v>
      </c>
      <c r="F1187">
        <f>'[1]Processed Data'!F1187</f>
        <v>0</v>
      </c>
      <c r="G1187">
        <f>'[1]Processed Data'!G1187</f>
        <v>0</v>
      </c>
      <c r="H1187">
        <f>'[1]Processed Data'!H1187</f>
        <v>0</v>
      </c>
      <c r="I1187">
        <f>'[1]Processed Data'!I1187</f>
        <v>0</v>
      </c>
      <c r="J1187">
        <f>'[1]Processed Data'!J1187</f>
        <v>0</v>
      </c>
      <c r="K1187">
        <f>'[1]Processed Data'!K1187</f>
        <v>0</v>
      </c>
      <c r="L1187">
        <f>'[1]Processed Data'!L1187</f>
        <v>0</v>
      </c>
      <c r="M1187">
        <f>'[1]Processed Data'!M1187</f>
        <v>0</v>
      </c>
      <c r="N1187">
        <f>'[1]Processed Data'!N1187</f>
        <v>0</v>
      </c>
      <c r="O1187">
        <f>'[1]Processed Data'!O1187</f>
        <v>0</v>
      </c>
      <c r="P1187">
        <f>'[1]Processed Data'!P1187</f>
        <v>0</v>
      </c>
      <c r="Q1187">
        <f>'[1]Processed Data'!Q1187</f>
        <v>0</v>
      </c>
    </row>
    <row r="1188" spans="2:17" hidden="1">
      <c r="B1188">
        <f>'[1]Processed Data'!B1188</f>
        <v>2014</v>
      </c>
      <c r="C1188">
        <f>'[1]Processed Data'!C1188</f>
        <v>168</v>
      </c>
      <c r="D1188" t="str">
        <f>'[1]Processed Data'!D1188</f>
        <v>Taylor Heinicke</v>
      </c>
      <c r="E1188">
        <v>2016</v>
      </c>
      <c r="F1188">
        <f>'[1]Processed Data'!F1188</f>
        <v>0</v>
      </c>
      <c r="G1188">
        <f>'[1]Processed Data'!G1188</f>
        <v>0</v>
      </c>
      <c r="H1188">
        <f>'[1]Processed Data'!H1188</f>
        <v>0</v>
      </c>
      <c r="I1188">
        <f>'[1]Processed Data'!I1188</f>
        <v>0</v>
      </c>
      <c r="J1188">
        <f>'[1]Processed Data'!J1188</f>
        <v>0</v>
      </c>
      <c r="K1188">
        <f>'[1]Processed Data'!K1188</f>
        <v>0</v>
      </c>
      <c r="L1188">
        <f>'[1]Processed Data'!L1188</f>
        <v>0</v>
      </c>
      <c r="M1188">
        <f>'[1]Processed Data'!M1188</f>
        <v>0</v>
      </c>
      <c r="N1188">
        <f>'[1]Processed Data'!N1188</f>
        <v>0</v>
      </c>
      <c r="O1188">
        <f>'[1]Processed Data'!O1188</f>
        <v>0</v>
      </c>
      <c r="P1188">
        <f>'[1]Processed Data'!P1188</f>
        <v>0</v>
      </c>
      <c r="Q1188">
        <f>'[1]Processed Data'!Q1188</f>
        <v>0</v>
      </c>
    </row>
    <row r="1189" spans="2:17" hidden="1">
      <c r="B1189">
        <f>'[1]Processed Data'!B1189</f>
        <v>2014</v>
      </c>
      <c r="C1189">
        <f>'[1]Processed Data'!C1189</f>
        <v>169</v>
      </c>
      <c r="D1189" t="str">
        <f>'[1]Processed Data'!D1189</f>
        <v>Tyrod Taylor</v>
      </c>
      <c r="E1189">
        <v>2016</v>
      </c>
      <c r="F1189">
        <f>'[1]Processed Data'!F1189</f>
        <v>0</v>
      </c>
      <c r="G1189">
        <f>'[1]Processed Data'!G1189</f>
        <v>0</v>
      </c>
      <c r="H1189">
        <f>'[1]Processed Data'!H1189</f>
        <v>0</v>
      </c>
      <c r="I1189">
        <f>'[1]Processed Data'!I1189</f>
        <v>0</v>
      </c>
      <c r="J1189">
        <f>'[1]Processed Data'!J1189</f>
        <v>0</v>
      </c>
      <c r="K1189">
        <f>'[1]Processed Data'!K1189</f>
        <v>0</v>
      </c>
      <c r="L1189">
        <f>'[1]Processed Data'!L1189</f>
        <v>4</v>
      </c>
      <c r="M1189">
        <f>'[1]Processed Data'!M1189</f>
        <v>-3</v>
      </c>
      <c r="N1189">
        <f>'[1]Processed Data'!N1189</f>
        <v>0</v>
      </c>
      <c r="O1189">
        <f>'[1]Processed Data'!O1189</f>
        <v>0</v>
      </c>
      <c r="P1189">
        <f>'[1]Processed Data'!P1189</f>
        <v>-0.3</v>
      </c>
      <c r="Q1189">
        <f>'[1]Processed Data'!Q1189</f>
        <v>1</v>
      </c>
    </row>
    <row r="1190" spans="2:17" hidden="1">
      <c r="B1190">
        <f>'[1]Processed Data'!B1190</f>
        <v>2013</v>
      </c>
      <c r="C1190">
        <f>'[1]Processed Data'!C1190</f>
        <v>1</v>
      </c>
      <c r="D1190" t="str">
        <f>'[1]Processed Data'!D1190</f>
        <v>Drew Brees</v>
      </c>
      <c r="E1190">
        <v>2016</v>
      </c>
      <c r="F1190">
        <f>'[1]Processed Data'!F1190</f>
        <v>446</v>
      </c>
      <c r="G1190">
        <f>'[1]Processed Data'!G1190</f>
        <v>650</v>
      </c>
      <c r="H1190">
        <f>'[1]Processed Data'!H1190</f>
        <v>68.599999999999994</v>
      </c>
      <c r="I1190">
        <f>'[1]Processed Data'!I1190</f>
        <v>39</v>
      </c>
      <c r="J1190">
        <f>'[1]Processed Data'!J1190</f>
        <v>12</v>
      </c>
      <c r="K1190">
        <f>'[1]Processed Data'!K1190</f>
        <v>37</v>
      </c>
      <c r="L1190">
        <f>'[1]Processed Data'!L1190</f>
        <v>35</v>
      </c>
      <c r="M1190">
        <f>'[1]Processed Data'!M1190</f>
        <v>52</v>
      </c>
      <c r="N1190">
        <f>'[1]Processed Data'!N1190</f>
        <v>3</v>
      </c>
      <c r="O1190">
        <f>'[1]Processed Data'!O1190</f>
        <v>2</v>
      </c>
      <c r="P1190">
        <f>'[1]Processed Data'!P1190</f>
        <v>357.6</v>
      </c>
      <c r="Q1190">
        <f>'[1]Processed Data'!Q1190</f>
        <v>16</v>
      </c>
    </row>
    <row r="1191" spans="2:17" hidden="1">
      <c r="B1191">
        <f>'[1]Processed Data'!B1191</f>
        <v>2013</v>
      </c>
      <c r="C1191">
        <f>'[1]Processed Data'!C1191</f>
        <v>2</v>
      </c>
      <c r="D1191" t="str">
        <f>'[1]Processed Data'!D1191</f>
        <v>Cam Newton</v>
      </c>
      <c r="E1191">
        <v>2016</v>
      </c>
      <c r="F1191">
        <f>'[1]Processed Data'!F1191</f>
        <v>292</v>
      </c>
      <c r="G1191">
        <f>'[1]Processed Data'!G1191</f>
        <v>473</v>
      </c>
      <c r="H1191">
        <f>'[1]Processed Data'!H1191</f>
        <v>61.7</v>
      </c>
      <c r="I1191">
        <f>'[1]Processed Data'!I1191</f>
        <v>24</v>
      </c>
      <c r="J1191">
        <f>'[1]Processed Data'!J1191</f>
        <v>13</v>
      </c>
      <c r="K1191">
        <f>'[1]Processed Data'!K1191</f>
        <v>43</v>
      </c>
      <c r="L1191">
        <f>'[1]Processed Data'!L1191</f>
        <v>111</v>
      </c>
      <c r="M1191">
        <f>'[1]Processed Data'!M1191</f>
        <v>585</v>
      </c>
      <c r="N1191">
        <f>'[1]Processed Data'!N1191</f>
        <v>6</v>
      </c>
      <c r="O1191">
        <f>'[1]Processed Data'!O1191</f>
        <v>1</v>
      </c>
      <c r="P1191">
        <f>'[1]Processed Data'!P1191</f>
        <v>297.8</v>
      </c>
      <c r="Q1191">
        <f>'[1]Processed Data'!Q1191</f>
        <v>16</v>
      </c>
    </row>
    <row r="1192" spans="2:17" hidden="1">
      <c r="B1192">
        <f>'[1]Processed Data'!B1192</f>
        <v>2013</v>
      </c>
      <c r="C1192">
        <f>'[1]Processed Data'!C1192</f>
        <v>3</v>
      </c>
      <c r="D1192" t="str">
        <f>'[1]Processed Data'!D1192</f>
        <v>Andy Dalton</v>
      </c>
      <c r="E1192">
        <v>2016</v>
      </c>
      <c r="F1192">
        <f>'[1]Processed Data'!F1192</f>
        <v>363</v>
      </c>
      <c r="G1192">
        <f>'[1]Processed Data'!G1192</f>
        <v>586</v>
      </c>
      <c r="H1192">
        <f>'[1]Processed Data'!H1192</f>
        <v>61.9</v>
      </c>
      <c r="I1192">
        <f>'[1]Processed Data'!I1192</f>
        <v>33</v>
      </c>
      <c r="J1192">
        <f>'[1]Processed Data'!J1192</f>
        <v>20</v>
      </c>
      <c r="K1192">
        <f>'[1]Processed Data'!K1192</f>
        <v>29</v>
      </c>
      <c r="L1192">
        <f>'[1]Processed Data'!L1192</f>
        <v>61</v>
      </c>
      <c r="M1192">
        <f>'[1]Processed Data'!M1192</f>
        <v>183</v>
      </c>
      <c r="N1192">
        <f>'[1]Processed Data'!N1192</f>
        <v>2</v>
      </c>
      <c r="O1192">
        <f>'[1]Processed Data'!O1192</f>
        <v>3</v>
      </c>
      <c r="P1192">
        <f>'[1]Processed Data'!P1192</f>
        <v>288</v>
      </c>
      <c r="Q1192">
        <f>'[1]Processed Data'!Q1192</f>
        <v>16</v>
      </c>
    </row>
    <row r="1193" spans="2:17" hidden="1">
      <c r="B1193">
        <f>'[1]Processed Data'!B1193</f>
        <v>2013</v>
      </c>
      <c r="C1193">
        <f>'[1]Processed Data'!C1193</f>
        <v>4</v>
      </c>
      <c r="D1193" t="str">
        <f>'[1]Processed Data'!D1193</f>
        <v>Matthew Stafford</v>
      </c>
      <c r="E1193">
        <v>2016</v>
      </c>
      <c r="F1193">
        <f>'[1]Processed Data'!F1193</f>
        <v>371</v>
      </c>
      <c r="G1193">
        <f>'[1]Processed Data'!G1193</f>
        <v>634</v>
      </c>
      <c r="H1193">
        <f>'[1]Processed Data'!H1193</f>
        <v>58.5</v>
      </c>
      <c r="I1193">
        <f>'[1]Processed Data'!I1193</f>
        <v>29</v>
      </c>
      <c r="J1193">
        <f>'[1]Processed Data'!J1193</f>
        <v>19</v>
      </c>
      <c r="K1193">
        <f>'[1]Processed Data'!K1193</f>
        <v>23</v>
      </c>
      <c r="L1193">
        <f>'[1]Processed Data'!L1193</f>
        <v>37</v>
      </c>
      <c r="M1193">
        <f>'[1]Processed Data'!M1193</f>
        <v>69</v>
      </c>
      <c r="N1193">
        <f>'[1]Processed Data'!N1193</f>
        <v>2</v>
      </c>
      <c r="O1193">
        <f>'[1]Processed Data'!O1193</f>
        <v>4</v>
      </c>
      <c r="P1193">
        <f>'[1]Processed Data'!P1193</f>
        <v>279</v>
      </c>
      <c r="Q1193">
        <f>'[1]Processed Data'!Q1193</f>
        <v>16</v>
      </c>
    </row>
    <row r="1194" spans="2:17" hidden="1">
      <c r="B1194">
        <f>'[1]Processed Data'!B1194</f>
        <v>2013</v>
      </c>
      <c r="C1194">
        <f>'[1]Processed Data'!C1194</f>
        <v>5</v>
      </c>
      <c r="D1194" t="str">
        <f>'[1]Processed Data'!D1194</f>
        <v>Russell Wilson</v>
      </c>
      <c r="E1194">
        <v>2016</v>
      </c>
      <c r="F1194">
        <f>'[1]Processed Data'!F1194</f>
        <v>257</v>
      </c>
      <c r="G1194">
        <f>'[1]Processed Data'!G1194</f>
        <v>407</v>
      </c>
      <c r="H1194">
        <f>'[1]Processed Data'!H1194</f>
        <v>63.1</v>
      </c>
      <c r="I1194">
        <f>'[1]Processed Data'!I1194</f>
        <v>26</v>
      </c>
      <c r="J1194">
        <f>'[1]Processed Data'!J1194</f>
        <v>9</v>
      </c>
      <c r="K1194">
        <f>'[1]Processed Data'!K1194</f>
        <v>44</v>
      </c>
      <c r="L1194">
        <f>'[1]Processed Data'!L1194</f>
        <v>96</v>
      </c>
      <c r="M1194">
        <f>'[1]Processed Data'!M1194</f>
        <v>539</v>
      </c>
      <c r="N1194">
        <f>'[1]Processed Data'!N1194</f>
        <v>1</v>
      </c>
      <c r="O1194">
        <f>'[1]Processed Data'!O1194</f>
        <v>5</v>
      </c>
      <c r="P1194">
        <f>'[1]Processed Data'!P1194</f>
        <v>270.3</v>
      </c>
      <c r="Q1194">
        <f>'[1]Processed Data'!Q1194</f>
        <v>16</v>
      </c>
    </row>
    <row r="1195" spans="2:17" hidden="1">
      <c r="B1195">
        <f>'[1]Processed Data'!B1195</f>
        <v>2013</v>
      </c>
      <c r="C1195">
        <f>'[1]Processed Data'!C1195</f>
        <v>6</v>
      </c>
      <c r="D1195" t="str">
        <f>'[1]Processed Data'!D1195</f>
        <v>Nick Foles</v>
      </c>
      <c r="E1195">
        <v>2016</v>
      </c>
      <c r="F1195">
        <f>'[1]Processed Data'!F1195</f>
        <v>203</v>
      </c>
      <c r="G1195">
        <f>'[1]Processed Data'!G1195</f>
        <v>317</v>
      </c>
      <c r="H1195">
        <f>'[1]Processed Data'!H1195</f>
        <v>64</v>
      </c>
      <c r="I1195">
        <f>'[1]Processed Data'!I1195</f>
        <v>27</v>
      </c>
      <c r="J1195">
        <f>'[1]Processed Data'!J1195</f>
        <v>2</v>
      </c>
      <c r="K1195">
        <f>'[1]Processed Data'!K1195</f>
        <v>28</v>
      </c>
      <c r="L1195">
        <f>'[1]Processed Data'!L1195</f>
        <v>57</v>
      </c>
      <c r="M1195">
        <f>'[1]Processed Data'!M1195</f>
        <v>221</v>
      </c>
      <c r="N1195">
        <f>'[1]Processed Data'!N1195</f>
        <v>3</v>
      </c>
      <c r="O1195">
        <f>'[1]Processed Data'!O1195</f>
        <v>2</v>
      </c>
      <c r="P1195">
        <f>'[1]Processed Data'!P1195</f>
        <v>259.7</v>
      </c>
      <c r="Q1195">
        <f>'[1]Processed Data'!Q1195</f>
        <v>13</v>
      </c>
    </row>
    <row r="1196" spans="2:17" hidden="1">
      <c r="B1196">
        <f>'[1]Processed Data'!B1196</f>
        <v>2013</v>
      </c>
      <c r="C1196">
        <f>'[1]Processed Data'!C1196</f>
        <v>7</v>
      </c>
      <c r="D1196" t="str">
        <f>'[1]Processed Data'!D1196</f>
        <v>Ben Roethlisberger</v>
      </c>
      <c r="E1196">
        <v>2016</v>
      </c>
      <c r="F1196">
        <f>'[1]Processed Data'!F1196</f>
        <v>375</v>
      </c>
      <c r="G1196">
        <f>'[1]Processed Data'!G1196</f>
        <v>584</v>
      </c>
      <c r="H1196">
        <f>'[1]Processed Data'!H1196</f>
        <v>64.2</v>
      </c>
      <c r="I1196">
        <f>'[1]Processed Data'!I1196</f>
        <v>28</v>
      </c>
      <c r="J1196">
        <f>'[1]Processed Data'!J1196</f>
        <v>14</v>
      </c>
      <c r="K1196">
        <f>'[1]Processed Data'!K1196</f>
        <v>42</v>
      </c>
      <c r="L1196">
        <f>'[1]Processed Data'!L1196</f>
        <v>27</v>
      </c>
      <c r="M1196">
        <f>'[1]Processed Data'!M1196</f>
        <v>99</v>
      </c>
      <c r="N1196">
        <f>'[1]Processed Data'!N1196</f>
        <v>1</v>
      </c>
      <c r="O1196">
        <f>'[1]Processed Data'!O1196</f>
        <v>6</v>
      </c>
      <c r="P1196">
        <f>'[1]Processed Data'!P1196</f>
        <v>258.89999999999998</v>
      </c>
      <c r="Q1196">
        <f>'[1]Processed Data'!Q1196</f>
        <v>16</v>
      </c>
    </row>
    <row r="1197" spans="2:17" hidden="1">
      <c r="B1197">
        <f>'[1]Processed Data'!B1197</f>
        <v>2013</v>
      </c>
      <c r="C1197">
        <f>'[1]Processed Data'!C1197</f>
        <v>8</v>
      </c>
      <c r="D1197" t="str">
        <f>'[1]Processed Data'!D1197</f>
        <v>Alex Smith</v>
      </c>
      <c r="E1197">
        <v>2016</v>
      </c>
      <c r="F1197">
        <f>'[1]Processed Data'!F1197</f>
        <v>308</v>
      </c>
      <c r="G1197">
        <f>'[1]Processed Data'!G1197</f>
        <v>508</v>
      </c>
      <c r="H1197">
        <f>'[1]Processed Data'!H1197</f>
        <v>60.6</v>
      </c>
      <c r="I1197">
        <f>'[1]Processed Data'!I1197</f>
        <v>23</v>
      </c>
      <c r="J1197">
        <f>'[1]Processed Data'!J1197</f>
        <v>7</v>
      </c>
      <c r="K1197">
        <f>'[1]Processed Data'!K1197</f>
        <v>39</v>
      </c>
      <c r="L1197">
        <f>'[1]Processed Data'!L1197</f>
        <v>76</v>
      </c>
      <c r="M1197">
        <f>'[1]Processed Data'!M1197</f>
        <v>431</v>
      </c>
      <c r="N1197">
        <f>'[1]Processed Data'!N1197</f>
        <v>1</v>
      </c>
      <c r="O1197">
        <f>'[1]Processed Data'!O1197</f>
        <v>3</v>
      </c>
      <c r="P1197">
        <f>'[1]Processed Data'!P1197</f>
        <v>253.7</v>
      </c>
      <c r="Q1197">
        <f>'[1]Processed Data'!Q1197</f>
        <v>15</v>
      </c>
    </row>
    <row r="1198" spans="2:17" hidden="1">
      <c r="B1198">
        <f>'[1]Processed Data'!B1198</f>
        <v>2013</v>
      </c>
      <c r="C1198">
        <f>'[1]Processed Data'!C1198</f>
        <v>9</v>
      </c>
      <c r="D1198" t="str">
        <f>'[1]Processed Data'!D1198</f>
        <v>Tom Brady</v>
      </c>
      <c r="E1198">
        <v>2016</v>
      </c>
      <c r="F1198">
        <f>'[1]Processed Data'!F1198</f>
        <v>380</v>
      </c>
      <c r="G1198">
        <f>'[1]Processed Data'!G1198</f>
        <v>628</v>
      </c>
      <c r="H1198">
        <f>'[1]Processed Data'!H1198</f>
        <v>60.5</v>
      </c>
      <c r="I1198">
        <f>'[1]Processed Data'!I1198</f>
        <v>25</v>
      </c>
      <c r="J1198">
        <f>'[1]Processed Data'!J1198</f>
        <v>11</v>
      </c>
      <c r="K1198">
        <f>'[1]Processed Data'!K1198</f>
        <v>40</v>
      </c>
      <c r="L1198">
        <f>'[1]Processed Data'!L1198</f>
        <v>32</v>
      </c>
      <c r="M1198">
        <f>'[1]Processed Data'!M1198</f>
        <v>18</v>
      </c>
      <c r="N1198">
        <f>'[1]Processed Data'!N1198</f>
        <v>0</v>
      </c>
      <c r="O1198">
        <f>'[1]Processed Data'!O1198</f>
        <v>3</v>
      </c>
      <c r="P1198">
        <f>'[1]Processed Data'!P1198</f>
        <v>251.5</v>
      </c>
      <c r="Q1198">
        <f>'[1]Processed Data'!Q1198</f>
        <v>16</v>
      </c>
    </row>
    <row r="1199" spans="2:17" hidden="1">
      <c r="B1199">
        <f>'[1]Processed Data'!B1199</f>
        <v>2013</v>
      </c>
      <c r="C1199">
        <f>'[1]Processed Data'!C1199</f>
        <v>10</v>
      </c>
      <c r="D1199" t="str">
        <f>'[1]Processed Data'!D1199</f>
        <v>Matt Ryan</v>
      </c>
      <c r="E1199">
        <v>2016</v>
      </c>
      <c r="F1199">
        <f>'[1]Processed Data'!F1199</f>
        <v>439</v>
      </c>
      <c r="G1199">
        <f>'[1]Processed Data'!G1199</f>
        <v>651</v>
      </c>
      <c r="H1199">
        <f>'[1]Processed Data'!H1199</f>
        <v>67.400000000000006</v>
      </c>
      <c r="I1199">
        <f>'[1]Processed Data'!I1199</f>
        <v>26</v>
      </c>
      <c r="J1199">
        <f>'[1]Processed Data'!J1199</f>
        <v>17</v>
      </c>
      <c r="K1199">
        <f>'[1]Processed Data'!K1199</f>
        <v>44</v>
      </c>
      <c r="L1199">
        <f>'[1]Processed Data'!L1199</f>
        <v>17</v>
      </c>
      <c r="M1199">
        <f>'[1]Processed Data'!M1199</f>
        <v>55</v>
      </c>
      <c r="N1199">
        <f>'[1]Processed Data'!N1199</f>
        <v>0</v>
      </c>
      <c r="O1199">
        <f>'[1]Processed Data'!O1199</f>
        <v>4</v>
      </c>
      <c r="P1199">
        <f>'[1]Processed Data'!P1199</f>
        <v>248.1</v>
      </c>
      <c r="Q1199">
        <f>'[1]Processed Data'!Q1199</f>
        <v>16</v>
      </c>
    </row>
    <row r="1200" spans="2:17" hidden="1">
      <c r="B1200">
        <f>'[1]Processed Data'!B1200</f>
        <v>2013</v>
      </c>
      <c r="C1200">
        <f>'[1]Processed Data'!C1200</f>
        <v>11</v>
      </c>
      <c r="D1200" t="str">
        <f>'[1]Processed Data'!D1200</f>
        <v>Ryan Tannehill</v>
      </c>
      <c r="E1200">
        <v>2016</v>
      </c>
      <c r="F1200">
        <f>'[1]Processed Data'!F1200</f>
        <v>355</v>
      </c>
      <c r="G1200">
        <f>'[1]Processed Data'!G1200</f>
        <v>588</v>
      </c>
      <c r="H1200">
        <f>'[1]Processed Data'!H1200</f>
        <v>60.4</v>
      </c>
      <c r="I1200">
        <f>'[1]Processed Data'!I1200</f>
        <v>24</v>
      </c>
      <c r="J1200">
        <f>'[1]Processed Data'!J1200</f>
        <v>17</v>
      </c>
      <c r="K1200">
        <f>'[1]Processed Data'!K1200</f>
        <v>58</v>
      </c>
      <c r="L1200">
        <f>'[1]Processed Data'!L1200</f>
        <v>40</v>
      </c>
      <c r="M1200">
        <f>'[1]Processed Data'!M1200</f>
        <v>238</v>
      </c>
      <c r="N1200">
        <f>'[1]Processed Data'!N1200</f>
        <v>1</v>
      </c>
      <c r="O1200">
        <f>'[1]Processed Data'!O1200</f>
        <v>5</v>
      </c>
      <c r="P1200">
        <f>'[1]Processed Data'!P1200</f>
        <v>238.5</v>
      </c>
      <c r="Q1200">
        <f>'[1]Processed Data'!Q1200</f>
        <v>16</v>
      </c>
    </row>
    <row r="1201" spans="2:17" hidden="1">
      <c r="B1201">
        <f>'[1]Processed Data'!B1201</f>
        <v>2013</v>
      </c>
      <c r="C1201">
        <f>'[1]Processed Data'!C1201</f>
        <v>12</v>
      </c>
      <c r="D1201" t="str">
        <f>'[1]Processed Data'!D1201</f>
        <v>Robert Griffin III</v>
      </c>
      <c r="E1201">
        <v>2016</v>
      </c>
      <c r="F1201">
        <f>'[1]Processed Data'!F1201</f>
        <v>274</v>
      </c>
      <c r="G1201">
        <f>'[1]Processed Data'!G1201</f>
        <v>456</v>
      </c>
      <c r="H1201">
        <f>'[1]Processed Data'!H1201</f>
        <v>60.1</v>
      </c>
      <c r="I1201">
        <f>'[1]Processed Data'!I1201</f>
        <v>16</v>
      </c>
      <c r="J1201">
        <f>'[1]Processed Data'!J1201</f>
        <v>12</v>
      </c>
      <c r="K1201">
        <f>'[1]Processed Data'!K1201</f>
        <v>38</v>
      </c>
      <c r="L1201">
        <f>'[1]Processed Data'!L1201</f>
        <v>86</v>
      </c>
      <c r="M1201">
        <f>'[1]Processed Data'!M1201</f>
        <v>489</v>
      </c>
      <c r="N1201">
        <f>'[1]Processed Data'!N1201</f>
        <v>0</v>
      </c>
      <c r="O1201">
        <f>'[1]Processed Data'!O1201</f>
        <v>4</v>
      </c>
      <c r="P1201">
        <f>'[1]Processed Data'!P1201</f>
        <v>213</v>
      </c>
      <c r="Q1201">
        <f>'[1]Processed Data'!Q1201</f>
        <v>13</v>
      </c>
    </row>
    <row r="1202" spans="2:17" hidden="1">
      <c r="B1202">
        <f>'[1]Processed Data'!B1202</f>
        <v>2013</v>
      </c>
      <c r="C1202">
        <f>'[1]Processed Data'!C1202</f>
        <v>13</v>
      </c>
      <c r="D1202" t="str">
        <f>'[1]Processed Data'!D1202</f>
        <v>Joe Flacco</v>
      </c>
      <c r="E1202">
        <v>2016</v>
      </c>
      <c r="F1202">
        <f>'[1]Processed Data'!F1202</f>
        <v>362</v>
      </c>
      <c r="G1202">
        <f>'[1]Processed Data'!G1202</f>
        <v>614</v>
      </c>
      <c r="H1202">
        <f>'[1]Processed Data'!H1202</f>
        <v>59</v>
      </c>
      <c r="I1202">
        <f>'[1]Processed Data'!I1202</f>
        <v>19</v>
      </c>
      <c r="J1202">
        <f>'[1]Processed Data'!J1202</f>
        <v>22</v>
      </c>
      <c r="K1202">
        <f>'[1]Processed Data'!K1202</f>
        <v>48</v>
      </c>
      <c r="L1202">
        <f>'[1]Processed Data'!L1202</f>
        <v>27</v>
      </c>
      <c r="M1202">
        <f>'[1]Processed Data'!M1202</f>
        <v>131</v>
      </c>
      <c r="N1202">
        <f>'[1]Processed Data'!N1202</f>
        <v>1</v>
      </c>
      <c r="O1202">
        <f>'[1]Processed Data'!O1202</f>
        <v>2</v>
      </c>
      <c r="P1202">
        <f>'[1]Processed Data'!P1202</f>
        <v>207.6</v>
      </c>
      <c r="Q1202">
        <f>'[1]Processed Data'!Q1202</f>
        <v>16</v>
      </c>
    </row>
    <row r="1203" spans="2:17" hidden="1">
      <c r="B1203">
        <f>'[1]Processed Data'!B1203</f>
        <v>2013</v>
      </c>
      <c r="C1203">
        <f>'[1]Processed Data'!C1203</f>
        <v>14</v>
      </c>
      <c r="D1203" t="str">
        <f>'[1]Processed Data'!D1203</f>
        <v>Geno Smith</v>
      </c>
      <c r="E1203">
        <v>2016</v>
      </c>
      <c r="F1203">
        <f>'[1]Processed Data'!F1203</f>
        <v>247</v>
      </c>
      <c r="G1203">
        <f>'[1]Processed Data'!G1203</f>
        <v>443</v>
      </c>
      <c r="H1203">
        <f>'[1]Processed Data'!H1203</f>
        <v>55.8</v>
      </c>
      <c r="I1203">
        <f>'[1]Processed Data'!I1203</f>
        <v>12</v>
      </c>
      <c r="J1203">
        <f>'[1]Processed Data'!J1203</f>
        <v>21</v>
      </c>
      <c r="K1203">
        <f>'[1]Processed Data'!K1203</f>
        <v>43</v>
      </c>
      <c r="L1203">
        <f>'[1]Processed Data'!L1203</f>
        <v>72</v>
      </c>
      <c r="M1203">
        <f>'[1]Processed Data'!M1203</f>
        <v>366</v>
      </c>
      <c r="N1203">
        <f>'[1]Processed Data'!N1203</f>
        <v>6</v>
      </c>
      <c r="O1203">
        <f>'[1]Processed Data'!O1203</f>
        <v>4</v>
      </c>
      <c r="P1203">
        <f>'[1]Processed Data'!P1203</f>
        <v>194.4</v>
      </c>
      <c r="Q1203">
        <f>'[1]Processed Data'!Q1203</f>
        <v>16</v>
      </c>
    </row>
    <row r="1204" spans="2:17" hidden="1">
      <c r="B1204">
        <f>'[1]Processed Data'!B1204</f>
        <v>2013</v>
      </c>
      <c r="C1204">
        <f>'[1]Processed Data'!C1204</f>
        <v>15</v>
      </c>
      <c r="D1204" t="str">
        <f>'[1]Processed Data'!D1204</f>
        <v>Aaron Rodgers</v>
      </c>
      <c r="E1204">
        <v>2016</v>
      </c>
      <c r="F1204">
        <f>'[1]Processed Data'!F1204</f>
        <v>193</v>
      </c>
      <c r="G1204">
        <f>'[1]Processed Data'!G1204</f>
        <v>290</v>
      </c>
      <c r="H1204">
        <f>'[1]Processed Data'!H1204</f>
        <v>66.599999999999994</v>
      </c>
      <c r="I1204">
        <f>'[1]Processed Data'!I1204</f>
        <v>17</v>
      </c>
      <c r="J1204">
        <f>'[1]Processed Data'!J1204</f>
        <v>6</v>
      </c>
      <c r="K1204">
        <f>'[1]Processed Data'!K1204</f>
        <v>21</v>
      </c>
      <c r="L1204">
        <f>'[1]Processed Data'!L1204</f>
        <v>30</v>
      </c>
      <c r="M1204">
        <f>'[1]Processed Data'!M1204</f>
        <v>120</v>
      </c>
      <c r="N1204">
        <f>'[1]Processed Data'!N1204</f>
        <v>0</v>
      </c>
      <c r="O1204">
        <f>'[1]Processed Data'!O1204</f>
        <v>0</v>
      </c>
      <c r="P1204">
        <f>'[1]Processed Data'!P1204</f>
        <v>169.5</v>
      </c>
      <c r="Q1204">
        <f>'[1]Processed Data'!Q1204</f>
        <v>9</v>
      </c>
    </row>
    <row r="1205" spans="2:17" hidden="1">
      <c r="B1205">
        <f>'[1]Processed Data'!B1205</f>
        <v>2013</v>
      </c>
      <c r="C1205">
        <f>'[1]Processed Data'!C1205</f>
        <v>16</v>
      </c>
      <c r="D1205" t="str">
        <f>'[1]Processed Data'!D1205</f>
        <v>Ryan Fitzpatrick</v>
      </c>
      <c r="E1205">
        <v>2016</v>
      </c>
      <c r="F1205">
        <f>'[1]Processed Data'!F1205</f>
        <v>217</v>
      </c>
      <c r="G1205">
        <f>'[1]Processed Data'!G1205</f>
        <v>350</v>
      </c>
      <c r="H1205">
        <f>'[1]Processed Data'!H1205</f>
        <v>62</v>
      </c>
      <c r="I1205">
        <f>'[1]Processed Data'!I1205</f>
        <v>14</v>
      </c>
      <c r="J1205">
        <f>'[1]Processed Data'!J1205</f>
        <v>12</v>
      </c>
      <c r="K1205">
        <f>'[1]Processed Data'!K1205</f>
        <v>21</v>
      </c>
      <c r="L1205">
        <f>'[1]Processed Data'!L1205</f>
        <v>43</v>
      </c>
      <c r="M1205">
        <f>'[1]Processed Data'!M1205</f>
        <v>225</v>
      </c>
      <c r="N1205">
        <f>'[1]Processed Data'!N1205</f>
        <v>3</v>
      </c>
      <c r="O1205">
        <f>'[1]Processed Data'!O1205</f>
        <v>2</v>
      </c>
      <c r="P1205">
        <f>'[1]Processed Data'!P1205</f>
        <v>167.1</v>
      </c>
      <c r="Q1205">
        <f>'[1]Processed Data'!Q1205</f>
        <v>11</v>
      </c>
    </row>
    <row r="1206" spans="2:17" hidden="1">
      <c r="B1206">
        <f>'[1]Processed Data'!B1206</f>
        <v>2013</v>
      </c>
      <c r="C1206">
        <f>'[1]Processed Data'!C1206</f>
        <v>17</v>
      </c>
      <c r="D1206" t="str">
        <f>'[1]Processed Data'!D1206</f>
        <v>Chad Henne</v>
      </c>
      <c r="E1206">
        <v>2016</v>
      </c>
      <c r="F1206">
        <f>'[1]Processed Data'!F1206</f>
        <v>305</v>
      </c>
      <c r="G1206">
        <f>'[1]Processed Data'!G1206</f>
        <v>503</v>
      </c>
      <c r="H1206">
        <f>'[1]Processed Data'!H1206</f>
        <v>60.6</v>
      </c>
      <c r="I1206">
        <f>'[1]Processed Data'!I1206</f>
        <v>13</v>
      </c>
      <c r="J1206">
        <f>'[1]Processed Data'!J1206</f>
        <v>14</v>
      </c>
      <c r="K1206">
        <f>'[1]Processed Data'!K1206</f>
        <v>38</v>
      </c>
      <c r="L1206">
        <f>'[1]Processed Data'!L1206</f>
        <v>27</v>
      </c>
      <c r="M1206">
        <f>'[1]Processed Data'!M1206</f>
        <v>77</v>
      </c>
      <c r="N1206">
        <f>'[1]Processed Data'!N1206</f>
        <v>0</v>
      </c>
      <c r="O1206">
        <f>'[1]Processed Data'!O1206</f>
        <v>0</v>
      </c>
      <c r="P1206">
        <f>'[1]Processed Data'!P1206</f>
        <v>161.30000000000001</v>
      </c>
      <c r="Q1206">
        <f>'[1]Processed Data'!Q1206</f>
        <v>15</v>
      </c>
    </row>
    <row r="1207" spans="2:17" hidden="1">
      <c r="B1207">
        <f>'[1]Processed Data'!B1207</f>
        <v>2013</v>
      </c>
      <c r="C1207">
        <f>'[1]Processed Data'!C1207</f>
        <v>18</v>
      </c>
      <c r="D1207" t="str">
        <f>'[1]Processed Data'!D1207</f>
        <v>Mike Glennon</v>
      </c>
      <c r="E1207">
        <v>2016</v>
      </c>
      <c r="F1207">
        <f>'[1]Processed Data'!F1207</f>
        <v>247</v>
      </c>
      <c r="G1207">
        <f>'[1]Processed Data'!G1207</f>
        <v>416</v>
      </c>
      <c r="H1207">
        <f>'[1]Processed Data'!H1207</f>
        <v>59.4</v>
      </c>
      <c r="I1207">
        <f>'[1]Processed Data'!I1207</f>
        <v>19</v>
      </c>
      <c r="J1207">
        <f>'[1]Processed Data'!J1207</f>
        <v>9</v>
      </c>
      <c r="K1207">
        <f>'[1]Processed Data'!K1207</f>
        <v>40</v>
      </c>
      <c r="L1207">
        <f>'[1]Processed Data'!L1207</f>
        <v>27</v>
      </c>
      <c r="M1207">
        <f>'[1]Processed Data'!M1207</f>
        <v>37</v>
      </c>
      <c r="N1207">
        <f>'[1]Processed Data'!N1207</f>
        <v>0</v>
      </c>
      <c r="O1207">
        <f>'[1]Processed Data'!O1207</f>
        <v>4</v>
      </c>
      <c r="P1207">
        <f>'[1]Processed Data'!P1207</f>
        <v>158</v>
      </c>
      <c r="Q1207">
        <f>'[1]Processed Data'!Q1207</f>
        <v>13</v>
      </c>
    </row>
    <row r="1208" spans="2:17" hidden="1">
      <c r="B1208">
        <f>'[1]Processed Data'!B1208</f>
        <v>2013</v>
      </c>
      <c r="C1208">
        <f>'[1]Processed Data'!C1208</f>
        <v>19</v>
      </c>
      <c r="D1208" t="str">
        <f>'[1]Processed Data'!D1208</f>
        <v>Josh McCown</v>
      </c>
      <c r="E1208">
        <v>2016</v>
      </c>
      <c r="F1208">
        <f>'[1]Processed Data'!F1208</f>
        <v>149</v>
      </c>
      <c r="G1208">
        <f>'[1]Processed Data'!G1208</f>
        <v>224</v>
      </c>
      <c r="H1208">
        <f>'[1]Processed Data'!H1208</f>
        <v>66.5</v>
      </c>
      <c r="I1208">
        <f>'[1]Processed Data'!I1208</f>
        <v>13</v>
      </c>
      <c r="J1208">
        <f>'[1]Processed Data'!J1208</f>
        <v>1</v>
      </c>
      <c r="K1208">
        <f>'[1]Processed Data'!K1208</f>
        <v>11</v>
      </c>
      <c r="L1208">
        <f>'[1]Processed Data'!L1208</f>
        <v>13</v>
      </c>
      <c r="M1208">
        <f>'[1]Processed Data'!M1208</f>
        <v>69</v>
      </c>
      <c r="N1208">
        <f>'[1]Processed Data'!N1208</f>
        <v>1</v>
      </c>
      <c r="O1208">
        <f>'[1]Processed Data'!O1208</f>
        <v>1</v>
      </c>
      <c r="P1208">
        <f>'[1]Processed Data'!P1208</f>
        <v>136.1</v>
      </c>
      <c r="Q1208">
        <f>'[1]Processed Data'!Q1208</f>
        <v>8</v>
      </c>
    </row>
    <row r="1209" spans="2:17" hidden="1">
      <c r="B1209">
        <f>'[1]Processed Data'!B1209</f>
        <v>2013</v>
      </c>
      <c r="C1209">
        <f>'[1]Processed Data'!C1209</f>
        <v>20</v>
      </c>
      <c r="D1209" t="str">
        <f>'[1]Processed Data'!D1209</f>
        <v>Matt Schaub</v>
      </c>
      <c r="E1209">
        <v>2016</v>
      </c>
      <c r="F1209">
        <f>'[1]Processed Data'!F1209</f>
        <v>219</v>
      </c>
      <c r="G1209">
        <f>'[1]Processed Data'!G1209</f>
        <v>358</v>
      </c>
      <c r="H1209">
        <f>'[1]Processed Data'!H1209</f>
        <v>61.2</v>
      </c>
      <c r="I1209">
        <f>'[1]Processed Data'!I1209</f>
        <v>10</v>
      </c>
      <c r="J1209">
        <f>'[1]Processed Data'!J1209</f>
        <v>14</v>
      </c>
      <c r="K1209">
        <f>'[1]Processed Data'!K1209</f>
        <v>21</v>
      </c>
      <c r="L1209">
        <f>'[1]Processed Data'!L1209</f>
        <v>5</v>
      </c>
      <c r="M1209">
        <f>'[1]Processed Data'!M1209</f>
        <v>24</v>
      </c>
      <c r="N1209">
        <f>'[1]Processed Data'!N1209</f>
        <v>0</v>
      </c>
      <c r="O1209">
        <f>'[1]Processed Data'!O1209</f>
        <v>1</v>
      </c>
      <c r="P1209">
        <f>'[1]Processed Data'!P1209</f>
        <v>104.7</v>
      </c>
      <c r="Q1209">
        <f>'[1]Processed Data'!Q1209</f>
        <v>10</v>
      </c>
    </row>
    <row r="1210" spans="2:17" hidden="1">
      <c r="B1210">
        <f>'[1]Processed Data'!B1210</f>
        <v>2013</v>
      </c>
      <c r="C1210">
        <f>'[1]Processed Data'!C1210</f>
        <v>21</v>
      </c>
      <c r="D1210" t="str">
        <f>'[1]Processed Data'!D1210</f>
        <v>Case Keenum</v>
      </c>
      <c r="E1210">
        <v>2016</v>
      </c>
      <c r="F1210">
        <f>'[1]Processed Data'!F1210</f>
        <v>137</v>
      </c>
      <c r="G1210">
        <f>'[1]Processed Data'!G1210</f>
        <v>253</v>
      </c>
      <c r="H1210">
        <f>'[1]Processed Data'!H1210</f>
        <v>54.2</v>
      </c>
      <c r="I1210">
        <f>'[1]Processed Data'!I1210</f>
        <v>9</v>
      </c>
      <c r="J1210">
        <f>'[1]Processed Data'!J1210</f>
        <v>6</v>
      </c>
      <c r="K1210">
        <f>'[1]Processed Data'!K1210</f>
        <v>19</v>
      </c>
      <c r="L1210">
        <f>'[1]Processed Data'!L1210</f>
        <v>14</v>
      </c>
      <c r="M1210">
        <f>'[1]Processed Data'!M1210</f>
        <v>72</v>
      </c>
      <c r="N1210">
        <f>'[1]Processed Data'!N1210</f>
        <v>1</v>
      </c>
      <c r="O1210">
        <f>'[1]Processed Data'!O1210</f>
        <v>2</v>
      </c>
      <c r="P1210">
        <f>'[1]Processed Data'!P1210</f>
        <v>103.6</v>
      </c>
      <c r="Q1210">
        <f>'[1]Processed Data'!Q1210</f>
        <v>8</v>
      </c>
    </row>
    <row r="1211" spans="2:17" hidden="1">
      <c r="B1211">
        <f>'[1]Processed Data'!B1211</f>
        <v>2013</v>
      </c>
      <c r="C1211">
        <f>'[1]Processed Data'!C1211</f>
        <v>22</v>
      </c>
      <c r="D1211" t="str">
        <f>'[1]Processed Data'!D1211</f>
        <v>Brian Hoyer</v>
      </c>
      <c r="E1211">
        <v>2016</v>
      </c>
      <c r="F1211">
        <f>'[1]Processed Data'!F1211</f>
        <v>57</v>
      </c>
      <c r="G1211">
        <f>'[1]Processed Data'!G1211</f>
        <v>96</v>
      </c>
      <c r="H1211">
        <f>'[1]Processed Data'!H1211</f>
        <v>59.4</v>
      </c>
      <c r="I1211">
        <f>'[1]Processed Data'!I1211</f>
        <v>5</v>
      </c>
      <c r="J1211">
        <f>'[1]Processed Data'!J1211</f>
        <v>3</v>
      </c>
      <c r="K1211">
        <f>'[1]Processed Data'!K1211</f>
        <v>6</v>
      </c>
      <c r="L1211">
        <f>'[1]Processed Data'!L1211</f>
        <v>6</v>
      </c>
      <c r="M1211">
        <f>'[1]Processed Data'!M1211</f>
        <v>16</v>
      </c>
      <c r="N1211">
        <f>'[1]Processed Data'!N1211</f>
        <v>0</v>
      </c>
      <c r="O1211">
        <f>'[1]Processed Data'!O1211</f>
        <v>0</v>
      </c>
      <c r="P1211">
        <f>'[1]Processed Data'!P1211</f>
        <v>40.200000000000003</v>
      </c>
      <c r="Q1211">
        <f>'[1]Processed Data'!Q1211</f>
        <v>3</v>
      </c>
    </row>
    <row r="1212" spans="2:17" hidden="1">
      <c r="B1212">
        <f>'[1]Processed Data'!B1212</f>
        <v>2013</v>
      </c>
      <c r="C1212">
        <f>'[1]Processed Data'!C1212</f>
        <v>23</v>
      </c>
      <c r="D1212" t="str">
        <f>'[1]Processed Data'!D1212</f>
        <v>Kirk Cousins</v>
      </c>
      <c r="E1212">
        <v>2016</v>
      </c>
      <c r="F1212">
        <f>'[1]Processed Data'!F1212</f>
        <v>81</v>
      </c>
      <c r="G1212">
        <f>'[1]Processed Data'!G1212</f>
        <v>155</v>
      </c>
      <c r="H1212">
        <f>'[1]Processed Data'!H1212</f>
        <v>52.3</v>
      </c>
      <c r="I1212">
        <f>'[1]Processed Data'!I1212</f>
        <v>4</v>
      </c>
      <c r="J1212">
        <f>'[1]Processed Data'!J1212</f>
        <v>7</v>
      </c>
      <c r="K1212">
        <f>'[1]Processed Data'!K1212</f>
        <v>5</v>
      </c>
      <c r="L1212">
        <f>'[1]Processed Data'!L1212</f>
        <v>4</v>
      </c>
      <c r="M1212">
        <f>'[1]Processed Data'!M1212</f>
        <v>14</v>
      </c>
      <c r="N1212">
        <f>'[1]Processed Data'!N1212</f>
        <v>0</v>
      </c>
      <c r="O1212">
        <f>'[1]Processed Data'!O1212</f>
        <v>2</v>
      </c>
      <c r="P1212">
        <f>'[1]Processed Data'!P1212</f>
        <v>33.6</v>
      </c>
      <c r="Q1212">
        <f>'[1]Processed Data'!Q1212</f>
        <v>5</v>
      </c>
    </row>
    <row r="1213" spans="2:17" hidden="1">
      <c r="B1213">
        <f>'[1]Processed Data'!B1213</f>
        <v>2013</v>
      </c>
      <c r="C1213">
        <f>'[1]Processed Data'!C1213</f>
        <v>24</v>
      </c>
      <c r="D1213" t="str">
        <f>'[1]Processed Data'!D1213</f>
        <v>Chase Daniel</v>
      </c>
      <c r="E1213">
        <v>2016</v>
      </c>
      <c r="F1213">
        <f>'[1]Processed Data'!F1213</f>
        <v>25</v>
      </c>
      <c r="G1213">
        <f>'[1]Processed Data'!G1213</f>
        <v>38</v>
      </c>
      <c r="H1213">
        <f>'[1]Processed Data'!H1213</f>
        <v>65.8</v>
      </c>
      <c r="I1213">
        <f>'[1]Processed Data'!I1213</f>
        <v>1</v>
      </c>
      <c r="J1213">
        <f>'[1]Processed Data'!J1213</f>
        <v>1</v>
      </c>
      <c r="K1213">
        <f>'[1]Processed Data'!K1213</f>
        <v>2</v>
      </c>
      <c r="L1213">
        <f>'[1]Processed Data'!L1213</f>
        <v>14</v>
      </c>
      <c r="M1213">
        <f>'[1]Processed Data'!M1213</f>
        <v>52</v>
      </c>
      <c r="N1213">
        <f>'[1]Processed Data'!N1213</f>
        <v>0</v>
      </c>
      <c r="O1213">
        <f>'[1]Processed Data'!O1213</f>
        <v>0</v>
      </c>
      <c r="P1213">
        <f>'[1]Processed Data'!P1213</f>
        <v>17.100000000000001</v>
      </c>
      <c r="Q1213">
        <f>'[1]Processed Data'!Q1213</f>
        <v>5</v>
      </c>
    </row>
    <row r="1214" spans="2:17" hidden="1">
      <c r="B1214">
        <f>'[1]Processed Data'!B1214</f>
        <v>2013</v>
      </c>
      <c r="C1214">
        <f>'[1]Processed Data'!C1214</f>
        <v>25</v>
      </c>
      <c r="D1214" t="str">
        <f>'[1]Processed Data'!D1214</f>
        <v>Blaine Gabbert</v>
      </c>
      <c r="E1214">
        <v>2016</v>
      </c>
      <c r="F1214">
        <f>'[1]Processed Data'!F1214</f>
        <v>42</v>
      </c>
      <c r="G1214">
        <f>'[1]Processed Data'!G1214</f>
        <v>86</v>
      </c>
      <c r="H1214">
        <f>'[1]Processed Data'!H1214</f>
        <v>48.8</v>
      </c>
      <c r="I1214">
        <f>'[1]Processed Data'!I1214</f>
        <v>1</v>
      </c>
      <c r="J1214">
        <f>'[1]Processed Data'!J1214</f>
        <v>7</v>
      </c>
      <c r="K1214">
        <f>'[1]Processed Data'!K1214</f>
        <v>12</v>
      </c>
      <c r="L1214">
        <f>'[1]Processed Data'!L1214</f>
        <v>9</v>
      </c>
      <c r="M1214">
        <f>'[1]Processed Data'!M1214</f>
        <v>32</v>
      </c>
      <c r="N1214">
        <f>'[1]Processed Data'!N1214</f>
        <v>0</v>
      </c>
      <c r="O1214">
        <f>'[1]Processed Data'!O1214</f>
        <v>0</v>
      </c>
      <c r="P1214">
        <f>'[1]Processed Data'!P1214</f>
        <v>12.4</v>
      </c>
      <c r="Q1214">
        <f>'[1]Processed Data'!Q1214</f>
        <v>3</v>
      </c>
    </row>
    <row r="1215" spans="2:17" hidden="1">
      <c r="B1215">
        <f>'[1]Processed Data'!B1215</f>
        <v>2013</v>
      </c>
      <c r="C1215">
        <f>'[1]Processed Data'!C1215</f>
        <v>26</v>
      </c>
      <c r="D1215" t="str">
        <f>'[1]Processed Data'!D1215</f>
        <v>Joe Webb III</v>
      </c>
      <c r="E1215">
        <v>2016</v>
      </c>
      <c r="F1215">
        <f>'[1]Processed Data'!F1215</f>
        <v>0</v>
      </c>
      <c r="G1215">
        <f>'[1]Processed Data'!G1215</f>
        <v>0</v>
      </c>
      <c r="H1215">
        <f>'[1]Processed Data'!H1215</f>
        <v>0</v>
      </c>
      <c r="I1215">
        <f>'[1]Processed Data'!I1215</f>
        <v>0</v>
      </c>
      <c r="J1215">
        <f>'[1]Processed Data'!J1215</f>
        <v>0</v>
      </c>
      <c r="K1215">
        <f>'[1]Processed Data'!K1215</f>
        <v>0</v>
      </c>
      <c r="L1215">
        <f>'[1]Processed Data'!L1215</f>
        <v>0</v>
      </c>
      <c r="M1215">
        <f>'[1]Processed Data'!M1215</f>
        <v>0</v>
      </c>
      <c r="N1215">
        <f>'[1]Processed Data'!N1215</f>
        <v>0</v>
      </c>
      <c r="O1215">
        <f>'[1]Processed Data'!O1215</f>
        <v>0</v>
      </c>
      <c r="P1215">
        <f>'[1]Processed Data'!P1215</f>
        <v>5.8</v>
      </c>
      <c r="Q1215">
        <f>'[1]Processed Data'!Q1215</f>
        <v>16</v>
      </c>
    </row>
    <row r="1216" spans="2:17" hidden="1">
      <c r="B1216">
        <f>'[1]Processed Data'!B1216</f>
        <v>2013</v>
      </c>
      <c r="C1216">
        <f>'[1]Processed Data'!C1216</f>
        <v>27</v>
      </c>
      <c r="D1216" t="str">
        <f>'[1]Processed Data'!D1216</f>
        <v>Tyrod Taylor</v>
      </c>
      <c r="E1216">
        <v>2016</v>
      </c>
      <c r="F1216">
        <f>'[1]Processed Data'!F1216</f>
        <v>1</v>
      </c>
      <c r="G1216">
        <f>'[1]Processed Data'!G1216</f>
        <v>5</v>
      </c>
      <c r="H1216">
        <f>'[1]Processed Data'!H1216</f>
        <v>20</v>
      </c>
      <c r="I1216">
        <f>'[1]Processed Data'!I1216</f>
        <v>0</v>
      </c>
      <c r="J1216">
        <f>'[1]Processed Data'!J1216</f>
        <v>1</v>
      </c>
      <c r="K1216">
        <f>'[1]Processed Data'!K1216</f>
        <v>0</v>
      </c>
      <c r="L1216">
        <f>'[1]Processed Data'!L1216</f>
        <v>8</v>
      </c>
      <c r="M1216">
        <f>'[1]Processed Data'!M1216</f>
        <v>64</v>
      </c>
      <c r="N1216">
        <f>'[1]Processed Data'!N1216</f>
        <v>0</v>
      </c>
      <c r="O1216">
        <f>'[1]Processed Data'!O1216</f>
        <v>0</v>
      </c>
      <c r="P1216">
        <f>'[1]Processed Data'!P1216</f>
        <v>5.6</v>
      </c>
      <c r="Q1216">
        <f>'[1]Processed Data'!Q1216</f>
        <v>3</v>
      </c>
    </row>
    <row r="1217" spans="2:17" hidden="1">
      <c r="B1217">
        <f>'[1]Processed Data'!B1217</f>
        <v>2013</v>
      </c>
      <c r="C1217">
        <f>'[1]Processed Data'!C1217</f>
        <v>28</v>
      </c>
      <c r="D1217" t="str">
        <f>'[1]Processed Data'!D1217</f>
        <v>Josh Johnson</v>
      </c>
      <c r="E1217">
        <v>2016</v>
      </c>
      <c r="F1217">
        <f>'[1]Processed Data'!F1217</f>
        <v>0</v>
      </c>
      <c r="G1217">
        <f>'[1]Processed Data'!G1217</f>
        <v>0</v>
      </c>
      <c r="H1217">
        <f>'[1]Processed Data'!H1217</f>
        <v>0</v>
      </c>
      <c r="I1217">
        <f>'[1]Processed Data'!I1217</f>
        <v>0</v>
      </c>
      <c r="J1217">
        <f>'[1]Processed Data'!J1217</f>
        <v>0</v>
      </c>
      <c r="K1217">
        <f>'[1]Processed Data'!K1217</f>
        <v>0</v>
      </c>
      <c r="L1217">
        <f>'[1]Processed Data'!L1217</f>
        <v>7</v>
      </c>
      <c r="M1217">
        <f>'[1]Processed Data'!M1217</f>
        <v>20</v>
      </c>
      <c r="N1217">
        <f>'[1]Processed Data'!N1217</f>
        <v>0</v>
      </c>
      <c r="O1217">
        <f>'[1]Processed Data'!O1217</f>
        <v>0</v>
      </c>
      <c r="P1217">
        <f>'[1]Processed Data'!P1217</f>
        <v>2</v>
      </c>
      <c r="Q1217">
        <f>'[1]Processed Data'!Q1217</f>
        <v>2</v>
      </c>
    </row>
    <row r="1218" spans="2:17" hidden="1">
      <c r="B1218">
        <f>'[1]Processed Data'!B1218</f>
        <v>2013</v>
      </c>
      <c r="C1218">
        <f>'[1]Processed Data'!C1218</f>
        <v>29</v>
      </c>
      <c r="D1218" t="str">
        <f>'[1]Processed Data'!D1218</f>
        <v>Matt Barkley</v>
      </c>
      <c r="E1218">
        <v>2016</v>
      </c>
      <c r="F1218">
        <f>'[1]Processed Data'!F1218</f>
        <v>30</v>
      </c>
      <c r="G1218">
        <f>'[1]Processed Data'!G1218</f>
        <v>49</v>
      </c>
      <c r="H1218">
        <f>'[1]Processed Data'!H1218</f>
        <v>61.2</v>
      </c>
      <c r="I1218">
        <f>'[1]Processed Data'!I1218</f>
        <v>0</v>
      </c>
      <c r="J1218">
        <f>'[1]Processed Data'!J1218</f>
        <v>4</v>
      </c>
      <c r="K1218">
        <f>'[1]Processed Data'!K1218</f>
        <v>3</v>
      </c>
      <c r="L1218">
        <f>'[1]Processed Data'!L1218</f>
        <v>2</v>
      </c>
      <c r="M1218">
        <f>'[1]Processed Data'!M1218</f>
        <v>-2</v>
      </c>
      <c r="N1218">
        <f>'[1]Processed Data'!N1218</f>
        <v>0</v>
      </c>
      <c r="O1218">
        <f>'[1]Processed Data'!O1218</f>
        <v>1</v>
      </c>
      <c r="P1218">
        <f>'[1]Processed Data'!P1218</f>
        <v>1.8</v>
      </c>
      <c r="Q1218">
        <f>'[1]Processed Data'!Q1218</f>
        <v>3</v>
      </c>
    </row>
    <row r="1219" spans="2:17" hidden="1">
      <c r="B1219">
        <f>'[1]Processed Data'!B1219</f>
        <v>2013</v>
      </c>
      <c r="C1219">
        <f>'[1]Processed Data'!C1219</f>
        <v>30</v>
      </c>
      <c r="D1219" t="str">
        <f>'[1]Processed Data'!D1219</f>
        <v>Trey Lance</v>
      </c>
      <c r="E1219">
        <v>2016</v>
      </c>
      <c r="F1219">
        <f>'[1]Processed Data'!F1219</f>
        <v>0</v>
      </c>
      <c r="G1219">
        <f>'[1]Processed Data'!G1219</f>
        <v>0</v>
      </c>
      <c r="H1219">
        <f>'[1]Processed Data'!H1219</f>
        <v>0</v>
      </c>
      <c r="I1219">
        <f>'[1]Processed Data'!I1219</f>
        <v>0</v>
      </c>
      <c r="J1219">
        <f>'[1]Processed Data'!J1219</f>
        <v>0</v>
      </c>
      <c r="K1219">
        <f>'[1]Processed Data'!K1219</f>
        <v>0</v>
      </c>
      <c r="L1219">
        <f>'[1]Processed Data'!L1219</f>
        <v>0</v>
      </c>
      <c r="M1219">
        <f>'[1]Processed Data'!M1219</f>
        <v>0</v>
      </c>
      <c r="N1219">
        <f>'[1]Processed Data'!N1219</f>
        <v>0</v>
      </c>
      <c r="O1219">
        <f>'[1]Processed Data'!O1219</f>
        <v>0</v>
      </c>
      <c r="P1219">
        <f>'[1]Processed Data'!P1219</f>
        <v>0</v>
      </c>
      <c r="Q1219">
        <f>'[1]Processed Data'!Q1219</f>
        <v>0</v>
      </c>
    </row>
    <row r="1220" spans="2:17" hidden="1">
      <c r="B1220">
        <f>'[1]Processed Data'!B1220</f>
        <v>2013</v>
      </c>
      <c r="C1220">
        <f>'[1]Processed Data'!C1220</f>
        <v>31</v>
      </c>
      <c r="D1220" t="str">
        <f>'[1]Processed Data'!D1220</f>
        <v>Kyle Trask</v>
      </c>
      <c r="E1220">
        <v>2016</v>
      </c>
      <c r="F1220">
        <f>'[1]Processed Data'!F1220</f>
        <v>0</v>
      </c>
      <c r="G1220">
        <f>'[1]Processed Data'!G1220</f>
        <v>0</v>
      </c>
      <c r="H1220">
        <f>'[1]Processed Data'!H1220</f>
        <v>0</v>
      </c>
      <c r="I1220">
        <f>'[1]Processed Data'!I1220</f>
        <v>0</v>
      </c>
      <c r="J1220">
        <f>'[1]Processed Data'!J1220</f>
        <v>0</v>
      </c>
      <c r="K1220">
        <f>'[1]Processed Data'!K1220</f>
        <v>0</v>
      </c>
      <c r="L1220">
        <f>'[1]Processed Data'!L1220</f>
        <v>0</v>
      </c>
      <c r="M1220">
        <f>'[1]Processed Data'!M1220</f>
        <v>0</v>
      </c>
      <c r="N1220">
        <f>'[1]Processed Data'!N1220</f>
        <v>0</v>
      </c>
      <c r="O1220">
        <f>'[1]Processed Data'!O1220</f>
        <v>0</v>
      </c>
      <c r="P1220">
        <f>'[1]Processed Data'!P1220</f>
        <v>0</v>
      </c>
      <c r="Q1220">
        <f>'[1]Processed Data'!Q1220</f>
        <v>0</v>
      </c>
    </row>
    <row r="1221" spans="2:17" hidden="1">
      <c r="B1221">
        <f>'[1]Processed Data'!B1221</f>
        <v>2013</v>
      </c>
      <c r="C1221">
        <f>'[1]Processed Data'!C1221</f>
        <v>32</v>
      </c>
      <c r="D1221" t="str">
        <f>'[1]Processed Data'!D1221</f>
        <v>Feleipe Franks</v>
      </c>
      <c r="E1221">
        <v>2016</v>
      </c>
      <c r="F1221">
        <f>'[1]Processed Data'!F1221</f>
        <v>0</v>
      </c>
      <c r="G1221">
        <f>'[1]Processed Data'!G1221</f>
        <v>0</v>
      </c>
      <c r="H1221">
        <f>'[1]Processed Data'!H1221</f>
        <v>0</v>
      </c>
      <c r="I1221">
        <f>'[1]Processed Data'!I1221</f>
        <v>0</v>
      </c>
      <c r="J1221">
        <f>'[1]Processed Data'!J1221</f>
        <v>0</v>
      </c>
      <c r="K1221">
        <f>'[1]Processed Data'!K1221</f>
        <v>0</v>
      </c>
      <c r="L1221">
        <f>'[1]Processed Data'!L1221</f>
        <v>0</v>
      </c>
      <c r="M1221">
        <f>'[1]Processed Data'!M1221</f>
        <v>0</v>
      </c>
      <c r="N1221">
        <f>'[1]Processed Data'!N1221</f>
        <v>0</v>
      </c>
      <c r="O1221">
        <f>'[1]Processed Data'!O1221</f>
        <v>0</v>
      </c>
      <c r="P1221">
        <f>'[1]Processed Data'!P1221</f>
        <v>0</v>
      </c>
      <c r="Q1221">
        <f>'[1]Processed Data'!Q1221</f>
        <v>0</v>
      </c>
    </row>
    <row r="1222" spans="2:17" hidden="1">
      <c r="B1222">
        <f>'[1]Processed Data'!B1222</f>
        <v>2013</v>
      </c>
      <c r="C1222">
        <f>'[1]Processed Data'!C1222</f>
        <v>33</v>
      </c>
      <c r="D1222" t="str">
        <f>'[1]Processed Data'!D1222</f>
        <v>Sam Ehlinger</v>
      </c>
      <c r="E1222">
        <v>2016</v>
      </c>
      <c r="F1222">
        <f>'[1]Processed Data'!F1222</f>
        <v>0</v>
      </c>
      <c r="G1222">
        <f>'[1]Processed Data'!G1222</f>
        <v>0</v>
      </c>
      <c r="H1222">
        <f>'[1]Processed Data'!H1222</f>
        <v>0</v>
      </c>
      <c r="I1222">
        <f>'[1]Processed Data'!I1222</f>
        <v>0</v>
      </c>
      <c r="J1222">
        <f>'[1]Processed Data'!J1222</f>
        <v>0</v>
      </c>
      <c r="K1222">
        <f>'[1]Processed Data'!K1222</f>
        <v>0</v>
      </c>
      <c r="L1222">
        <f>'[1]Processed Data'!L1222</f>
        <v>0</v>
      </c>
      <c r="M1222">
        <f>'[1]Processed Data'!M1222</f>
        <v>0</v>
      </c>
      <c r="N1222">
        <f>'[1]Processed Data'!N1222</f>
        <v>0</v>
      </c>
      <c r="O1222">
        <f>'[1]Processed Data'!O1222</f>
        <v>0</v>
      </c>
      <c r="P1222">
        <f>'[1]Processed Data'!P1222</f>
        <v>0</v>
      </c>
      <c r="Q1222">
        <f>'[1]Processed Data'!Q1222</f>
        <v>0</v>
      </c>
    </row>
    <row r="1223" spans="2:17" hidden="1">
      <c r="B1223">
        <f>'[1]Processed Data'!B1223</f>
        <v>2013</v>
      </c>
      <c r="C1223">
        <f>'[1]Processed Data'!C1223</f>
        <v>34</v>
      </c>
      <c r="D1223" t="str">
        <f>'[1]Processed Data'!D1223</f>
        <v>Ben DiNucci</v>
      </c>
      <c r="E1223">
        <v>2016</v>
      </c>
      <c r="F1223">
        <f>'[1]Processed Data'!F1223</f>
        <v>0</v>
      </c>
      <c r="G1223">
        <f>'[1]Processed Data'!G1223</f>
        <v>0</v>
      </c>
      <c r="H1223">
        <f>'[1]Processed Data'!H1223</f>
        <v>0</v>
      </c>
      <c r="I1223">
        <f>'[1]Processed Data'!I1223</f>
        <v>0</v>
      </c>
      <c r="J1223">
        <f>'[1]Processed Data'!J1223</f>
        <v>0</v>
      </c>
      <c r="K1223">
        <f>'[1]Processed Data'!K1223</f>
        <v>0</v>
      </c>
      <c r="L1223">
        <f>'[1]Processed Data'!L1223</f>
        <v>0</v>
      </c>
      <c r="M1223">
        <f>'[1]Processed Data'!M1223</f>
        <v>0</v>
      </c>
      <c r="N1223">
        <f>'[1]Processed Data'!N1223</f>
        <v>0</v>
      </c>
      <c r="O1223">
        <f>'[1]Processed Data'!O1223</f>
        <v>0</v>
      </c>
      <c r="P1223">
        <f>'[1]Processed Data'!P1223</f>
        <v>0</v>
      </c>
      <c r="Q1223">
        <f>'[1]Processed Data'!Q1223</f>
        <v>0</v>
      </c>
    </row>
    <row r="1224" spans="2:17" hidden="1">
      <c r="B1224">
        <f>'[1]Processed Data'!B1224</f>
        <v>2013</v>
      </c>
      <c r="C1224">
        <f>'[1]Processed Data'!C1224</f>
        <v>35</v>
      </c>
      <c r="D1224" t="str">
        <f>'[1]Processed Data'!D1224</f>
        <v>Jalen Morton</v>
      </c>
      <c r="E1224">
        <v>2016</v>
      </c>
      <c r="F1224">
        <f>'[1]Processed Data'!F1224</f>
        <v>0</v>
      </c>
      <c r="G1224">
        <f>'[1]Processed Data'!G1224</f>
        <v>0</v>
      </c>
      <c r="H1224">
        <f>'[1]Processed Data'!H1224</f>
        <v>0</v>
      </c>
      <c r="I1224">
        <f>'[1]Processed Data'!I1224</f>
        <v>0</v>
      </c>
      <c r="J1224">
        <f>'[1]Processed Data'!J1224</f>
        <v>0</v>
      </c>
      <c r="K1224">
        <f>'[1]Processed Data'!K1224</f>
        <v>0</v>
      </c>
      <c r="L1224">
        <f>'[1]Processed Data'!L1224</f>
        <v>0</v>
      </c>
      <c r="M1224">
        <f>'[1]Processed Data'!M1224</f>
        <v>0</v>
      </c>
      <c r="N1224">
        <f>'[1]Processed Data'!N1224</f>
        <v>0</v>
      </c>
      <c r="O1224">
        <f>'[1]Processed Data'!O1224</f>
        <v>0</v>
      </c>
      <c r="P1224">
        <f>'[1]Processed Data'!P1224</f>
        <v>0</v>
      </c>
      <c r="Q1224">
        <f>'[1]Processed Data'!Q1224</f>
        <v>0</v>
      </c>
    </row>
    <row r="1225" spans="2:17" hidden="1">
      <c r="B1225">
        <f>'[1]Processed Data'!B1225</f>
        <v>2013</v>
      </c>
      <c r="C1225">
        <f>'[1]Processed Data'!C1225</f>
        <v>36</v>
      </c>
      <c r="D1225" t="str">
        <f>'[1]Processed Data'!D1225</f>
        <v>Reid Sinnett</v>
      </c>
      <c r="E1225">
        <v>2016</v>
      </c>
      <c r="F1225">
        <f>'[1]Processed Data'!F1225</f>
        <v>0</v>
      </c>
      <c r="G1225">
        <f>'[1]Processed Data'!G1225</f>
        <v>0</v>
      </c>
      <c r="H1225">
        <f>'[1]Processed Data'!H1225</f>
        <v>0</v>
      </c>
      <c r="I1225">
        <f>'[1]Processed Data'!I1225</f>
        <v>0</v>
      </c>
      <c r="J1225">
        <f>'[1]Processed Data'!J1225</f>
        <v>0</v>
      </c>
      <c r="K1225">
        <f>'[1]Processed Data'!K1225</f>
        <v>0</v>
      </c>
      <c r="L1225">
        <f>'[1]Processed Data'!L1225</f>
        <v>0</v>
      </c>
      <c r="M1225">
        <f>'[1]Processed Data'!M1225</f>
        <v>0</v>
      </c>
      <c r="N1225">
        <f>'[1]Processed Data'!N1225</f>
        <v>0</v>
      </c>
      <c r="O1225">
        <f>'[1]Processed Data'!O1225</f>
        <v>0</v>
      </c>
      <c r="P1225">
        <f>'[1]Processed Data'!P1225</f>
        <v>0</v>
      </c>
      <c r="Q1225">
        <f>'[1]Processed Data'!Q1225</f>
        <v>0</v>
      </c>
    </row>
    <row r="1226" spans="2:17" hidden="1">
      <c r="B1226">
        <f>'[1]Processed Data'!B1226</f>
        <v>2013</v>
      </c>
      <c r="C1226">
        <f>'[1]Processed Data'!C1226</f>
        <v>37</v>
      </c>
      <c r="D1226" t="str">
        <f>'[1]Processed Data'!D1226</f>
        <v>Mac Jones</v>
      </c>
      <c r="E1226">
        <v>2016</v>
      </c>
      <c r="F1226">
        <f>'[1]Processed Data'!F1226</f>
        <v>0</v>
      </c>
      <c r="G1226">
        <f>'[1]Processed Data'!G1226</f>
        <v>0</v>
      </c>
      <c r="H1226">
        <f>'[1]Processed Data'!H1226</f>
        <v>0</v>
      </c>
      <c r="I1226">
        <f>'[1]Processed Data'!I1226</f>
        <v>0</v>
      </c>
      <c r="J1226">
        <f>'[1]Processed Data'!J1226</f>
        <v>0</v>
      </c>
      <c r="K1226">
        <f>'[1]Processed Data'!K1226</f>
        <v>0</v>
      </c>
      <c r="L1226">
        <f>'[1]Processed Data'!L1226</f>
        <v>0</v>
      </c>
      <c r="M1226">
        <f>'[1]Processed Data'!M1226</f>
        <v>0</v>
      </c>
      <c r="N1226">
        <f>'[1]Processed Data'!N1226</f>
        <v>0</v>
      </c>
      <c r="O1226">
        <f>'[1]Processed Data'!O1226</f>
        <v>0</v>
      </c>
      <c r="P1226">
        <f>'[1]Processed Data'!P1226</f>
        <v>0</v>
      </c>
      <c r="Q1226">
        <f>'[1]Processed Data'!Q1226</f>
        <v>0</v>
      </c>
    </row>
    <row r="1227" spans="2:17" hidden="1">
      <c r="B1227">
        <f>'[1]Processed Data'!B1227</f>
        <v>2013</v>
      </c>
      <c r="C1227">
        <f>'[1]Processed Data'!C1227</f>
        <v>38</v>
      </c>
      <c r="D1227" t="str">
        <f>'[1]Processed Data'!D1227</f>
        <v>Ian Book</v>
      </c>
      <c r="E1227">
        <v>2016</v>
      </c>
      <c r="F1227">
        <f>'[1]Processed Data'!F1227</f>
        <v>0</v>
      </c>
      <c r="G1227">
        <f>'[1]Processed Data'!G1227</f>
        <v>0</v>
      </c>
      <c r="H1227">
        <f>'[1]Processed Data'!H1227</f>
        <v>0</v>
      </c>
      <c r="I1227">
        <f>'[1]Processed Data'!I1227</f>
        <v>0</v>
      </c>
      <c r="J1227">
        <f>'[1]Processed Data'!J1227</f>
        <v>0</v>
      </c>
      <c r="K1227">
        <f>'[1]Processed Data'!K1227</f>
        <v>0</v>
      </c>
      <c r="L1227">
        <f>'[1]Processed Data'!L1227</f>
        <v>0</v>
      </c>
      <c r="M1227">
        <f>'[1]Processed Data'!M1227</f>
        <v>0</v>
      </c>
      <c r="N1227">
        <f>'[1]Processed Data'!N1227</f>
        <v>0</v>
      </c>
      <c r="O1227">
        <f>'[1]Processed Data'!O1227</f>
        <v>0</v>
      </c>
      <c r="P1227">
        <f>'[1]Processed Data'!P1227</f>
        <v>0</v>
      </c>
      <c r="Q1227">
        <f>'[1]Processed Data'!Q1227</f>
        <v>0</v>
      </c>
    </row>
    <row r="1228" spans="2:17" hidden="1">
      <c r="B1228">
        <f>'[1]Processed Data'!B1228</f>
        <v>2013</v>
      </c>
      <c r="C1228">
        <f>'[1]Processed Data'!C1228</f>
        <v>39</v>
      </c>
      <c r="D1228" t="str">
        <f>'[1]Processed Data'!D1228</f>
        <v>Justin Fields</v>
      </c>
      <c r="E1228">
        <v>2016</v>
      </c>
      <c r="F1228">
        <f>'[1]Processed Data'!F1228</f>
        <v>0</v>
      </c>
      <c r="G1228">
        <f>'[1]Processed Data'!G1228</f>
        <v>0</v>
      </c>
      <c r="H1228">
        <f>'[1]Processed Data'!H1228</f>
        <v>0</v>
      </c>
      <c r="I1228">
        <f>'[1]Processed Data'!I1228</f>
        <v>0</v>
      </c>
      <c r="J1228">
        <f>'[1]Processed Data'!J1228</f>
        <v>0</v>
      </c>
      <c r="K1228">
        <f>'[1]Processed Data'!K1228</f>
        <v>0</v>
      </c>
      <c r="L1228">
        <f>'[1]Processed Data'!L1228</f>
        <v>0</v>
      </c>
      <c r="M1228">
        <f>'[1]Processed Data'!M1228</f>
        <v>0</v>
      </c>
      <c r="N1228">
        <f>'[1]Processed Data'!N1228</f>
        <v>0</v>
      </c>
      <c r="O1228">
        <f>'[1]Processed Data'!O1228</f>
        <v>0</v>
      </c>
      <c r="P1228">
        <f>'[1]Processed Data'!P1228</f>
        <v>0</v>
      </c>
      <c r="Q1228">
        <f>'[1]Processed Data'!Q1228</f>
        <v>0</v>
      </c>
    </row>
    <row r="1229" spans="2:17" hidden="1">
      <c r="B1229">
        <f>'[1]Processed Data'!B1229</f>
        <v>2013</v>
      </c>
      <c r="C1229">
        <f>'[1]Processed Data'!C1229</f>
        <v>40</v>
      </c>
      <c r="D1229" t="str">
        <f>'[1]Processed Data'!D1229</f>
        <v>Drew Lock</v>
      </c>
      <c r="E1229">
        <v>2016</v>
      </c>
      <c r="F1229">
        <f>'[1]Processed Data'!F1229</f>
        <v>0</v>
      </c>
      <c r="G1229">
        <f>'[1]Processed Data'!G1229</f>
        <v>0</v>
      </c>
      <c r="H1229">
        <f>'[1]Processed Data'!H1229</f>
        <v>0</v>
      </c>
      <c r="I1229">
        <f>'[1]Processed Data'!I1229</f>
        <v>0</v>
      </c>
      <c r="J1229">
        <f>'[1]Processed Data'!J1229</f>
        <v>0</v>
      </c>
      <c r="K1229">
        <f>'[1]Processed Data'!K1229</f>
        <v>0</v>
      </c>
      <c r="L1229">
        <f>'[1]Processed Data'!L1229</f>
        <v>0</v>
      </c>
      <c r="M1229">
        <f>'[1]Processed Data'!M1229</f>
        <v>0</v>
      </c>
      <c r="N1229">
        <f>'[1]Processed Data'!N1229</f>
        <v>0</v>
      </c>
      <c r="O1229">
        <f>'[1]Processed Data'!O1229</f>
        <v>0</v>
      </c>
      <c r="P1229">
        <f>'[1]Processed Data'!P1229</f>
        <v>0</v>
      </c>
      <c r="Q1229">
        <f>'[1]Processed Data'!Q1229</f>
        <v>0</v>
      </c>
    </row>
    <row r="1230" spans="2:17" hidden="1">
      <c r="B1230">
        <f>'[1]Processed Data'!B1230</f>
        <v>2013</v>
      </c>
      <c r="C1230">
        <f>'[1]Processed Data'!C1230</f>
        <v>41</v>
      </c>
      <c r="D1230" t="str">
        <f>'[1]Processed Data'!D1230</f>
        <v>Daniel Jones</v>
      </c>
      <c r="E1230">
        <v>2016</v>
      </c>
      <c r="F1230">
        <f>'[1]Processed Data'!F1230</f>
        <v>0</v>
      </c>
      <c r="G1230">
        <f>'[1]Processed Data'!G1230</f>
        <v>0</v>
      </c>
      <c r="H1230">
        <f>'[1]Processed Data'!H1230</f>
        <v>0</v>
      </c>
      <c r="I1230">
        <f>'[1]Processed Data'!I1230</f>
        <v>0</v>
      </c>
      <c r="J1230">
        <f>'[1]Processed Data'!J1230</f>
        <v>0</v>
      </c>
      <c r="K1230">
        <f>'[1]Processed Data'!K1230</f>
        <v>0</v>
      </c>
      <c r="L1230">
        <f>'[1]Processed Data'!L1230</f>
        <v>0</v>
      </c>
      <c r="M1230">
        <f>'[1]Processed Data'!M1230</f>
        <v>0</v>
      </c>
      <c r="N1230">
        <f>'[1]Processed Data'!N1230</f>
        <v>0</v>
      </c>
      <c r="O1230">
        <f>'[1]Processed Data'!O1230</f>
        <v>0</v>
      </c>
      <c r="P1230">
        <f>'[1]Processed Data'!P1230</f>
        <v>0</v>
      </c>
      <c r="Q1230">
        <f>'[1]Processed Data'!Q1230</f>
        <v>0</v>
      </c>
    </row>
    <row r="1231" spans="2:17" hidden="1">
      <c r="B1231">
        <f>'[1]Processed Data'!B1231</f>
        <v>2013</v>
      </c>
      <c r="C1231">
        <f>'[1]Processed Data'!C1231</f>
        <v>42</v>
      </c>
      <c r="D1231" t="str">
        <f>'[1]Processed Data'!D1231</f>
        <v>Will Grier</v>
      </c>
      <c r="E1231">
        <v>2016</v>
      </c>
      <c r="F1231">
        <f>'[1]Processed Data'!F1231</f>
        <v>0</v>
      </c>
      <c r="G1231">
        <f>'[1]Processed Data'!G1231</f>
        <v>0</v>
      </c>
      <c r="H1231">
        <f>'[1]Processed Data'!H1231</f>
        <v>0</v>
      </c>
      <c r="I1231">
        <f>'[1]Processed Data'!I1231</f>
        <v>0</v>
      </c>
      <c r="J1231">
        <f>'[1]Processed Data'!J1231</f>
        <v>0</v>
      </c>
      <c r="K1231">
        <f>'[1]Processed Data'!K1231</f>
        <v>0</v>
      </c>
      <c r="L1231">
        <f>'[1]Processed Data'!L1231</f>
        <v>0</v>
      </c>
      <c r="M1231">
        <f>'[1]Processed Data'!M1231</f>
        <v>0</v>
      </c>
      <c r="N1231">
        <f>'[1]Processed Data'!N1231</f>
        <v>0</v>
      </c>
      <c r="O1231">
        <f>'[1]Processed Data'!O1231</f>
        <v>0</v>
      </c>
      <c r="P1231">
        <f>'[1]Processed Data'!P1231</f>
        <v>0</v>
      </c>
      <c r="Q1231">
        <f>'[1]Processed Data'!Q1231</f>
        <v>0</v>
      </c>
    </row>
    <row r="1232" spans="2:17" hidden="1">
      <c r="B1232">
        <f>'[1]Processed Data'!B1232</f>
        <v>2013</v>
      </c>
      <c r="C1232">
        <f>'[1]Processed Data'!C1232</f>
        <v>43</v>
      </c>
      <c r="D1232" t="str">
        <f>'[1]Processed Data'!D1232</f>
        <v>Brett Rypien</v>
      </c>
      <c r="E1232">
        <v>2016</v>
      </c>
      <c r="F1232">
        <f>'[1]Processed Data'!F1232</f>
        <v>0</v>
      </c>
      <c r="G1232">
        <f>'[1]Processed Data'!G1232</f>
        <v>0</v>
      </c>
      <c r="H1232">
        <f>'[1]Processed Data'!H1232</f>
        <v>0</v>
      </c>
      <c r="I1232">
        <f>'[1]Processed Data'!I1232</f>
        <v>0</v>
      </c>
      <c r="J1232">
        <f>'[1]Processed Data'!J1232</f>
        <v>0</v>
      </c>
      <c r="K1232">
        <f>'[1]Processed Data'!K1232</f>
        <v>0</v>
      </c>
      <c r="L1232">
        <f>'[1]Processed Data'!L1232</f>
        <v>0</v>
      </c>
      <c r="M1232">
        <f>'[1]Processed Data'!M1232</f>
        <v>0</v>
      </c>
      <c r="N1232">
        <f>'[1]Processed Data'!N1232</f>
        <v>0</v>
      </c>
      <c r="O1232">
        <f>'[1]Processed Data'!O1232</f>
        <v>0</v>
      </c>
      <c r="P1232">
        <f>'[1]Processed Data'!P1232</f>
        <v>0</v>
      </c>
      <c r="Q1232">
        <f>'[1]Processed Data'!Q1232</f>
        <v>0</v>
      </c>
    </row>
    <row r="1233" spans="2:17" hidden="1">
      <c r="B1233">
        <f>'[1]Processed Data'!B1233</f>
        <v>2013</v>
      </c>
      <c r="C1233">
        <f>'[1]Processed Data'!C1233</f>
        <v>44</v>
      </c>
      <c r="D1233" t="str">
        <f>'[1]Processed Data'!D1233</f>
        <v>Easton Stick</v>
      </c>
      <c r="E1233">
        <v>2016</v>
      </c>
      <c r="F1233">
        <f>'[1]Processed Data'!F1233</f>
        <v>0</v>
      </c>
      <c r="G1233">
        <f>'[1]Processed Data'!G1233</f>
        <v>0</v>
      </c>
      <c r="H1233">
        <f>'[1]Processed Data'!H1233</f>
        <v>0</v>
      </c>
      <c r="I1233">
        <f>'[1]Processed Data'!I1233</f>
        <v>0</v>
      </c>
      <c r="J1233">
        <f>'[1]Processed Data'!J1233</f>
        <v>0</v>
      </c>
      <c r="K1233">
        <f>'[1]Processed Data'!K1233</f>
        <v>0</v>
      </c>
      <c r="L1233">
        <f>'[1]Processed Data'!L1233</f>
        <v>0</v>
      </c>
      <c r="M1233">
        <f>'[1]Processed Data'!M1233</f>
        <v>0</v>
      </c>
      <c r="N1233">
        <f>'[1]Processed Data'!N1233</f>
        <v>0</v>
      </c>
      <c r="O1233">
        <f>'[1]Processed Data'!O1233</f>
        <v>0</v>
      </c>
      <c r="P1233">
        <f>'[1]Processed Data'!P1233</f>
        <v>0</v>
      </c>
      <c r="Q1233">
        <f>'[1]Processed Data'!Q1233</f>
        <v>0</v>
      </c>
    </row>
    <row r="1234" spans="2:17" hidden="1">
      <c r="B1234">
        <f>'[1]Processed Data'!B1234</f>
        <v>2013</v>
      </c>
      <c r="C1234">
        <f>'[1]Processed Data'!C1234</f>
        <v>45</v>
      </c>
      <c r="D1234" t="str">
        <f>'[1]Processed Data'!D1234</f>
        <v>Trace McSorley</v>
      </c>
      <c r="E1234">
        <v>2015</v>
      </c>
      <c r="F1234">
        <f>'[1]Processed Data'!F1234</f>
        <v>0</v>
      </c>
      <c r="G1234">
        <f>'[1]Processed Data'!G1234</f>
        <v>0</v>
      </c>
      <c r="H1234">
        <f>'[1]Processed Data'!H1234</f>
        <v>0</v>
      </c>
      <c r="I1234">
        <f>'[1]Processed Data'!I1234</f>
        <v>0</v>
      </c>
      <c r="J1234">
        <f>'[1]Processed Data'!J1234</f>
        <v>0</v>
      </c>
      <c r="K1234">
        <f>'[1]Processed Data'!K1234</f>
        <v>0</v>
      </c>
      <c r="L1234">
        <f>'[1]Processed Data'!L1234</f>
        <v>0</v>
      </c>
      <c r="M1234">
        <f>'[1]Processed Data'!M1234</f>
        <v>0</v>
      </c>
      <c r="N1234">
        <f>'[1]Processed Data'!N1234</f>
        <v>0</v>
      </c>
      <c r="O1234">
        <f>'[1]Processed Data'!O1234</f>
        <v>0</v>
      </c>
      <c r="P1234">
        <f>'[1]Processed Data'!P1234</f>
        <v>0</v>
      </c>
      <c r="Q1234">
        <f>'[1]Processed Data'!Q1234</f>
        <v>0</v>
      </c>
    </row>
    <row r="1235" spans="2:17" hidden="1">
      <c r="B1235">
        <f>'[1]Processed Data'!B1235</f>
        <v>2013</v>
      </c>
      <c r="C1235">
        <f>'[1]Processed Data'!C1235</f>
        <v>46</v>
      </c>
      <c r="D1235" t="str">
        <f>'[1]Processed Data'!D1235</f>
        <v>Eric Dungey</v>
      </c>
      <c r="E1235">
        <v>2015</v>
      </c>
      <c r="F1235">
        <f>'[1]Processed Data'!F1235</f>
        <v>0</v>
      </c>
      <c r="G1235">
        <f>'[1]Processed Data'!G1235</f>
        <v>0</v>
      </c>
      <c r="H1235">
        <f>'[1]Processed Data'!H1235</f>
        <v>0</v>
      </c>
      <c r="I1235">
        <f>'[1]Processed Data'!I1235</f>
        <v>0</v>
      </c>
      <c r="J1235">
        <f>'[1]Processed Data'!J1235</f>
        <v>0</v>
      </c>
      <c r="K1235">
        <f>'[1]Processed Data'!K1235</f>
        <v>0</v>
      </c>
      <c r="L1235">
        <f>'[1]Processed Data'!L1235</f>
        <v>0</v>
      </c>
      <c r="M1235">
        <f>'[1]Processed Data'!M1235</f>
        <v>0</v>
      </c>
      <c r="N1235">
        <f>'[1]Processed Data'!N1235</f>
        <v>0</v>
      </c>
      <c r="O1235">
        <f>'[1]Processed Data'!O1235</f>
        <v>0</v>
      </c>
      <c r="P1235">
        <f>'[1]Processed Data'!P1235</f>
        <v>0</v>
      </c>
      <c r="Q1235">
        <f>'[1]Processed Data'!Q1235</f>
        <v>0</v>
      </c>
    </row>
    <row r="1236" spans="2:17" hidden="1">
      <c r="B1236">
        <f>'[1]Processed Data'!B1236</f>
        <v>2013</v>
      </c>
      <c r="C1236">
        <f>'[1]Processed Data'!C1236</f>
        <v>47</v>
      </c>
      <c r="D1236" t="str">
        <f>'[1]Processed Data'!D1236</f>
        <v>Jake Browning</v>
      </c>
      <c r="E1236">
        <v>2015</v>
      </c>
      <c r="F1236">
        <f>'[1]Processed Data'!F1236</f>
        <v>0</v>
      </c>
      <c r="G1236">
        <f>'[1]Processed Data'!G1236</f>
        <v>0</v>
      </c>
      <c r="H1236">
        <f>'[1]Processed Data'!H1236</f>
        <v>0</v>
      </c>
      <c r="I1236">
        <f>'[1]Processed Data'!I1236</f>
        <v>0</v>
      </c>
      <c r="J1236">
        <f>'[1]Processed Data'!J1236</f>
        <v>0</v>
      </c>
      <c r="K1236">
        <f>'[1]Processed Data'!K1236</f>
        <v>0</v>
      </c>
      <c r="L1236">
        <f>'[1]Processed Data'!L1236</f>
        <v>0</v>
      </c>
      <c r="M1236">
        <f>'[1]Processed Data'!M1236</f>
        <v>0</v>
      </c>
      <c r="N1236">
        <f>'[1]Processed Data'!N1236</f>
        <v>0</v>
      </c>
      <c r="O1236">
        <f>'[1]Processed Data'!O1236</f>
        <v>0</v>
      </c>
      <c r="P1236">
        <f>'[1]Processed Data'!P1236</f>
        <v>0</v>
      </c>
      <c r="Q1236">
        <f>'[1]Processed Data'!Q1236</f>
        <v>0</v>
      </c>
    </row>
    <row r="1237" spans="2:17" hidden="1">
      <c r="B1237">
        <f>'[1]Processed Data'!B1237</f>
        <v>2013</v>
      </c>
      <c r="C1237">
        <f>'[1]Processed Data'!C1237</f>
        <v>48</v>
      </c>
      <c r="D1237" t="str">
        <f>'[1]Processed Data'!D1237</f>
        <v>Gardner Minshew II</v>
      </c>
      <c r="E1237">
        <v>2015</v>
      </c>
      <c r="F1237">
        <f>'[1]Processed Data'!F1237</f>
        <v>0</v>
      </c>
      <c r="G1237">
        <f>'[1]Processed Data'!G1237</f>
        <v>0</v>
      </c>
      <c r="H1237">
        <f>'[1]Processed Data'!H1237</f>
        <v>0</v>
      </c>
      <c r="I1237">
        <f>'[1]Processed Data'!I1237</f>
        <v>0</v>
      </c>
      <c r="J1237">
        <f>'[1]Processed Data'!J1237</f>
        <v>0</v>
      </c>
      <c r="K1237">
        <f>'[1]Processed Data'!K1237</f>
        <v>0</v>
      </c>
      <c r="L1237">
        <f>'[1]Processed Data'!L1237</f>
        <v>0</v>
      </c>
      <c r="M1237">
        <f>'[1]Processed Data'!M1237</f>
        <v>0</v>
      </c>
      <c r="N1237">
        <f>'[1]Processed Data'!N1237</f>
        <v>0</v>
      </c>
      <c r="O1237">
        <f>'[1]Processed Data'!O1237</f>
        <v>0</v>
      </c>
      <c r="P1237">
        <f>'[1]Processed Data'!P1237</f>
        <v>0</v>
      </c>
      <c r="Q1237">
        <f>'[1]Processed Data'!Q1237</f>
        <v>0</v>
      </c>
    </row>
    <row r="1238" spans="2:17" hidden="1">
      <c r="B1238">
        <f>'[1]Processed Data'!B1238</f>
        <v>2013</v>
      </c>
      <c r="C1238">
        <f>'[1]Processed Data'!C1238</f>
        <v>49</v>
      </c>
      <c r="D1238" t="str">
        <f>'[1]Processed Data'!D1238</f>
        <v>Kyler Murray</v>
      </c>
      <c r="E1238">
        <v>2015</v>
      </c>
      <c r="F1238">
        <f>'[1]Processed Data'!F1238</f>
        <v>0</v>
      </c>
      <c r="G1238">
        <f>'[1]Processed Data'!G1238</f>
        <v>0</v>
      </c>
      <c r="H1238">
        <f>'[1]Processed Data'!H1238</f>
        <v>0</v>
      </c>
      <c r="I1238">
        <f>'[1]Processed Data'!I1238</f>
        <v>0</v>
      </c>
      <c r="J1238">
        <f>'[1]Processed Data'!J1238</f>
        <v>0</v>
      </c>
      <c r="K1238">
        <f>'[1]Processed Data'!K1238</f>
        <v>0</v>
      </c>
      <c r="L1238">
        <f>'[1]Processed Data'!L1238</f>
        <v>0</v>
      </c>
      <c r="M1238">
        <f>'[1]Processed Data'!M1238</f>
        <v>0</v>
      </c>
      <c r="N1238">
        <f>'[1]Processed Data'!N1238</f>
        <v>0</v>
      </c>
      <c r="O1238">
        <f>'[1]Processed Data'!O1238</f>
        <v>0</v>
      </c>
      <c r="P1238">
        <f>'[1]Processed Data'!P1238</f>
        <v>0</v>
      </c>
      <c r="Q1238">
        <f>'[1]Processed Data'!Q1238</f>
        <v>0</v>
      </c>
    </row>
    <row r="1239" spans="2:17" hidden="1">
      <c r="B1239">
        <f>'[1]Processed Data'!B1239</f>
        <v>2013</v>
      </c>
      <c r="C1239">
        <f>'[1]Processed Data'!C1239</f>
        <v>50</v>
      </c>
      <c r="D1239" t="str">
        <f>'[1]Processed Data'!D1239</f>
        <v>Dwayne Haskins</v>
      </c>
      <c r="E1239">
        <v>2015</v>
      </c>
      <c r="F1239">
        <f>'[1]Processed Data'!F1239</f>
        <v>0</v>
      </c>
      <c r="G1239">
        <f>'[1]Processed Data'!G1239</f>
        <v>0</v>
      </c>
      <c r="H1239">
        <f>'[1]Processed Data'!H1239</f>
        <v>0</v>
      </c>
      <c r="I1239">
        <f>'[1]Processed Data'!I1239</f>
        <v>0</v>
      </c>
      <c r="J1239">
        <f>'[1]Processed Data'!J1239</f>
        <v>0</v>
      </c>
      <c r="K1239">
        <f>'[1]Processed Data'!K1239</f>
        <v>0</v>
      </c>
      <c r="L1239">
        <f>'[1]Processed Data'!L1239</f>
        <v>0</v>
      </c>
      <c r="M1239">
        <f>'[1]Processed Data'!M1239</f>
        <v>0</v>
      </c>
      <c r="N1239">
        <f>'[1]Processed Data'!N1239</f>
        <v>0</v>
      </c>
      <c r="O1239">
        <f>'[1]Processed Data'!O1239</f>
        <v>0</v>
      </c>
      <c r="P1239">
        <f>'[1]Processed Data'!P1239</f>
        <v>0</v>
      </c>
      <c r="Q1239">
        <f>'[1]Processed Data'!Q1239</f>
        <v>0</v>
      </c>
    </row>
    <row r="1240" spans="2:17" hidden="1">
      <c r="B1240">
        <f>'[1]Processed Data'!B1240</f>
        <v>2013</v>
      </c>
      <c r="C1240">
        <f>'[1]Processed Data'!C1240</f>
        <v>51</v>
      </c>
      <c r="D1240" t="str">
        <f>'[1]Processed Data'!D1240</f>
        <v>John Wolford</v>
      </c>
      <c r="E1240">
        <v>2015</v>
      </c>
      <c r="F1240">
        <f>'[1]Processed Data'!F1240</f>
        <v>0</v>
      </c>
      <c r="G1240">
        <f>'[1]Processed Data'!G1240</f>
        <v>0</v>
      </c>
      <c r="H1240">
        <f>'[1]Processed Data'!H1240</f>
        <v>0</v>
      </c>
      <c r="I1240">
        <f>'[1]Processed Data'!I1240</f>
        <v>0</v>
      </c>
      <c r="J1240">
        <f>'[1]Processed Data'!J1240</f>
        <v>0</v>
      </c>
      <c r="K1240">
        <f>'[1]Processed Data'!K1240</f>
        <v>0</v>
      </c>
      <c r="L1240">
        <f>'[1]Processed Data'!L1240</f>
        <v>0</v>
      </c>
      <c r="M1240">
        <f>'[1]Processed Data'!M1240</f>
        <v>0</v>
      </c>
      <c r="N1240">
        <f>'[1]Processed Data'!N1240</f>
        <v>0</v>
      </c>
      <c r="O1240">
        <f>'[1]Processed Data'!O1240</f>
        <v>0</v>
      </c>
      <c r="P1240">
        <f>'[1]Processed Data'!P1240</f>
        <v>0</v>
      </c>
      <c r="Q1240">
        <f>'[1]Processed Data'!Q1240</f>
        <v>0</v>
      </c>
    </row>
    <row r="1241" spans="2:17" hidden="1">
      <c r="B1241">
        <f>'[1]Processed Data'!B1241</f>
        <v>2013</v>
      </c>
      <c r="C1241">
        <f>'[1]Processed Data'!C1241</f>
        <v>52</v>
      </c>
      <c r="D1241" t="str">
        <f>'[1]Processed Data'!D1241</f>
        <v>Justin Herbert</v>
      </c>
      <c r="E1241">
        <v>2015</v>
      </c>
      <c r="F1241">
        <f>'[1]Processed Data'!F1241</f>
        <v>0</v>
      </c>
      <c r="G1241">
        <f>'[1]Processed Data'!G1241</f>
        <v>0</v>
      </c>
      <c r="H1241">
        <f>'[1]Processed Data'!H1241</f>
        <v>0</v>
      </c>
      <c r="I1241">
        <f>'[1]Processed Data'!I1241</f>
        <v>0</v>
      </c>
      <c r="J1241">
        <f>'[1]Processed Data'!J1241</f>
        <v>0</v>
      </c>
      <c r="K1241">
        <f>'[1]Processed Data'!K1241</f>
        <v>0</v>
      </c>
      <c r="L1241">
        <f>'[1]Processed Data'!L1241</f>
        <v>0</v>
      </c>
      <c r="M1241">
        <f>'[1]Processed Data'!M1241</f>
        <v>0</v>
      </c>
      <c r="N1241">
        <f>'[1]Processed Data'!N1241</f>
        <v>0</v>
      </c>
      <c r="O1241">
        <f>'[1]Processed Data'!O1241</f>
        <v>0</v>
      </c>
      <c r="P1241">
        <f>'[1]Processed Data'!P1241</f>
        <v>0</v>
      </c>
      <c r="Q1241">
        <f>'[1]Processed Data'!Q1241</f>
        <v>0</v>
      </c>
    </row>
    <row r="1242" spans="2:17" hidden="1">
      <c r="B1242">
        <f>'[1]Processed Data'!B1242</f>
        <v>2013</v>
      </c>
      <c r="C1242">
        <f>'[1]Processed Data'!C1242</f>
        <v>53</v>
      </c>
      <c r="D1242" t="str">
        <f>'[1]Processed Data'!D1242</f>
        <v>Danny Etling</v>
      </c>
      <c r="E1242">
        <v>2015</v>
      </c>
      <c r="F1242">
        <f>'[1]Processed Data'!F1242</f>
        <v>0</v>
      </c>
      <c r="G1242">
        <f>'[1]Processed Data'!G1242</f>
        <v>0</v>
      </c>
      <c r="H1242">
        <f>'[1]Processed Data'!H1242</f>
        <v>0</v>
      </c>
      <c r="I1242">
        <f>'[1]Processed Data'!I1242</f>
        <v>0</v>
      </c>
      <c r="J1242">
        <f>'[1]Processed Data'!J1242</f>
        <v>0</v>
      </c>
      <c r="K1242">
        <f>'[1]Processed Data'!K1242</f>
        <v>0</v>
      </c>
      <c r="L1242">
        <f>'[1]Processed Data'!L1242</f>
        <v>0</v>
      </c>
      <c r="M1242">
        <f>'[1]Processed Data'!M1242</f>
        <v>0</v>
      </c>
      <c r="N1242">
        <f>'[1]Processed Data'!N1242</f>
        <v>0</v>
      </c>
      <c r="O1242">
        <f>'[1]Processed Data'!O1242</f>
        <v>0</v>
      </c>
      <c r="P1242">
        <f>'[1]Processed Data'!P1242</f>
        <v>0</v>
      </c>
      <c r="Q1242">
        <f>'[1]Processed Data'!Q1242</f>
        <v>0</v>
      </c>
    </row>
    <row r="1243" spans="2:17" hidden="1">
      <c r="B1243">
        <f>'[1]Processed Data'!B1243</f>
        <v>2013</v>
      </c>
      <c r="C1243">
        <f>'[1]Processed Data'!C1243</f>
        <v>54</v>
      </c>
      <c r="D1243" t="str">
        <f>'[1]Processed Data'!D1243</f>
        <v>Alex McGough</v>
      </c>
      <c r="E1243">
        <v>2015</v>
      </c>
      <c r="F1243">
        <f>'[1]Processed Data'!F1243</f>
        <v>0</v>
      </c>
      <c r="G1243">
        <f>'[1]Processed Data'!G1243</f>
        <v>0</v>
      </c>
      <c r="H1243">
        <f>'[1]Processed Data'!H1243</f>
        <v>0</v>
      </c>
      <c r="I1243">
        <f>'[1]Processed Data'!I1243</f>
        <v>0</v>
      </c>
      <c r="J1243">
        <f>'[1]Processed Data'!J1243</f>
        <v>0</v>
      </c>
      <c r="K1243">
        <f>'[1]Processed Data'!K1243</f>
        <v>0</v>
      </c>
      <c r="L1243">
        <f>'[1]Processed Data'!L1243</f>
        <v>0</v>
      </c>
      <c r="M1243">
        <f>'[1]Processed Data'!M1243</f>
        <v>0</v>
      </c>
      <c r="N1243">
        <f>'[1]Processed Data'!N1243</f>
        <v>0</v>
      </c>
      <c r="O1243">
        <f>'[1]Processed Data'!O1243</f>
        <v>0</v>
      </c>
      <c r="P1243">
        <f>'[1]Processed Data'!P1243</f>
        <v>0</v>
      </c>
      <c r="Q1243">
        <f>'[1]Processed Data'!Q1243</f>
        <v>0</v>
      </c>
    </row>
    <row r="1244" spans="2:17" hidden="1">
      <c r="B1244">
        <f>'[1]Processed Data'!B1244</f>
        <v>2013</v>
      </c>
      <c r="C1244">
        <f>'[1]Processed Data'!C1244</f>
        <v>55</v>
      </c>
      <c r="D1244" t="str">
        <f>'[1]Processed Data'!D1244</f>
        <v>Tim Boyle</v>
      </c>
      <c r="E1244">
        <v>2015</v>
      </c>
      <c r="F1244">
        <f>'[1]Processed Data'!F1244</f>
        <v>0</v>
      </c>
      <c r="G1244">
        <f>'[1]Processed Data'!G1244</f>
        <v>0</v>
      </c>
      <c r="H1244">
        <f>'[1]Processed Data'!H1244</f>
        <v>0</v>
      </c>
      <c r="I1244">
        <f>'[1]Processed Data'!I1244</f>
        <v>0</v>
      </c>
      <c r="J1244">
        <f>'[1]Processed Data'!J1244</f>
        <v>0</v>
      </c>
      <c r="K1244">
        <f>'[1]Processed Data'!K1244</f>
        <v>0</v>
      </c>
      <c r="L1244">
        <f>'[1]Processed Data'!L1244</f>
        <v>0</v>
      </c>
      <c r="M1244">
        <f>'[1]Processed Data'!M1244</f>
        <v>0</v>
      </c>
      <c r="N1244">
        <f>'[1]Processed Data'!N1244</f>
        <v>0</v>
      </c>
      <c r="O1244">
        <f>'[1]Processed Data'!O1244</f>
        <v>0</v>
      </c>
      <c r="P1244">
        <f>'[1]Processed Data'!P1244</f>
        <v>0</v>
      </c>
      <c r="Q1244">
        <f>'[1]Processed Data'!Q1244</f>
        <v>0</v>
      </c>
    </row>
    <row r="1245" spans="2:17" hidden="1">
      <c r="B1245">
        <f>'[1]Processed Data'!B1245</f>
        <v>2013</v>
      </c>
      <c r="C1245">
        <f>'[1]Processed Data'!C1245</f>
        <v>56</v>
      </c>
      <c r="D1245" t="str">
        <f>'[1]Processed Data'!D1245</f>
        <v>Kurt Benkert</v>
      </c>
      <c r="E1245">
        <v>2015</v>
      </c>
      <c r="F1245">
        <f>'[1]Processed Data'!F1245</f>
        <v>0</v>
      </c>
      <c r="G1245">
        <f>'[1]Processed Data'!G1245</f>
        <v>0</v>
      </c>
      <c r="H1245">
        <f>'[1]Processed Data'!H1245</f>
        <v>0</v>
      </c>
      <c r="I1245">
        <f>'[1]Processed Data'!I1245</f>
        <v>0</v>
      </c>
      <c r="J1245">
        <f>'[1]Processed Data'!J1245</f>
        <v>0</v>
      </c>
      <c r="K1245">
        <f>'[1]Processed Data'!K1245</f>
        <v>0</v>
      </c>
      <c r="L1245">
        <f>'[1]Processed Data'!L1245</f>
        <v>0</v>
      </c>
      <c r="M1245">
        <f>'[1]Processed Data'!M1245</f>
        <v>0</v>
      </c>
      <c r="N1245">
        <f>'[1]Processed Data'!N1245</f>
        <v>0</v>
      </c>
      <c r="O1245">
        <f>'[1]Processed Data'!O1245</f>
        <v>0</v>
      </c>
      <c r="P1245">
        <f>'[1]Processed Data'!P1245</f>
        <v>0</v>
      </c>
      <c r="Q1245">
        <f>'[1]Processed Data'!Q1245</f>
        <v>0</v>
      </c>
    </row>
    <row r="1246" spans="2:17" hidden="1">
      <c r="B1246">
        <f>'[1]Processed Data'!B1246</f>
        <v>2013</v>
      </c>
      <c r="C1246">
        <f>'[1]Processed Data'!C1246</f>
        <v>57</v>
      </c>
      <c r="D1246" t="str">
        <f>'[1]Processed Data'!D1246</f>
        <v>Kyle Allen</v>
      </c>
      <c r="E1246">
        <v>2015</v>
      </c>
      <c r="F1246">
        <f>'[1]Processed Data'!F1246</f>
        <v>0</v>
      </c>
      <c r="G1246">
        <f>'[1]Processed Data'!G1246</f>
        <v>0</v>
      </c>
      <c r="H1246">
        <f>'[1]Processed Data'!H1246</f>
        <v>0</v>
      </c>
      <c r="I1246">
        <f>'[1]Processed Data'!I1246</f>
        <v>0</v>
      </c>
      <c r="J1246">
        <f>'[1]Processed Data'!J1246</f>
        <v>0</v>
      </c>
      <c r="K1246">
        <f>'[1]Processed Data'!K1246</f>
        <v>0</v>
      </c>
      <c r="L1246">
        <f>'[1]Processed Data'!L1246</f>
        <v>0</v>
      </c>
      <c r="M1246">
        <f>'[1]Processed Data'!M1246</f>
        <v>0</v>
      </c>
      <c r="N1246">
        <f>'[1]Processed Data'!N1246</f>
        <v>0</v>
      </c>
      <c r="O1246">
        <f>'[1]Processed Data'!O1246</f>
        <v>0</v>
      </c>
      <c r="P1246">
        <f>'[1]Processed Data'!P1246</f>
        <v>0</v>
      </c>
      <c r="Q1246">
        <f>'[1]Processed Data'!Q1246</f>
        <v>0</v>
      </c>
    </row>
    <row r="1247" spans="2:17" hidden="1">
      <c r="B1247">
        <f>'[1]Processed Data'!B1247</f>
        <v>2013</v>
      </c>
      <c r="C1247">
        <f>'[1]Processed Data'!C1247</f>
        <v>58</v>
      </c>
      <c r="D1247" t="str">
        <f>'[1]Processed Data'!D1247</f>
        <v>Jarrett Stidham</v>
      </c>
      <c r="E1247">
        <v>2015</v>
      </c>
      <c r="F1247">
        <f>'[1]Processed Data'!F1247</f>
        <v>0</v>
      </c>
      <c r="G1247">
        <f>'[1]Processed Data'!G1247</f>
        <v>0</v>
      </c>
      <c r="H1247">
        <f>'[1]Processed Data'!H1247</f>
        <v>0</v>
      </c>
      <c r="I1247">
        <f>'[1]Processed Data'!I1247</f>
        <v>0</v>
      </c>
      <c r="J1247">
        <f>'[1]Processed Data'!J1247</f>
        <v>0</v>
      </c>
      <c r="K1247">
        <f>'[1]Processed Data'!K1247</f>
        <v>0</v>
      </c>
      <c r="L1247">
        <f>'[1]Processed Data'!L1247</f>
        <v>0</v>
      </c>
      <c r="M1247">
        <f>'[1]Processed Data'!M1247</f>
        <v>0</v>
      </c>
      <c r="N1247">
        <f>'[1]Processed Data'!N1247</f>
        <v>0</v>
      </c>
      <c r="O1247">
        <f>'[1]Processed Data'!O1247</f>
        <v>0</v>
      </c>
      <c r="P1247">
        <f>'[1]Processed Data'!P1247</f>
        <v>0</v>
      </c>
      <c r="Q1247">
        <f>'[1]Processed Data'!Q1247</f>
        <v>0</v>
      </c>
    </row>
    <row r="1248" spans="2:17" hidden="1">
      <c r="B1248">
        <f>'[1]Processed Data'!B1248</f>
        <v>2013</v>
      </c>
      <c r="C1248">
        <f>'[1]Processed Data'!C1248</f>
        <v>59</v>
      </c>
      <c r="D1248" t="str">
        <f>'[1]Processed Data'!D1248</f>
        <v>Trevor Lawrence</v>
      </c>
      <c r="E1248">
        <v>2015</v>
      </c>
      <c r="F1248">
        <f>'[1]Processed Data'!F1248</f>
        <v>0</v>
      </c>
      <c r="G1248">
        <f>'[1]Processed Data'!G1248</f>
        <v>0</v>
      </c>
      <c r="H1248">
        <f>'[1]Processed Data'!H1248</f>
        <v>0</v>
      </c>
      <c r="I1248">
        <f>'[1]Processed Data'!I1248</f>
        <v>0</v>
      </c>
      <c r="J1248">
        <f>'[1]Processed Data'!J1248</f>
        <v>0</v>
      </c>
      <c r="K1248">
        <f>'[1]Processed Data'!K1248</f>
        <v>0</v>
      </c>
      <c r="L1248">
        <f>'[1]Processed Data'!L1248</f>
        <v>0</v>
      </c>
      <c r="M1248">
        <f>'[1]Processed Data'!M1248</f>
        <v>0</v>
      </c>
      <c r="N1248">
        <f>'[1]Processed Data'!N1248</f>
        <v>0</v>
      </c>
      <c r="O1248">
        <f>'[1]Processed Data'!O1248</f>
        <v>0</v>
      </c>
      <c r="P1248">
        <f>'[1]Processed Data'!P1248</f>
        <v>0</v>
      </c>
      <c r="Q1248">
        <f>'[1]Processed Data'!Q1248</f>
        <v>0</v>
      </c>
    </row>
    <row r="1249" spans="2:17" hidden="1">
      <c r="B1249">
        <f>'[1]Processed Data'!B1249</f>
        <v>2013</v>
      </c>
      <c r="C1249">
        <f>'[1]Processed Data'!C1249</f>
        <v>60</v>
      </c>
      <c r="D1249" t="str">
        <f>'[1]Processed Data'!D1249</f>
        <v>James Morgan</v>
      </c>
      <c r="E1249">
        <v>2015</v>
      </c>
      <c r="F1249">
        <f>'[1]Processed Data'!F1249</f>
        <v>0</v>
      </c>
      <c r="G1249">
        <f>'[1]Processed Data'!G1249</f>
        <v>0</v>
      </c>
      <c r="H1249">
        <f>'[1]Processed Data'!H1249</f>
        <v>0</v>
      </c>
      <c r="I1249">
        <f>'[1]Processed Data'!I1249</f>
        <v>0</v>
      </c>
      <c r="J1249">
        <f>'[1]Processed Data'!J1249</f>
        <v>0</v>
      </c>
      <c r="K1249">
        <f>'[1]Processed Data'!K1249</f>
        <v>0</v>
      </c>
      <c r="L1249">
        <f>'[1]Processed Data'!L1249</f>
        <v>0</v>
      </c>
      <c r="M1249">
        <f>'[1]Processed Data'!M1249</f>
        <v>0</v>
      </c>
      <c r="N1249">
        <f>'[1]Processed Data'!N1249</f>
        <v>0</v>
      </c>
      <c r="O1249">
        <f>'[1]Processed Data'!O1249</f>
        <v>0</v>
      </c>
      <c r="P1249">
        <f>'[1]Processed Data'!P1249</f>
        <v>0</v>
      </c>
      <c r="Q1249">
        <f>'[1]Processed Data'!Q1249</f>
        <v>0</v>
      </c>
    </row>
    <row r="1250" spans="2:17" hidden="1">
      <c r="B1250">
        <f>'[1]Processed Data'!B1250</f>
        <v>2013</v>
      </c>
      <c r="C1250">
        <f>'[1]Processed Data'!C1250</f>
        <v>61</v>
      </c>
      <c r="D1250" t="str">
        <f>'[1]Processed Data'!D1250</f>
        <v>Bryce Perkins</v>
      </c>
      <c r="E1250">
        <v>2015</v>
      </c>
      <c r="F1250">
        <f>'[1]Processed Data'!F1250</f>
        <v>0</v>
      </c>
      <c r="G1250">
        <f>'[1]Processed Data'!G1250</f>
        <v>0</v>
      </c>
      <c r="H1250">
        <f>'[1]Processed Data'!H1250</f>
        <v>0</v>
      </c>
      <c r="I1250">
        <f>'[1]Processed Data'!I1250</f>
        <v>0</v>
      </c>
      <c r="J1250">
        <f>'[1]Processed Data'!J1250</f>
        <v>0</v>
      </c>
      <c r="K1250">
        <f>'[1]Processed Data'!K1250</f>
        <v>0</v>
      </c>
      <c r="L1250">
        <f>'[1]Processed Data'!L1250</f>
        <v>0</v>
      </c>
      <c r="M1250">
        <f>'[1]Processed Data'!M1250</f>
        <v>0</v>
      </c>
      <c r="N1250">
        <f>'[1]Processed Data'!N1250</f>
        <v>0</v>
      </c>
      <c r="O1250">
        <f>'[1]Processed Data'!O1250</f>
        <v>0</v>
      </c>
      <c r="P1250">
        <f>'[1]Processed Data'!P1250</f>
        <v>0</v>
      </c>
      <c r="Q1250">
        <f>'[1]Processed Data'!Q1250</f>
        <v>0</v>
      </c>
    </row>
    <row r="1251" spans="2:17" hidden="1">
      <c r="B1251">
        <f>'[1]Processed Data'!B1251</f>
        <v>2013</v>
      </c>
      <c r="C1251">
        <f>'[1]Processed Data'!C1251</f>
        <v>62</v>
      </c>
      <c r="D1251" t="str">
        <f>'[1]Processed Data'!D1251</f>
        <v>Steven Montez</v>
      </c>
      <c r="E1251">
        <v>2015</v>
      </c>
      <c r="F1251">
        <f>'[1]Processed Data'!F1251</f>
        <v>0</v>
      </c>
      <c r="G1251">
        <f>'[1]Processed Data'!G1251</f>
        <v>0</v>
      </c>
      <c r="H1251">
        <f>'[1]Processed Data'!H1251</f>
        <v>0</v>
      </c>
      <c r="I1251">
        <f>'[1]Processed Data'!I1251</f>
        <v>0</v>
      </c>
      <c r="J1251">
        <f>'[1]Processed Data'!J1251</f>
        <v>0</v>
      </c>
      <c r="K1251">
        <f>'[1]Processed Data'!K1251</f>
        <v>0</v>
      </c>
      <c r="L1251">
        <f>'[1]Processed Data'!L1251</f>
        <v>0</v>
      </c>
      <c r="M1251">
        <f>'[1]Processed Data'!M1251</f>
        <v>0</v>
      </c>
      <c r="N1251">
        <f>'[1]Processed Data'!N1251</f>
        <v>0</v>
      </c>
      <c r="O1251">
        <f>'[1]Processed Data'!O1251</f>
        <v>0</v>
      </c>
      <c r="P1251">
        <f>'[1]Processed Data'!P1251</f>
        <v>0</v>
      </c>
      <c r="Q1251">
        <f>'[1]Processed Data'!Q1251</f>
        <v>0</v>
      </c>
    </row>
    <row r="1252" spans="2:17" hidden="1">
      <c r="B1252">
        <f>'[1]Processed Data'!B1252</f>
        <v>2013</v>
      </c>
      <c r="C1252">
        <f>'[1]Processed Data'!C1252</f>
        <v>63</v>
      </c>
      <c r="D1252" t="str">
        <f>'[1]Processed Data'!D1252</f>
        <v>Jake Luton</v>
      </c>
      <c r="E1252">
        <v>2015</v>
      </c>
      <c r="F1252">
        <f>'[1]Processed Data'!F1252</f>
        <v>0</v>
      </c>
      <c r="G1252">
        <f>'[1]Processed Data'!G1252</f>
        <v>0</v>
      </c>
      <c r="H1252">
        <f>'[1]Processed Data'!H1252</f>
        <v>0</v>
      </c>
      <c r="I1252">
        <f>'[1]Processed Data'!I1252</f>
        <v>0</v>
      </c>
      <c r="J1252">
        <f>'[1]Processed Data'!J1252</f>
        <v>0</v>
      </c>
      <c r="K1252">
        <f>'[1]Processed Data'!K1252</f>
        <v>0</v>
      </c>
      <c r="L1252">
        <f>'[1]Processed Data'!L1252</f>
        <v>0</v>
      </c>
      <c r="M1252">
        <f>'[1]Processed Data'!M1252</f>
        <v>0</v>
      </c>
      <c r="N1252">
        <f>'[1]Processed Data'!N1252</f>
        <v>0</v>
      </c>
      <c r="O1252">
        <f>'[1]Processed Data'!O1252</f>
        <v>0</v>
      </c>
      <c r="P1252">
        <f>'[1]Processed Data'!P1252</f>
        <v>0</v>
      </c>
      <c r="Q1252">
        <f>'[1]Processed Data'!Q1252</f>
        <v>0</v>
      </c>
    </row>
    <row r="1253" spans="2:17" hidden="1">
      <c r="B1253">
        <f>'[1]Processed Data'!B1253</f>
        <v>2013</v>
      </c>
      <c r="C1253">
        <f>'[1]Processed Data'!C1253</f>
        <v>64</v>
      </c>
      <c r="D1253" t="str">
        <f>'[1]Processed Data'!D1253</f>
        <v>Brian Lewerke</v>
      </c>
      <c r="E1253">
        <v>2015</v>
      </c>
      <c r="F1253">
        <f>'[1]Processed Data'!F1253</f>
        <v>0</v>
      </c>
      <c r="G1253">
        <f>'[1]Processed Data'!G1253</f>
        <v>0</v>
      </c>
      <c r="H1253">
        <f>'[1]Processed Data'!H1253</f>
        <v>0</v>
      </c>
      <c r="I1253">
        <f>'[1]Processed Data'!I1253</f>
        <v>0</v>
      </c>
      <c r="J1253">
        <f>'[1]Processed Data'!J1253</f>
        <v>0</v>
      </c>
      <c r="K1253">
        <f>'[1]Processed Data'!K1253</f>
        <v>0</v>
      </c>
      <c r="L1253">
        <f>'[1]Processed Data'!L1253</f>
        <v>0</v>
      </c>
      <c r="M1253">
        <f>'[1]Processed Data'!M1253</f>
        <v>0</v>
      </c>
      <c r="N1253">
        <f>'[1]Processed Data'!N1253</f>
        <v>0</v>
      </c>
      <c r="O1253">
        <f>'[1]Processed Data'!O1253</f>
        <v>0</v>
      </c>
      <c r="P1253">
        <f>'[1]Processed Data'!P1253</f>
        <v>0</v>
      </c>
      <c r="Q1253">
        <f>'[1]Processed Data'!Q1253</f>
        <v>0</v>
      </c>
    </row>
    <row r="1254" spans="2:17" hidden="1">
      <c r="B1254">
        <f>'[1]Processed Data'!B1254</f>
        <v>2013</v>
      </c>
      <c r="C1254">
        <f>'[1]Processed Data'!C1254</f>
        <v>65</v>
      </c>
      <c r="D1254" t="str">
        <f>'[1]Processed Data'!D1254</f>
        <v>Shane Buechele</v>
      </c>
      <c r="E1254">
        <v>2015</v>
      </c>
      <c r="F1254">
        <f>'[1]Processed Data'!F1254</f>
        <v>0</v>
      </c>
      <c r="G1254">
        <f>'[1]Processed Data'!G1254</f>
        <v>0</v>
      </c>
      <c r="H1254">
        <f>'[1]Processed Data'!H1254</f>
        <v>0</v>
      </c>
      <c r="I1254">
        <f>'[1]Processed Data'!I1254</f>
        <v>0</v>
      </c>
      <c r="J1254">
        <f>'[1]Processed Data'!J1254</f>
        <v>0</v>
      </c>
      <c r="K1254">
        <f>'[1]Processed Data'!K1254</f>
        <v>0</v>
      </c>
      <c r="L1254">
        <f>'[1]Processed Data'!L1254</f>
        <v>0</v>
      </c>
      <c r="M1254">
        <f>'[1]Processed Data'!M1254</f>
        <v>0</v>
      </c>
      <c r="N1254">
        <f>'[1]Processed Data'!N1254</f>
        <v>0</v>
      </c>
      <c r="O1254">
        <f>'[1]Processed Data'!O1254</f>
        <v>0</v>
      </c>
      <c r="P1254">
        <f>'[1]Processed Data'!P1254</f>
        <v>0</v>
      </c>
      <c r="Q1254">
        <f>'[1]Processed Data'!Q1254</f>
        <v>0</v>
      </c>
    </row>
    <row r="1255" spans="2:17" hidden="1">
      <c r="B1255">
        <f>'[1]Processed Data'!B1255</f>
        <v>2013</v>
      </c>
      <c r="C1255">
        <f>'[1]Processed Data'!C1255</f>
        <v>66</v>
      </c>
      <c r="D1255" t="str">
        <f>'[1]Processed Data'!D1255</f>
        <v>Chris Streveler</v>
      </c>
      <c r="E1255">
        <v>2015</v>
      </c>
      <c r="F1255">
        <f>'[1]Processed Data'!F1255</f>
        <v>0</v>
      </c>
      <c r="G1255">
        <f>'[1]Processed Data'!G1255</f>
        <v>0</v>
      </c>
      <c r="H1255">
        <f>'[1]Processed Data'!H1255</f>
        <v>0</v>
      </c>
      <c r="I1255">
        <f>'[1]Processed Data'!I1255</f>
        <v>0</v>
      </c>
      <c r="J1255">
        <f>'[1]Processed Data'!J1255</f>
        <v>0</v>
      </c>
      <c r="K1255">
        <f>'[1]Processed Data'!K1255</f>
        <v>0</v>
      </c>
      <c r="L1255">
        <f>'[1]Processed Data'!L1255</f>
        <v>0</v>
      </c>
      <c r="M1255">
        <f>'[1]Processed Data'!M1255</f>
        <v>0</v>
      </c>
      <c r="N1255">
        <f>'[1]Processed Data'!N1255</f>
        <v>0</v>
      </c>
      <c r="O1255">
        <f>'[1]Processed Data'!O1255</f>
        <v>0</v>
      </c>
      <c r="P1255">
        <f>'[1]Processed Data'!P1255</f>
        <v>0</v>
      </c>
      <c r="Q1255">
        <f>'[1]Processed Data'!Q1255</f>
        <v>0</v>
      </c>
    </row>
    <row r="1256" spans="2:17" hidden="1">
      <c r="B1256">
        <f>'[1]Processed Data'!B1256</f>
        <v>2013</v>
      </c>
      <c r="C1256">
        <f>'[1]Processed Data'!C1256</f>
        <v>67</v>
      </c>
      <c r="D1256" t="str">
        <f>'[1]Processed Data'!D1256</f>
        <v>Kellen Mond</v>
      </c>
      <c r="E1256">
        <v>2015</v>
      </c>
      <c r="F1256">
        <f>'[1]Processed Data'!F1256</f>
        <v>0</v>
      </c>
      <c r="G1256">
        <f>'[1]Processed Data'!G1256</f>
        <v>0</v>
      </c>
      <c r="H1256">
        <f>'[1]Processed Data'!H1256</f>
        <v>0</v>
      </c>
      <c r="I1256">
        <f>'[1]Processed Data'!I1256</f>
        <v>0</v>
      </c>
      <c r="J1256">
        <f>'[1]Processed Data'!J1256</f>
        <v>0</v>
      </c>
      <c r="K1256">
        <f>'[1]Processed Data'!K1256</f>
        <v>0</v>
      </c>
      <c r="L1256">
        <f>'[1]Processed Data'!L1256</f>
        <v>0</v>
      </c>
      <c r="M1256">
        <f>'[1]Processed Data'!M1256</f>
        <v>0</v>
      </c>
      <c r="N1256">
        <f>'[1]Processed Data'!N1256</f>
        <v>0</v>
      </c>
      <c r="O1256">
        <f>'[1]Processed Data'!O1256</f>
        <v>0</v>
      </c>
      <c r="P1256">
        <f>'[1]Processed Data'!P1256</f>
        <v>0</v>
      </c>
      <c r="Q1256">
        <f>'[1]Processed Data'!Q1256</f>
        <v>0</v>
      </c>
    </row>
    <row r="1257" spans="2:17" hidden="1">
      <c r="B1257">
        <f>'[1]Processed Data'!B1257</f>
        <v>2013</v>
      </c>
      <c r="C1257">
        <f>'[1]Processed Data'!C1257</f>
        <v>68</v>
      </c>
      <c r="D1257" t="str">
        <f>'[1]Processed Data'!D1257</f>
        <v>David Blough</v>
      </c>
      <c r="E1257">
        <v>2015</v>
      </c>
      <c r="F1257">
        <f>'[1]Processed Data'!F1257</f>
        <v>0</v>
      </c>
      <c r="G1257">
        <f>'[1]Processed Data'!G1257</f>
        <v>0</v>
      </c>
      <c r="H1257">
        <f>'[1]Processed Data'!H1257</f>
        <v>0</v>
      </c>
      <c r="I1257">
        <f>'[1]Processed Data'!I1257</f>
        <v>0</v>
      </c>
      <c r="J1257">
        <f>'[1]Processed Data'!J1257</f>
        <v>0</v>
      </c>
      <c r="K1257">
        <f>'[1]Processed Data'!K1257</f>
        <v>0</v>
      </c>
      <c r="L1257">
        <f>'[1]Processed Data'!L1257</f>
        <v>0</v>
      </c>
      <c r="M1257">
        <f>'[1]Processed Data'!M1257</f>
        <v>0</v>
      </c>
      <c r="N1257">
        <f>'[1]Processed Data'!N1257</f>
        <v>0</v>
      </c>
      <c r="O1257">
        <f>'[1]Processed Data'!O1257</f>
        <v>0</v>
      </c>
      <c r="P1257">
        <f>'[1]Processed Data'!P1257</f>
        <v>0</v>
      </c>
      <c r="Q1257">
        <f>'[1]Processed Data'!Q1257</f>
        <v>0</v>
      </c>
    </row>
    <row r="1258" spans="2:17" hidden="1">
      <c r="B1258">
        <f>'[1]Processed Data'!B1258</f>
        <v>2013</v>
      </c>
      <c r="C1258">
        <f>'[1]Processed Data'!C1258</f>
        <v>69</v>
      </c>
      <c r="D1258" t="str">
        <f>'[1]Processed Data'!D1258</f>
        <v>John Lovett</v>
      </c>
      <c r="E1258">
        <v>2015</v>
      </c>
      <c r="F1258">
        <f>'[1]Processed Data'!F1258</f>
        <v>0</v>
      </c>
      <c r="G1258">
        <f>'[1]Processed Data'!G1258</f>
        <v>0</v>
      </c>
      <c r="H1258">
        <f>'[1]Processed Data'!H1258</f>
        <v>0</v>
      </c>
      <c r="I1258">
        <f>'[1]Processed Data'!I1258</f>
        <v>0</v>
      </c>
      <c r="J1258">
        <f>'[1]Processed Data'!J1258</f>
        <v>0</v>
      </c>
      <c r="K1258">
        <f>'[1]Processed Data'!K1258</f>
        <v>0</v>
      </c>
      <c r="L1258">
        <f>'[1]Processed Data'!L1258</f>
        <v>0</v>
      </c>
      <c r="M1258">
        <f>'[1]Processed Data'!M1258</f>
        <v>0</v>
      </c>
      <c r="N1258">
        <f>'[1]Processed Data'!N1258</f>
        <v>0</v>
      </c>
      <c r="O1258">
        <f>'[1]Processed Data'!O1258</f>
        <v>0</v>
      </c>
      <c r="P1258">
        <f>'[1]Processed Data'!P1258</f>
        <v>0</v>
      </c>
      <c r="Q1258">
        <f>'[1]Processed Data'!Q1258</f>
        <v>0</v>
      </c>
    </row>
    <row r="1259" spans="2:17" hidden="1">
      <c r="B1259">
        <f>'[1]Processed Data'!B1259</f>
        <v>2013</v>
      </c>
      <c r="C1259">
        <f>'[1]Processed Data'!C1259</f>
        <v>70</v>
      </c>
      <c r="D1259" t="str">
        <f>'[1]Processed Data'!D1259</f>
        <v>Tyler Huntley</v>
      </c>
      <c r="E1259">
        <v>2015</v>
      </c>
      <c r="F1259">
        <f>'[1]Processed Data'!F1259</f>
        <v>0</v>
      </c>
      <c r="G1259">
        <f>'[1]Processed Data'!G1259</f>
        <v>0</v>
      </c>
      <c r="H1259">
        <f>'[1]Processed Data'!H1259</f>
        <v>0</v>
      </c>
      <c r="I1259">
        <f>'[1]Processed Data'!I1259</f>
        <v>0</v>
      </c>
      <c r="J1259">
        <f>'[1]Processed Data'!J1259</f>
        <v>0</v>
      </c>
      <c r="K1259">
        <f>'[1]Processed Data'!K1259</f>
        <v>0</v>
      </c>
      <c r="L1259">
        <f>'[1]Processed Data'!L1259</f>
        <v>0</v>
      </c>
      <c r="M1259">
        <f>'[1]Processed Data'!M1259</f>
        <v>0</v>
      </c>
      <c r="N1259">
        <f>'[1]Processed Data'!N1259</f>
        <v>0</v>
      </c>
      <c r="O1259">
        <f>'[1]Processed Data'!O1259</f>
        <v>0</v>
      </c>
      <c r="P1259">
        <f>'[1]Processed Data'!P1259</f>
        <v>0</v>
      </c>
      <c r="Q1259">
        <f>'[1]Processed Data'!Q1259</f>
        <v>0</v>
      </c>
    </row>
    <row r="1260" spans="2:17" hidden="1">
      <c r="B1260">
        <f>'[1]Processed Data'!B1260</f>
        <v>2013</v>
      </c>
      <c r="C1260">
        <f>'[1]Processed Data'!C1260</f>
        <v>71</v>
      </c>
      <c r="D1260" t="str">
        <f>'[1]Processed Data'!D1260</f>
        <v>Joe Burrow</v>
      </c>
      <c r="E1260">
        <v>2015</v>
      </c>
      <c r="F1260">
        <f>'[1]Processed Data'!F1260</f>
        <v>0</v>
      </c>
      <c r="G1260">
        <f>'[1]Processed Data'!G1260</f>
        <v>0</v>
      </c>
      <c r="H1260">
        <f>'[1]Processed Data'!H1260</f>
        <v>0</v>
      </c>
      <c r="I1260">
        <f>'[1]Processed Data'!I1260</f>
        <v>0</v>
      </c>
      <c r="J1260">
        <f>'[1]Processed Data'!J1260</f>
        <v>0</v>
      </c>
      <c r="K1260">
        <f>'[1]Processed Data'!K1260</f>
        <v>0</v>
      </c>
      <c r="L1260">
        <f>'[1]Processed Data'!L1260</f>
        <v>0</v>
      </c>
      <c r="M1260">
        <f>'[1]Processed Data'!M1260</f>
        <v>0</v>
      </c>
      <c r="N1260">
        <f>'[1]Processed Data'!N1260</f>
        <v>0</v>
      </c>
      <c r="O1260">
        <f>'[1]Processed Data'!O1260</f>
        <v>0</v>
      </c>
      <c r="P1260">
        <f>'[1]Processed Data'!P1260</f>
        <v>0</v>
      </c>
      <c r="Q1260">
        <f>'[1]Processed Data'!Q1260</f>
        <v>0</v>
      </c>
    </row>
    <row r="1261" spans="2:17" hidden="1">
      <c r="B1261">
        <f>'[1]Processed Data'!B1261</f>
        <v>2013</v>
      </c>
      <c r="C1261">
        <f>'[1]Processed Data'!C1261</f>
        <v>72</v>
      </c>
      <c r="D1261" t="str">
        <f>'[1]Processed Data'!D1261</f>
        <v>Tua Tagovailoa</v>
      </c>
      <c r="E1261">
        <v>2015</v>
      </c>
      <c r="F1261">
        <f>'[1]Processed Data'!F1261</f>
        <v>0</v>
      </c>
      <c r="G1261">
        <f>'[1]Processed Data'!G1261</f>
        <v>0</v>
      </c>
      <c r="H1261">
        <f>'[1]Processed Data'!H1261</f>
        <v>0</v>
      </c>
      <c r="I1261">
        <f>'[1]Processed Data'!I1261</f>
        <v>0</v>
      </c>
      <c r="J1261">
        <f>'[1]Processed Data'!J1261</f>
        <v>0</v>
      </c>
      <c r="K1261">
        <f>'[1]Processed Data'!K1261</f>
        <v>0</v>
      </c>
      <c r="L1261">
        <f>'[1]Processed Data'!L1261</f>
        <v>0</v>
      </c>
      <c r="M1261">
        <f>'[1]Processed Data'!M1261</f>
        <v>0</v>
      </c>
      <c r="N1261">
        <f>'[1]Processed Data'!N1261</f>
        <v>0</v>
      </c>
      <c r="O1261">
        <f>'[1]Processed Data'!O1261</f>
        <v>0</v>
      </c>
      <c r="P1261">
        <f>'[1]Processed Data'!P1261</f>
        <v>0</v>
      </c>
      <c r="Q1261">
        <f>'[1]Processed Data'!Q1261</f>
        <v>0</v>
      </c>
    </row>
    <row r="1262" spans="2:17" hidden="1">
      <c r="B1262">
        <f>'[1]Processed Data'!B1262</f>
        <v>2013</v>
      </c>
      <c r="C1262">
        <f>'[1]Processed Data'!C1262</f>
        <v>73</v>
      </c>
      <c r="D1262" t="str">
        <f>'[1]Processed Data'!D1262</f>
        <v>Jacob Eason</v>
      </c>
      <c r="E1262">
        <v>2015</v>
      </c>
      <c r="F1262">
        <f>'[1]Processed Data'!F1262</f>
        <v>0</v>
      </c>
      <c r="G1262">
        <f>'[1]Processed Data'!G1262</f>
        <v>0</v>
      </c>
      <c r="H1262">
        <f>'[1]Processed Data'!H1262</f>
        <v>0</v>
      </c>
      <c r="I1262">
        <f>'[1]Processed Data'!I1262</f>
        <v>0</v>
      </c>
      <c r="J1262">
        <f>'[1]Processed Data'!J1262</f>
        <v>0</v>
      </c>
      <c r="K1262">
        <f>'[1]Processed Data'!K1262</f>
        <v>0</v>
      </c>
      <c r="L1262">
        <f>'[1]Processed Data'!L1262</f>
        <v>0</v>
      </c>
      <c r="M1262">
        <f>'[1]Processed Data'!M1262</f>
        <v>0</v>
      </c>
      <c r="N1262">
        <f>'[1]Processed Data'!N1262</f>
        <v>0</v>
      </c>
      <c r="O1262">
        <f>'[1]Processed Data'!O1262</f>
        <v>0</v>
      </c>
      <c r="P1262">
        <f>'[1]Processed Data'!P1262</f>
        <v>0</v>
      </c>
      <c r="Q1262">
        <f>'[1]Processed Data'!Q1262</f>
        <v>0</v>
      </c>
    </row>
    <row r="1263" spans="2:17" hidden="1">
      <c r="B1263">
        <f>'[1]Processed Data'!B1263</f>
        <v>2013</v>
      </c>
      <c r="C1263">
        <f>'[1]Processed Data'!C1263</f>
        <v>74</v>
      </c>
      <c r="D1263" t="str">
        <f>'[1]Processed Data'!D1263</f>
        <v>Jake Fromm</v>
      </c>
      <c r="E1263">
        <v>2015</v>
      </c>
      <c r="F1263">
        <f>'[1]Processed Data'!F1263</f>
        <v>0</v>
      </c>
      <c r="G1263">
        <f>'[1]Processed Data'!G1263</f>
        <v>0</v>
      </c>
      <c r="H1263">
        <f>'[1]Processed Data'!H1263</f>
        <v>0</v>
      </c>
      <c r="I1263">
        <f>'[1]Processed Data'!I1263</f>
        <v>0</v>
      </c>
      <c r="J1263">
        <f>'[1]Processed Data'!J1263</f>
        <v>0</v>
      </c>
      <c r="K1263">
        <f>'[1]Processed Data'!K1263</f>
        <v>0</v>
      </c>
      <c r="L1263">
        <f>'[1]Processed Data'!L1263</f>
        <v>0</v>
      </c>
      <c r="M1263">
        <f>'[1]Processed Data'!M1263</f>
        <v>0</v>
      </c>
      <c r="N1263">
        <f>'[1]Processed Data'!N1263</f>
        <v>0</v>
      </c>
      <c r="O1263">
        <f>'[1]Processed Data'!O1263</f>
        <v>0</v>
      </c>
      <c r="P1263">
        <f>'[1]Processed Data'!P1263</f>
        <v>0</v>
      </c>
      <c r="Q1263">
        <f>'[1]Processed Data'!Q1263</f>
        <v>0</v>
      </c>
    </row>
    <row r="1264" spans="2:17" hidden="1">
      <c r="B1264">
        <f>'[1]Processed Data'!B1264</f>
        <v>2013</v>
      </c>
      <c r="C1264">
        <f>'[1]Processed Data'!C1264</f>
        <v>75</v>
      </c>
      <c r="D1264" t="str">
        <f>'[1]Processed Data'!D1264</f>
        <v>Jordan Love</v>
      </c>
      <c r="E1264">
        <v>2015</v>
      </c>
      <c r="F1264">
        <f>'[1]Processed Data'!F1264</f>
        <v>0</v>
      </c>
      <c r="G1264">
        <f>'[1]Processed Data'!G1264</f>
        <v>0</v>
      </c>
      <c r="H1264">
        <f>'[1]Processed Data'!H1264</f>
        <v>0</v>
      </c>
      <c r="I1264">
        <f>'[1]Processed Data'!I1264</f>
        <v>0</v>
      </c>
      <c r="J1264">
        <f>'[1]Processed Data'!J1264</f>
        <v>0</v>
      </c>
      <c r="K1264">
        <f>'[1]Processed Data'!K1264</f>
        <v>0</v>
      </c>
      <c r="L1264">
        <f>'[1]Processed Data'!L1264</f>
        <v>0</v>
      </c>
      <c r="M1264">
        <f>'[1]Processed Data'!M1264</f>
        <v>0</v>
      </c>
      <c r="N1264">
        <f>'[1]Processed Data'!N1264</f>
        <v>0</v>
      </c>
      <c r="O1264">
        <f>'[1]Processed Data'!O1264</f>
        <v>0</v>
      </c>
      <c r="P1264">
        <f>'[1]Processed Data'!P1264</f>
        <v>0</v>
      </c>
      <c r="Q1264">
        <f>'[1]Processed Data'!Q1264</f>
        <v>0</v>
      </c>
    </row>
    <row r="1265" spans="2:17" hidden="1">
      <c r="B1265">
        <f>'[1]Processed Data'!B1265</f>
        <v>2013</v>
      </c>
      <c r="C1265">
        <f>'[1]Processed Data'!C1265</f>
        <v>76</v>
      </c>
      <c r="D1265" t="str">
        <f>'[1]Processed Data'!D1265</f>
        <v>Jalen Hurts</v>
      </c>
      <c r="E1265">
        <v>2015</v>
      </c>
      <c r="F1265">
        <f>'[1]Processed Data'!F1265</f>
        <v>0</v>
      </c>
      <c r="G1265">
        <f>'[1]Processed Data'!G1265</f>
        <v>0</v>
      </c>
      <c r="H1265">
        <f>'[1]Processed Data'!H1265</f>
        <v>0</v>
      </c>
      <c r="I1265">
        <f>'[1]Processed Data'!I1265</f>
        <v>0</v>
      </c>
      <c r="J1265">
        <f>'[1]Processed Data'!J1265</f>
        <v>0</v>
      </c>
      <c r="K1265">
        <f>'[1]Processed Data'!K1265</f>
        <v>0</v>
      </c>
      <c r="L1265">
        <f>'[1]Processed Data'!L1265</f>
        <v>0</v>
      </c>
      <c r="M1265">
        <f>'[1]Processed Data'!M1265</f>
        <v>0</v>
      </c>
      <c r="N1265">
        <f>'[1]Processed Data'!N1265</f>
        <v>0</v>
      </c>
      <c r="O1265">
        <f>'[1]Processed Data'!O1265</f>
        <v>0</v>
      </c>
      <c r="P1265">
        <f>'[1]Processed Data'!P1265</f>
        <v>0</v>
      </c>
      <c r="Q1265">
        <f>'[1]Processed Data'!Q1265</f>
        <v>0</v>
      </c>
    </row>
    <row r="1266" spans="2:17" hidden="1">
      <c r="B1266">
        <f>'[1]Processed Data'!B1266</f>
        <v>2013</v>
      </c>
      <c r="C1266">
        <f>'[1]Processed Data'!C1266</f>
        <v>77</v>
      </c>
      <c r="D1266" t="str">
        <f>'[1]Processed Data'!D1266</f>
        <v>Ryan Willis</v>
      </c>
      <c r="E1266">
        <v>2015</v>
      </c>
      <c r="F1266">
        <f>'[1]Processed Data'!F1266</f>
        <v>0</v>
      </c>
      <c r="G1266">
        <f>'[1]Processed Data'!G1266</f>
        <v>0</v>
      </c>
      <c r="H1266">
        <f>'[1]Processed Data'!H1266</f>
        <v>0</v>
      </c>
      <c r="I1266">
        <f>'[1]Processed Data'!I1266</f>
        <v>0</v>
      </c>
      <c r="J1266">
        <f>'[1]Processed Data'!J1266</f>
        <v>0</v>
      </c>
      <c r="K1266">
        <f>'[1]Processed Data'!K1266</f>
        <v>0</v>
      </c>
      <c r="L1266">
        <f>'[1]Processed Data'!L1266</f>
        <v>0</v>
      </c>
      <c r="M1266">
        <f>'[1]Processed Data'!M1266</f>
        <v>0</v>
      </c>
      <c r="N1266">
        <f>'[1]Processed Data'!N1266</f>
        <v>0</v>
      </c>
      <c r="O1266">
        <f>'[1]Processed Data'!O1266</f>
        <v>0</v>
      </c>
      <c r="P1266">
        <f>'[1]Processed Data'!P1266</f>
        <v>0</v>
      </c>
      <c r="Q1266">
        <f>'[1]Processed Data'!Q1266</f>
        <v>0</v>
      </c>
    </row>
    <row r="1267" spans="2:17" hidden="1">
      <c r="B1267">
        <f>'[1]Processed Data'!B1267</f>
        <v>2013</v>
      </c>
      <c r="C1267">
        <f>'[1]Processed Data'!C1267</f>
        <v>78</v>
      </c>
      <c r="D1267" t="str">
        <f>'[1]Processed Data'!D1267</f>
        <v>Zach Wilson</v>
      </c>
      <c r="E1267">
        <v>2015</v>
      </c>
      <c r="F1267">
        <f>'[1]Processed Data'!F1267</f>
        <v>0</v>
      </c>
      <c r="G1267">
        <f>'[1]Processed Data'!G1267</f>
        <v>0</v>
      </c>
      <c r="H1267">
        <f>'[1]Processed Data'!H1267</f>
        <v>0</v>
      </c>
      <c r="I1267">
        <f>'[1]Processed Data'!I1267</f>
        <v>0</v>
      </c>
      <c r="J1267">
        <f>'[1]Processed Data'!J1267</f>
        <v>0</v>
      </c>
      <c r="K1267">
        <f>'[1]Processed Data'!K1267</f>
        <v>0</v>
      </c>
      <c r="L1267">
        <f>'[1]Processed Data'!L1267</f>
        <v>0</v>
      </c>
      <c r="M1267">
        <f>'[1]Processed Data'!M1267</f>
        <v>0</v>
      </c>
      <c r="N1267">
        <f>'[1]Processed Data'!N1267</f>
        <v>0</v>
      </c>
      <c r="O1267">
        <f>'[1]Processed Data'!O1267</f>
        <v>0</v>
      </c>
      <c r="P1267">
        <f>'[1]Processed Data'!P1267</f>
        <v>0</v>
      </c>
      <c r="Q1267">
        <f>'[1]Processed Data'!Q1267</f>
        <v>0</v>
      </c>
    </row>
    <row r="1268" spans="2:17" hidden="1">
      <c r="B1268">
        <f>'[1]Processed Data'!B1268</f>
        <v>2013</v>
      </c>
      <c r="C1268">
        <f>'[1]Processed Data'!C1268</f>
        <v>79</v>
      </c>
      <c r="D1268" t="str">
        <f>'[1]Processed Data'!D1268</f>
        <v>Davis Mills</v>
      </c>
      <c r="E1268">
        <v>2015</v>
      </c>
      <c r="F1268">
        <f>'[1]Processed Data'!F1268</f>
        <v>0</v>
      </c>
      <c r="G1268">
        <f>'[1]Processed Data'!G1268</f>
        <v>0</v>
      </c>
      <c r="H1268">
        <f>'[1]Processed Data'!H1268</f>
        <v>0</v>
      </c>
      <c r="I1268">
        <f>'[1]Processed Data'!I1268</f>
        <v>0</v>
      </c>
      <c r="J1268">
        <f>'[1]Processed Data'!J1268</f>
        <v>0</v>
      </c>
      <c r="K1268">
        <f>'[1]Processed Data'!K1268</f>
        <v>0</v>
      </c>
      <c r="L1268">
        <f>'[1]Processed Data'!L1268</f>
        <v>0</v>
      </c>
      <c r="M1268">
        <f>'[1]Processed Data'!M1268</f>
        <v>0</v>
      </c>
      <c r="N1268">
        <f>'[1]Processed Data'!N1268</f>
        <v>0</v>
      </c>
      <c r="O1268">
        <f>'[1]Processed Data'!O1268</f>
        <v>0</v>
      </c>
      <c r="P1268">
        <f>'[1]Processed Data'!P1268</f>
        <v>0</v>
      </c>
      <c r="Q1268">
        <f>'[1]Processed Data'!Q1268</f>
        <v>0</v>
      </c>
    </row>
    <row r="1269" spans="2:17" hidden="1">
      <c r="B1269">
        <f>'[1]Processed Data'!B1269</f>
        <v>2013</v>
      </c>
      <c r="C1269">
        <f>'[1]Processed Data'!C1269</f>
        <v>80</v>
      </c>
      <c r="D1269" t="str">
        <f>'[1]Processed Data'!D1269</f>
        <v>Lamar Jackson</v>
      </c>
      <c r="E1269">
        <v>2015</v>
      </c>
      <c r="F1269">
        <f>'[1]Processed Data'!F1269</f>
        <v>0</v>
      </c>
      <c r="G1269">
        <f>'[1]Processed Data'!G1269</f>
        <v>0</v>
      </c>
      <c r="H1269">
        <f>'[1]Processed Data'!H1269</f>
        <v>0</v>
      </c>
      <c r="I1269">
        <f>'[1]Processed Data'!I1269</f>
        <v>0</v>
      </c>
      <c r="J1269">
        <f>'[1]Processed Data'!J1269</f>
        <v>0</v>
      </c>
      <c r="K1269">
        <f>'[1]Processed Data'!K1269</f>
        <v>0</v>
      </c>
      <c r="L1269">
        <f>'[1]Processed Data'!L1269</f>
        <v>0</v>
      </c>
      <c r="M1269">
        <f>'[1]Processed Data'!M1269</f>
        <v>0</v>
      </c>
      <c r="N1269">
        <f>'[1]Processed Data'!N1269</f>
        <v>0</v>
      </c>
      <c r="O1269">
        <f>'[1]Processed Data'!O1269</f>
        <v>0</v>
      </c>
      <c r="P1269">
        <f>'[1]Processed Data'!P1269</f>
        <v>0</v>
      </c>
      <c r="Q1269">
        <f>'[1]Processed Data'!Q1269</f>
        <v>0</v>
      </c>
    </row>
    <row r="1270" spans="2:17" hidden="1">
      <c r="B1270">
        <f>'[1]Processed Data'!B1270</f>
        <v>2013</v>
      </c>
      <c r="C1270">
        <f>'[1]Processed Data'!C1270</f>
        <v>81</v>
      </c>
      <c r="D1270" t="str">
        <f>'[1]Processed Data'!D1270</f>
        <v>Christian Ponder</v>
      </c>
      <c r="E1270">
        <v>2015</v>
      </c>
      <c r="F1270">
        <f>'[1]Processed Data'!F1270</f>
        <v>152</v>
      </c>
      <c r="G1270">
        <f>'[1]Processed Data'!G1270</f>
        <v>239</v>
      </c>
      <c r="H1270">
        <f>'[1]Processed Data'!H1270</f>
        <v>63.6</v>
      </c>
      <c r="I1270">
        <f>'[1]Processed Data'!I1270</f>
        <v>7</v>
      </c>
      <c r="J1270">
        <f>'[1]Processed Data'!J1270</f>
        <v>9</v>
      </c>
      <c r="K1270">
        <f>'[1]Processed Data'!K1270</f>
        <v>27</v>
      </c>
      <c r="L1270">
        <f>'[1]Processed Data'!L1270</f>
        <v>34</v>
      </c>
      <c r="M1270">
        <f>'[1]Processed Data'!M1270</f>
        <v>151</v>
      </c>
      <c r="N1270">
        <f>'[1]Processed Data'!N1270</f>
        <v>4</v>
      </c>
      <c r="O1270">
        <f>'[1]Processed Data'!O1270</f>
        <v>4</v>
      </c>
      <c r="P1270">
        <f>'[1]Processed Data'!P1270</f>
        <v>0</v>
      </c>
      <c r="Q1270">
        <f>'[1]Processed Data'!Q1270</f>
        <v>9</v>
      </c>
    </row>
    <row r="1271" spans="2:17" hidden="1">
      <c r="B1271">
        <f>'[1]Processed Data'!B1271</f>
        <v>2013</v>
      </c>
      <c r="C1271">
        <f>'[1]Processed Data'!C1271</f>
        <v>82</v>
      </c>
      <c r="D1271" t="str">
        <f>'[1]Processed Data'!D1271</f>
        <v>Jake Locker</v>
      </c>
      <c r="E1271">
        <v>2015</v>
      </c>
      <c r="F1271">
        <f>'[1]Processed Data'!F1271</f>
        <v>111</v>
      </c>
      <c r="G1271">
        <f>'[1]Processed Data'!G1271</f>
        <v>183</v>
      </c>
      <c r="H1271">
        <f>'[1]Processed Data'!H1271</f>
        <v>60.7</v>
      </c>
      <c r="I1271">
        <f>'[1]Processed Data'!I1271</f>
        <v>8</v>
      </c>
      <c r="J1271">
        <f>'[1]Processed Data'!J1271</f>
        <v>4</v>
      </c>
      <c r="K1271">
        <f>'[1]Processed Data'!K1271</f>
        <v>16</v>
      </c>
      <c r="L1271">
        <f>'[1]Processed Data'!L1271</f>
        <v>24</v>
      </c>
      <c r="M1271">
        <f>'[1]Processed Data'!M1271</f>
        <v>155</v>
      </c>
      <c r="N1271">
        <f>'[1]Processed Data'!N1271</f>
        <v>2</v>
      </c>
      <c r="O1271">
        <f>'[1]Processed Data'!O1271</f>
        <v>1</v>
      </c>
      <c r="P1271">
        <f>'[1]Processed Data'!P1271</f>
        <v>0</v>
      </c>
      <c r="Q1271">
        <f>'[1]Processed Data'!Q1271</f>
        <v>7</v>
      </c>
    </row>
    <row r="1272" spans="2:17" hidden="1">
      <c r="B1272">
        <f>'[1]Processed Data'!B1272</f>
        <v>2013</v>
      </c>
      <c r="C1272">
        <f>'[1]Processed Data'!C1272</f>
        <v>83</v>
      </c>
      <c r="D1272" t="str">
        <f>'[1]Processed Data'!D1272</f>
        <v>Colin Kaepernick</v>
      </c>
      <c r="E1272">
        <v>2015</v>
      </c>
      <c r="F1272">
        <f>'[1]Processed Data'!F1272</f>
        <v>243</v>
      </c>
      <c r="G1272">
        <f>'[1]Processed Data'!G1272</f>
        <v>416</v>
      </c>
      <c r="H1272">
        <f>'[1]Processed Data'!H1272</f>
        <v>58.4</v>
      </c>
      <c r="I1272">
        <f>'[1]Processed Data'!I1272</f>
        <v>21</v>
      </c>
      <c r="J1272">
        <f>'[1]Processed Data'!J1272</f>
        <v>8</v>
      </c>
      <c r="K1272">
        <f>'[1]Processed Data'!K1272</f>
        <v>39</v>
      </c>
      <c r="L1272">
        <f>'[1]Processed Data'!L1272</f>
        <v>92</v>
      </c>
      <c r="M1272">
        <f>'[1]Processed Data'!M1272</f>
        <v>524</v>
      </c>
      <c r="N1272">
        <f>'[1]Processed Data'!N1272</f>
        <v>4</v>
      </c>
      <c r="O1272">
        <f>'[1]Processed Data'!O1272</f>
        <v>4</v>
      </c>
      <c r="P1272">
        <f>'[1]Processed Data'!P1272</f>
        <v>0</v>
      </c>
      <c r="Q1272">
        <f>'[1]Processed Data'!Q1272</f>
        <v>16</v>
      </c>
    </row>
    <row r="1273" spans="2:17" hidden="1">
      <c r="B1273">
        <f>'[1]Processed Data'!B1273</f>
        <v>2013</v>
      </c>
      <c r="C1273">
        <f>'[1]Processed Data'!C1273</f>
        <v>84</v>
      </c>
      <c r="D1273" t="str">
        <f>'[1]Processed Data'!D1273</f>
        <v>T.J. Yates</v>
      </c>
      <c r="E1273">
        <v>2015</v>
      </c>
      <c r="F1273">
        <f>'[1]Processed Data'!F1273</f>
        <v>15</v>
      </c>
      <c r="G1273">
        <f>'[1]Processed Data'!G1273</f>
        <v>22</v>
      </c>
      <c r="H1273">
        <f>'[1]Processed Data'!H1273</f>
        <v>68.2</v>
      </c>
      <c r="I1273">
        <f>'[1]Processed Data'!I1273</f>
        <v>0</v>
      </c>
      <c r="J1273">
        <f>'[1]Processed Data'!J1273</f>
        <v>2</v>
      </c>
      <c r="K1273">
        <f>'[1]Processed Data'!K1273</f>
        <v>2</v>
      </c>
      <c r="L1273">
        <f>'[1]Processed Data'!L1273</f>
        <v>1</v>
      </c>
      <c r="M1273">
        <f>'[1]Processed Data'!M1273</f>
        <v>0</v>
      </c>
      <c r="N1273">
        <f>'[1]Processed Data'!N1273</f>
        <v>0</v>
      </c>
      <c r="O1273">
        <f>'[1]Processed Data'!O1273</f>
        <v>0</v>
      </c>
      <c r="P1273">
        <f>'[1]Processed Data'!P1273</f>
        <v>0</v>
      </c>
      <c r="Q1273">
        <f>'[1]Processed Data'!Q1273</f>
        <v>3</v>
      </c>
    </row>
    <row r="1274" spans="2:17" hidden="1">
      <c r="B1274">
        <f>'[1]Processed Data'!B1274</f>
        <v>2013</v>
      </c>
      <c r="C1274">
        <f>'[1]Processed Data'!C1274</f>
        <v>85</v>
      </c>
      <c r="D1274" t="str">
        <f>'[1]Processed Data'!D1274</f>
        <v>Ben Chappell</v>
      </c>
      <c r="E1274">
        <v>2015</v>
      </c>
      <c r="F1274">
        <f>'[1]Processed Data'!F1274</f>
        <v>0</v>
      </c>
      <c r="G1274">
        <f>'[1]Processed Data'!G1274</f>
        <v>0</v>
      </c>
      <c r="H1274">
        <f>'[1]Processed Data'!H1274</f>
        <v>0</v>
      </c>
      <c r="I1274">
        <f>'[1]Processed Data'!I1274</f>
        <v>0</v>
      </c>
      <c r="J1274">
        <f>'[1]Processed Data'!J1274</f>
        <v>0</v>
      </c>
      <c r="K1274">
        <f>'[1]Processed Data'!K1274</f>
        <v>0</v>
      </c>
      <c r="L1274">
        <f>'[1]Processed Data'!L1274</f>
        <v>0</v>
      </c>
      <c r="M1274">
        <f>'[1]Processed Data'!M1274</f>
        <v>0</v>
      </c>
      <c r="N1274">
        <f>'[1]Processed Data'!N1274</f>
        <v>0</v>
      </c>
      <c r="O1274">
        <f>'[1]Processed Data'!O1274</f>
        <v>0</v>
      </c>
      <c r="P1274">
        <f>'[1]Processed Data'!P1274</f>
        <v>0</v>
      </c>
      <c r="Q1274">
        <f>'[1]Processed Data'!Q1274</f>
        <v>0</v>
      </c>
    </row>
    <row r="1275" spans="2:17" hidden="1">
      <c r="B1275">
        <f>'[1]Processed Data'!B1275</f>
        <v>2013</v>
      </c>
      <c r="C1275">
        <f>'[1]Processed Data'!C1275</f>
        <v>86</v>
      </c>
      <c r="D1275" t="str">
        <f>'[1]Processed Data'!D1275</f>
        <v>Adam Froman</v>
      </c>
      <c r="E1275">
        <v>2015</v>
      </c>
      <c r="F1275">
        <f>'[1]Processed Data'!F1275</f>
        <v>0</v>
      </c>
      <c r="G1275">
        <f>'[1]Processed Data'!G1275</f>
        <v>0</v>
      </c>
      <c r="H1275">
        <f>'[1]Processed Data'!H1275</f>
        <v>0</v>
      </c>
      <c r="I1275">
        <f>'[1]Processed Data'!I1275</f>
        <v>0</v>
      </c>
      <c r="J1275">
        <f>'[1]Processed Data'!J1275</f>
        <v>0</v>
      </c>
      <c r="K1275">
        <f>'[1]Processed Data'!K1275</f>
        <v>0</v>
      </c>
      <c r="L1275">
        <f>'[1]Processed Data'!L1275</f>
        <v>0</v>
      </c>
      <c r="M1275">
        <f>'[1]Processed Data'!M1275</f>
        <v>0</v>
      </c>
      <c r="N1275">
        <f>'[1]Processed Data'!N1275</f>
        <v>0</v>
      </c>
      <c r="O1275">
        <f>'[1]Processed Data'!O1275</f>
        <v>0</v>
      </c>
      <c r="P1275">
        <f>'[1]Processed Data'!P1275</f>
        <v>0</v>
      </c>
      <c r="Q1275">
        <f>'[1]Processed Data'!Q1275</f>
        <v>0</v>
      </c>
    </row>
    <row r="1276" spans="2:17" hidden="1">
      <c r="B1276">
        <f>'[1]Processed Data'!B1276</f>
        <v>2013</v>
      </c>
      <c r="C1276">
        <f>'[1]Processed Data'!C1276</f>
        <v>87</v>
      </c>
      <c r="D1276" t="str">
        <f>'[1]Processed Data'!D1276</f>
        <v>John David Booty</v>
      </c>
      <c r="E1276">
        <v>2015</v>
      </c>
      <c r="F1276">
        <f>'[1]Processed Data'!F1276</f>
        <v>0</v>
      </c>
      <c r="G1276">
        <f>'[1]Processed Data'!G1276</f>
        <v>0</v>
      </c>
      <c r="H1276">
        <f>'[1]Processed Data'!H1276</f>
        <v>0</v>
      </c>
      <c r="I1276">
        <f>'[1]Processed Data'!I1276</f>
        <v>0</v>
      </c>
      <c r="J1276">
        <f>'[1]Processed Data'!J1276</f>
        <v>0</v>
      </c>
      <c r="K1276">
        <f>'[1]Processed Data'!K1276</f>
        <v>0</v>
      </c>
      <c r="L1276">
        <f>'[1]Processed Data'!L1276</f>
        <v>0</v>
      </c>
      <c r="M1276">
        <f>'[1]Processed Data'!M1276</f>
        <v>0</v>
      </c>
      <c r="N1276">
        <f>'[1]Processed Data'!N1276</f>
        <v>0</v>
      </c>
      <c r="O1276">
        <f>'[1]Processed Data'!O1276</f>
        <v>0</v>
      </c>
      <c r="P1276">
        <f>'[1]Processed Data'!P1276</f>
        <v>0</v>
      </c>
      <c r="Q1276">
        <f>'[1]Processed Data'!Q1276</f>
        <v>0</v>
      </c>
    </row>
    <row r="1277" spans="2:17" hidden="1">
      <c r="B1277">
        <f>'[1]Processed Data'!B1277</f>
        <v>2013</v>
      </c>
      <c r="C1277">
        <f>'[1]Processed Data'!C1277</f>
        <v>88</v>
      </c>
      <c r="D1277" t="str">
        <f>'[1]Processed Data'!D1277</f>
        <v>Erik Ainge</v>
      </c>
      <c r="E1277">
        <v>2015</v>
      </c>
      <c r="F1277">
        <f>'[1]Processed Data'!F1277</f>
        <v>0</v>
      </c>
      <c r="G1277">
        <f>'[1]Processed Data'!G1277</f>
        <v>0</v>
      </c>
      <c r="H1277">
        <f>'[1]Processed Data'!H1277</f>
        <v>0</v>
      </c>
      <c r="I1277">
        <f>'[1]Processed Data'!I1277</f>
        <v>0</v>
      </c>
      <c r="J1277">
        <f>'[1]Processed Data'!J1277</f>
        <v>0</v>
      </c>
      <c r="K1277">
        <f>'[1]Processed Data'!K1277</f>
        <v>0</v>
      </c>
      <c r="L1277">
        <f>'[1]Processed Data'!L1277</f>
        <v>0</v>
      </c>
      <c r="M1277">
        <f>'[1]Processed Data'!M1277</f>
        <v>0</v>
      </c>
      <c r="N1277">
        <f>'[1]Processed Data'!N1277</f>
        <v>0</v>
      </c>
      <c r="O1277">
        <f>'[1]Processed Data'!O1277</f>
        <v>0</v>
      </c>
      <c r="P1277">
        <f>'[1]Processed Data'!P1277</f>
        <v>0</v>
      </c>
      <c r="Q1277">
        <f>'[1]Processed Data'!Q1277</f>
        <v>0</v>
      </c>
    </row>
    <row r="1278" spans="2:17" hidden="1">
      <c r="B1278">
        <f>'[1]Processed Data'!B1278</f>
        <v>2013</v>
      </c>
      <c r="C1278">
        <f>'[1]Processed Data'!C1278</f>
        <v>89</v>
      </c>
      <c r="D1278" t="str">
        <f>'[1]Processed Data'!D1278</f>
        <v>Hunter Cantwell</v>
      </c>
      <c r="E1278">
        <v>2015</v>
      </c>
      <c r="F1278">
        <f>'[1]Processed Data'!F1278</f>
        <v>0</v>
      </c>
      <c r="G1278">
        <f>'[1]Processed Data'!G1278</f>
        <v>0</v>
      </c>
      <c r="H1278">
        <f>'[1]Processed Data'!H1278</f>
        <v>0</v>
      </c>
      <c r="I1278">
        <f>'[1]Processed Data'!I1278</f>
        <v>0</v>
      </c>
      <c r="J1278">
        <f>'[1]Processed Data'!J1278</f>
        <v>0</v>
      </c>
      <c r="K1278">
        <f>'[1]Processed Data'!K1278</f>
        <v>0</v>
      </c>
      <c r="L1278">
        <f>'[1]Processed Data'!L1278</f>
        <v>0</v>
      </c>
      <c r="M1278">
        <f>'[1]Processed Data'!M1278</f>
        <v>0</v>
      </c>
      <c r="N1278">
        <f>'[1]Processed Data'!N1278</f>
        <v>0</v>
      </c>
      <c r="O1278">
        <f>'[1]Processed Data'!O1278</f>
        <v>0</v>
      </c>
      <c r="P1278">
        <f>'[1]Processed Data'!P1278</f>
        <v>0</v>
      </c>
      <c r="Q1278">
        <f>'[1]Processed Data'!Q1278</f>
        <v>0</v>
      </c>
    </row>
    <row r="1279" spans="2:17" hidden="1">
      <c r="B1279">
        <f>'[1]Processed Data'!B1279</f>
        <v>2013</v>
      </c>
      <c r="C1279">
        <f>'[1]Processed Data'!C1279</f>
        <v>90</v>
      </c>
      <c r="D1279" t="str">
        <f>'[1]Processed Data'!D1279</f>
        <v>Levi Brown</v>
      </c>
      <c r="E1279">
        <v>2015</v>
      </c>
      <c r="F1279">
        <f>'[1]Processed Data'!F1279</f>
        <v>0</v>
      </c>
      <c r="G1279">
        <f>'[1]Processed Data'!G1279</f>
        <v>0</v>
      </c>
      <c r="H1279">
        <f>'[1]Processed Data'!H1279</f>
        <v>0</v>
      </c>
      <c r="I1279">
        <f>'[1]Processed Data'!I1279</f>
        <v>0</v>
      </c>
      <c r="J1279">
        <f>'[1]Processed Data'!J1279</f>
        <v>0</v>
      </c>
      <c r="K1279">
        <f>'[1]Processed Data'!K1279</f>
        <v>0</v>
      </c>
      <c r="L1279">
        <f>'[1]Processed Data'!L1279</f>
        <v>0</v>
      </c>
      <c r="M1279">
        <f>'[1]Processed Data'!M1279</f>
        <v>0</v>
      </c>
      <c r="N1279">
        <f>'[1]Processed Data'!N1279</f>
        <v>0</v>
      </c>
      <c r="O1279">
        <f>'[1]Processed Data'!O1279</f>
        <v>0</v>
      </c>
      <c r="P1279">
        <f>'[1]Processed Data'!P1279</f>
        <v>0</v>
      </c>
      <c r="Q1279">
        <f>'[1]Processed Data'!Q1279</f>
        <v>4</v>
      </c>
    </row>
    <row r="1280" spans="2:17" hidden="1">
      <c r="B1280">
        <f>'[1]Processed Data'!B1280</f>
        <v>2013</v>
      </c>
      <c r="C1280">
        <f>'[1]Processed Data'!C1280</f>
        <v>91</v>
      </c>
      <c r="D1280" t="str">
        <f>'[1]Processed Data'!D1280</f>
        <v>Jeff Tuel</v>
      </c>
      <c r="E1280">
        <v>2015</v>
      </c>
      <c r="F1280">
        <f>'[1]Processed Data'!F1280</f>
        <v>26</v>
      </c>
      <c r="G1280">
        <f>'[1]Processed Data'!G1280</f>
        <v>59</v>
      </c>
      <c r="H1280">
        <f>'[1]Processed Data'!H1280</f>
        <v>44.1</v>
      </c>
      <c r="I1280">
        <f>'[1]Processed Data'!I1280</f>
        <v>1</v>
      </c>
      <c r="J1280">
        <f>'[1]Processed Data'!J1280</f>
        <v>3</v>
      </c>
      <c r="K1280">
        <f>'[1]Processed Data'!K1280</f>
        <v>2</v>
      </c>
      <c r="L1280">
        <f>'[1]Processed Data'!L1280</f>
        <v>3</v>
      </c>
      <c r="M1280">
        <f>'[1]Processed Data'!M1280</f>
        <v>17</v>
      </c>
      <c r="N1280">
        <f>'[1]Processed Data'!N1280</f>
        <v>0</v>
      </c>
      <c r="O1280">
        <f>'[1]Processed Data'!O1280</f>
        <v>0</v>
      </c>
      <c r="P1280">
        <f>'[1]Processed Data'!P1280</f>
        <v>0</v>
      </c>
      <c r="Q1280">
        <f>'[1]Processed Data'!Q1280</f>
        <v>2</v>
      </c>
    </row>
    <row r="1281" spans="2:17" hidden="1">
      <c r="B1281">
        <f>'[1]Processed Data'!B1281</f>
        <v>2013</v>
      </c>
      <c r="C1281">
        <f>'[1]Processed Data'!C1281</f>
        <v>92</v>
      </c>
      <c r="D1281" t="str">
        <f>'[1]Processed Data'!D1281</f>
        <v>Brandon Weeden</v>
      </c>
      <c r="E1281">
        <v>2015</v>
      </c>
      <c r="F1281">
        <f>'[1]Processed Data'!F1281</f>
        <v>141</v>
      </c>
      <c r="G1281">
        <f>'[1]Processed Data'!G1281</f>
        <v>267</v>
      </c>
      <c r="H1281">
        <f>'[1]Processed Data'!H1281</f>
        <v>52.8</v>
      </c>
      <c r="I1281">
        <f>'[1]Processed Data'!I1281</f>
        <v>9</v>
      </c>
      <c r="J1281">
        <f>'[1]Processed Data'!J1281</f>
        <v>9</v>
      </c>
      <c r="K1281">
        <f>'[1]Processed Data'!K1281</f>
        <v>27</v>
      </c>
      <c r="L1281">
        <f>'[1]Processed Data'!L1281</f>
        <v>12</v>
      </c>
      <c r="M1281">
        <f>'[1]Processed Data'!M1281</f>
        <v>44</v>
      </c>
      <c r="N1281">
        <f>'[1]Processed Data'!N1281</f>
        <v>0</v>
      </c>
      <c r="O1281">
        <f>'[1]Processed Data'!O1281</f>
        <v>2</v>
      </c>
      <c r="P1281">
        <f>'[1]Processed Data'!P1281</f>
        <v>0</v>
      </c>
      <c r="Q1281">
        <f>'[1]Processed Data'!Q1281</f>
        <v>8</v>
      </c>
    </row>
    <row r="1282" spans="2:17" hidden="1">
      <c r="B1282">
        <f>'[1]Processed Data'!B1282</f>
        <v>2013</v>
      </c>
      <c r="C1282">
        <f>'[1]Processed Data'!C1282</f>
        <v>93</v>
      </c>
      <c r="D1282" t="str">
        <f>'[1]Processed Data'!D1282</f>
        <v>Thaddeus Lewis</v>
      </c>
      <c r="E1282">
        <v>2015</v>
      </c>
      <c r="F1282">
        <f>'[1]Processed Data'!F1282</f>
        <v>93</v>
      </c>
      <c r="G1282">
        <f>'[1]Processed Data'!G1282</f>
        <v>157</v>
      </c>
      <c r="H1282">
        <f>'[1]Processed Data'!H1282</f>
        <v>59.2</v>
      </c>
      <c r="I1282">
        <f>'[1]Processed Data'!I1282</f>
        <v>4</v>
      </c>
      <c r="J1282">
        <f>'[1]Processed Data'!J1282</f>
        <v>3</v>
      </c>
      <c r="K1282">
        <f>'[1]Processed Data'!K1282</f>
        <v>18</v>
      </c>
      <c r="L1282">
        <f>'[1]Processed Data'!L1282</f>
        <v>24</v>
      </c>
      <c r="M1282">
        <f>'[1]Processed Data'!M1282</f>
        <v>52</v>
      </c>
      <c r="N1282">
        <f>'[1]Processed Data'!N1282</f>
        <v>1</v>
      </c>
      <c r="O1282">
        <f>'[1]Processed Data'!O1282</f>
        <v>3</v>
      </c>
      <c r="P1282">
        <f>'[1]Processed Data'!P1282</f>
        <v>0</v>
      </c>
      <c r="Q1282">
        <f>'[1]Processed Data'!Q1282</f>
        <v>6</v>
      </c>
    </row>
    <row r="1283" spans="2:17" hidden="1">
      <c r="B1283">
        <f>'[1]Processed Data'!B1283</f>
        <v>2013</v>
      </c>
      <c r="C1283">
        <f>'[1]Processed Data'!C1283</f>
        <v>94</v>
      </c>
      <c r="D1283" t="str">
        <f>'[1]Processed Data'!D1283</f>
        <v>Scott Tolzien</v>
      </c>
      <c r="E1283">
        <v>2015</v>
      </c>
      <c r="F1283">
        <f>'[1]Processed Data'!F1283</f>
        <v>55</v>
      </c>
      <c r="G1283">
        <f>'[1]Processed Data'!G1283</f>
        <v>90</v>
      </c>
      <c r="H1283">
        <f>'[1]Processed Data'!H1283</f>
        <v>61.1</v>
      </c>
      <c r="I1283">
        <f>'[1]Processed Data'!I1283</f>
        <v>1</v>
      </c>
      <c r="J1283">
        <f>'[1]Processed Data'!J1283</f>
        <v>5</v>
      </c>
      <c r="K1283">
        <f>'[1]Processed Data'!K1283</f>
        <v>3</v>
      </c>
      <c r="L1283">
        <f>'[1]Processed Data'!L1283</f>
        <v>5</v>
      </c>
      <c r="M1283">
        <f>'[1]Processed Data'!M1283</f>
        <v>55</v>
      </c>
      <c r="N1283">
        <f>'[1]Processed Data'!N1283</f>
        <v>1</v>
      </c>
      <c r="O1283">
        <f>'[1]Processed Data'!O1283</f>
        <v>0</v>
      </c>
      <c r="P1283">
        <f>'[1]Processed Data'!P1283</f>
        <v>0</v>
      </c>
      <c r="Q1283">
        <f>'[1]Processed Data'!Q1283</f>
        <v>3</v>
      </c>
    </row>
    <row r="1284" spans="2:17" hidden="1">
      <c r="B1284">
        <f>'[1]Processed Data'!B1284</f>
        <v>2013</v>
      </c>
      <c r="C1284">
        <f>'[1]Processed Data'!C1284</f>
        <v>95</v>
      </c>
      <c r="D1284" t="str">
        <f>'[1]Processed Data'!D1284</f>
        <v>Andrew Luck</v>
      </c>
      <c r="E1284">
        <v>2015</v>
      </c>
      <c r="F1284">
        <f>'[1]Processed Data'!F1284</f>
        <v>343</v>
      </c>
      <c r="G1284">
        <f>'[1]Processed Data'!G1284</f>
        <v>570</v>
      </c>
      <c r="H1284">
        <f>'[1]Processed Data'!H1284</f>
        <v>60.2</v>
      </c>
      <c r="I1284">
        <f>'[1]Processed Data'!I1284</f>
        <v>23</v>
      </c>
      <c r="J1284">
        <f>'[1]Processed Data'!J1284</f>
        <v>9</v>
      </c>
      <c r="K1284">
        <f>'[1]Processed Data'!K1284</f>
        <v>32</v>
      </c>
      <c r="L1284">
        <f>'[1]Processed Data'!L1284</f>
        <v>63</v>
      </c>
      <c r="M1284">
        <f>'[1]Processed Data'!M1284</f>
        <v>377</v>
      </c>
      <c r="N1284">
        <f>'[1]Processed Data'!N1284</f>
        <v>4</v>
      </c>
      <c r="O1284">
        <f>'[1]Processed Data'!O1284</f>
        <v>2</v>
      </c>
      <c r="P1284">
        <f>'[1]Processed Data'!P1284</f>
        <v>0</v>
      </c>
      <c r="Q1284">
        <f>'[1]Processed Data'!Q1284</f>
        <v>16</v>
      </c>
    </row>
    <row r="1285" spans="2:17" hidden="1">
      <c r="B1285">
        <f>'[1]Processed Data'!B1285</f>
        <v>2013</v>
      </c>
      <c r="C1285">
        <f>'[1]Processed Data'!C1285</f>
        <v>96</v>
      </c>
      <c r="D1285" t="str">
        <f>'[1]Processed Data'!D1285</f>
        <v>Brock Osweiler</v>
      </c>
      <c r="E1285">
        <v>2015</v>
      </c>
      <c r="F1285">
        <f>'[1]Processed Data'!F1285</f>
        <v>11</v>
      </c>
      <c r="G1285">
        <f>'[1]Processed Data'!G1285</f>
        <v>16</v>
      </c>
      <c r="H1285">
        <f>'[1]Processed Data'!H1285</f>
        <v>68.8</v>
      </c>
      <c r="I1285">
        <f>'[1]Processed Data'!I1285</f>
        <v>0</v>
      </c>
      <c r="J1285">
        <f>'[1]Processed Data'!J1285</f>
        <v>0</v>
      </c>
      <c r="K1285">
        <f>'[1]Processed Data'!K1285</f>
        <v>2</v>
      </c>
      <c r="L1285">
        <f>'[1]Processed Data'!L1285</f>
        <v>3</v>
      </c>
      <c r="M1285">
        <f>'[1]Processed Data'!M1285</f>
        <v>2</v>
      </c>
      <c r="N1285">
        <f>'[1]Processed Data'!N1285</f>
        <v>0</v>
      </c>
      <c r="O1285">
        <f>'[1]Processed Data'!O1285</f>
        <v>0</v>
      </c>
      <c r="P1285">
        <f>'[1]Processed Data'!P1285</f>
        <v>0</v>
      </c>
      <c r="Q1285">
        <f>'[1]Processed Data'!Q1285</f>
        <v>4</v>
      </c>
    </row>
    <row r="1286" spans="2:17" hidden="1">
      <c r="B1286">
        <f>'[1]Processed Data'!B1286</f>
        <v>2013</v>
      </c>
      <c r="C1286">
        <f>'[1]Processed Data'!C1286</f>
        <v>97</v>
      </c>
      <c r="D1286" t="str">
        <f>'[1]Processed Data'!D1286</f>
        <v>Dominique Davis</v>
      </c>
      <c r="E1286">
        <v>2015</v>
      </c>
      <c r="F1286">
        <f>'[1]Processed Data'!F1286</f>
        <v>5</v>
      </c>
      <c r="G1286">
        <f>'[1]Processed Data'!G1286</f>
        <v>7</v>
      </c>
      <c r="H1286">
        <f>'[1]Processed Data'!H1286</f>
        <v>71.400000000000006</v>
      </c>
      <c r="I1286">
        <f>'[1]Processed Data'!I1286</f>
        <v>0</v>
      </c>
      <c r="J1286">
        <f>'[1]Processed Data'!J1286</f>
        <v>0</v>
      </c>
      <c r="K1286">
        <f>'[1]Processed Data'!K1286</f>
        <v>0</v>
      </c>
      <c r="L1286">
        <f>'[1]Processed Data'!L1286</f>
        <v>0</v>
      </c>
      <c r="M1286">
        <f>'[1]Processed Data'!M1286</f>
        <v>0</v>
      </c>
      <c r="N1286">
        <f>'[1]Processed Data'!N1286</f>
        <v>0</v>
      </c>
      <c r="O1286">
        <f>'[1]Processed Data'!O1286</f>
        <v>0</v>
      </c>
      <c r="P1286">
        <f>'[1]Processed Data'!P1286</f>
        <v>0</v>
      </c>
      <c r="Q1286">
        <f>'[1]Processed Data'!Q1286</f>
        <v>1</v>
      </c>
    </row>
    <row r="1287" spans="2:17" hidden="1">
      <c r="B1287">
        <f>'[1]Processed Data'!B1287</f>
        <v>2013</v>
      </c>
      <c r="C1287">
        <f>'[1]Processed Data'!C1287</f>
        <v>98</v>
      </c>
      <c r="D1287" t="str">
        <f>'[1]Processed Data'!D1287</f>
        <v>Mike White</v>
      </c>
      <c r="E1287">
        <v>2015</v>
      </c>
      <c r="F1287">
        <f>'[1]Processed Data'!F1287</f>
        <v>0</v>
      </c>
      <c r="G1287">
        <f>'[1]Processed Data'!G1287</f>
        <v>0</v>
      </c>
      <c r="H1287">
        <f>'[1]Processed Data'!H1287</f>
        <v>0</v>
      </c>
      <c r="I1287">
        <f>'[1]Processed Data'!I1287</f>
        <v>0</v>
      </c>
      <c r="J1287">
        <f>'[1]Processed Data'!J1287</f>
        <v>0</v>
      </c>
      <c r="K1287">
        <f>'[1]Processed Data'!K1287</f>
        <v>0</v>
      </c>
      <c r="L1287">
        <f>'[1]Processed Data'!L1287</f>
        <v>0</v>
      </c>
      <c r="M1287">
        <f>'[1]Processed Data'!M1287</f>
        <v>0</v>
      </c>
      <c r="N1287">
        <f>'[1]Processed Data'!N1287</f>
        <v>0</v>
      </c>
      <c r="O1287">
        <f>'[1]Processed Data'!O1287</f>
        <v>0</v>
      </c>
      <c r="P1287">
        <f>'[1]Processed Data'!P1287</f>
        <v>0</v>
      </c>
      <c r="Q1287">
        <f>'[1]Processed Data'!Q1287</f>
        <v>0</v>
      </c>
    </row>
    <row r="1288" spans="2:17" hidden="1">
      <c r="B1288">
        <f>'[1]Processed Data'!B1288</f>
        <v>2013</v>
      </c>
      <c r="C1288">
        <f>'[1]Processed Data'!C1288</f>
        <v>99</v>
      </c>
      <c r="D1288" t="str">
        <f>'[1]Processed Data'!D1288</f>
        <v>Eli Manning</v>
      </c>
      <c r="E1288">
        <v>2015</v>
      </c>
      <c r="F1288">
        <f>'[1]Processed Data'!F1288</f>
        <v>317</v>
      </c>
      <c r="G1288">
        <f>'[1]Processed Data'!G1288</f>
        <v>551</v>
      </c>
      <c r="H1288">
        <f>'[1]Processed Data'!H1288</f>
        <v>57.5</v>
      </c>
      <c r="I1288">
        <f>'[1]Processed Data'!I1288</f>
        <v>18</v>
      </c>
      <c r="J1288">
        <f>'[1]Processed Data'!J1288</f>
        <v>27</v>
      </c>
      <c r="K1288">
        <f>'[1]Processed Data'!K1288</f>
        <v>39</v>
      </c>
      <c r="L1288">
        <f>'[1]Processed Data'!L1288</f>
        <v>18</v>
      </c>
      <c r="M1288">
        <f>'[1]Processed Data'!M1288</f>
        <v>36</v>
      </c>
      <c r="N1288">
        <f>'[1]Processed Data'!N1288</f>
        <v>0</v>
      </c>
      <c r="O1288">
        <f>'[1]Processed Data'!O1288</f>
        <v>2</v>
      </c>
      <c r="P1288">
        <f>'[1]Processed Data'!P1288</f>
        <v>0</v>
      </c>
      <c r="Q1288">
        <f>'[1]Processed Data'!Q1288</f>
        <v>16</v>
      </c>
    </row>
    <row r="1289" spans="2:17" hidden="1">
      <c r="B1289">
        <f>'[1]Processed Data'!B1289</f>
        <v>2013</v>
      </c>
      <c r="C1289">
        <f>'[1]Processed Data'!C1289</f>
        <v>100</v>
      </c>
      <c r="D1289" t="str">
        <f>'[1]Processed Data'!D1289</f>
        <v>Derek Anderson</v>
      </c>
      <c r="E1289">
        <v>2015</v>
      </c>
      <c r="F1289">
        <f>'[1]Processed Data'!F1289</f>
        <v>0</v>
      </c>
      <c r="G1289">
        <f>'[1]Processed Data'!G1289</f>
        <v>0</v>
      </c>
      <c r="H1289">
        <f>'[1]Processed Data'!H1289</f>
        <v>0</v>
      </c>
      <c r="I1289">
        <f>'[1]Processed Data'!I1289</f>
        <v>0</v>
      </c>
      <c r="J1289">
        <f>'[1]Processed Data'!J1289</f>
        <v>0</v>
      </c>
      <c r="K1289">
        <f>'[1]Processed Data'!K1289</f>
        <v>0</v>
      </c>
      <c r="L1289">
        <f>'[1]Processed Data'!L1289</f>
        <v>5</v>
      </c>
      <c r="M1289">
        <f>'[1]Processed Data'!M1289</f>
        <v>0</v>
      </c>
      <c r="N1289">
        <f>'[1]Processed Data'!N1289</f>
        <v>0</v>
      </c>
      <c r="O1289">
        <f>'[1]Processed Data'!O1289</f>
        <v>0</v>
      </c>
      <c r="P1289">
        <f>'[1]Processed Data'!P1289</f>
        <v>0</v>
      </c>
      <c r="Q1289">
        <f>'[1]Processed Data'!Q1289</f>
        <v>4</v>
      </c>
    </row>
    <row r="1290" spans="2:17" hidden="1">
      <c r="B1290">
        <f>'[1]Processed Data'!B1290</f>
        <v>2013</v>
      </c>
      <c r="C1290">
        <f>'[1]Processed Data'!C1290</f>
        <v>101</v>
      </c>
      <c r="D1290" t="str">
        <f>'[1]Processed Data'!D1290</f>
        <v>Curtis Painter</v>
      </c>
      <c r="E1290">
        <v>2015</v>
      </c>
      <c r="F1290">
        <f>'[1]Processed Data'!F1290</f>
        <v>8</v>
      </c>
      <c r="G1290">
        <f>'[1]Processed Data'!G1290</f>
        <v>16</v>
      </c>
      <c r="H1290">
        <f>'[1]Processed Data'!H1290</f>
        <v>50</v>
      </c>
      <c r="I1290">
        <f>'[1]Processed Data'!I1290</f>
        <v>0</v>
      </c>
      <c r="J1290">
        <f>'[1]Processed Data'!J1290</f>
        <v>2</v>
      </c>
      <c r="K1290">
        <f>'[1]Processed Data'!K1290</f>
        <v>1</v>
      </c>
      <c r="L1290">
        <f>'[1]Processed Data'!L1290</f>
        <v>3</v>
      </c>
      <c r="M1290">
        <f>'[1]Processed Data'!M1290</f>
        <v>-2</v>
      </c>
      <c r="N1290">
        <f>'[1]Processed Data'!N1290</f>
        <v>0</v>
      </c>
      <c r="O1290">
        <f>'[1]Processed Data'!O1290</f>
        <v>0</v>
      </c>
      <c r="P1290">
        <f>'[1]Processed Data'!P1290</f>
        <v>0</v>
      </c>
      <c r="Q1290">
        <f>'[1]Processed Data'!Q1290</f>
        <v>3</v>
      </c>
    </row>
    <row r="1291" spans="2:17" hidden="1">
      <c r="B1291">
        <f>'[1]Processed Data'!B1291</f>
        <v>2013</v>
      </c>
      <c r="C1291">
        <f>'[1]Processed Data'!C1291</f>
        <v>102</v>
      </c>
      <c r="D1291" t="str">
        <f>'[1]Processed Data'!D1291</f>
        <v>Jason Campbell</v>
      </c>
      <c r="E1291">
        <v>2015</v>
      </c>
      <c r="F1291">
        <f>'[1]Processed Data'!F1291</f>
        <v>180</v>
      </c>
      <c r="G1291">
        <f>'[1]Processed Data'!G1291</f>
        <v>317</v>
      </c>
      <c r="H1291">
        <f>'[1]Processed Data'!H1291</f>
        <v>56.8</v>
      </c>
      <c r="I1291">
        <f>'[1]Processed Data'!I1291</f>
        <v>11</v>
      </c>
      <c r="J1291">
        <f>'[1]Processed Data'!J1291</f>
        <v>8</v>
      </c>
      <c r="K1291">
        <f>'[1]Processed Data'!K1291</f>
        <v>16</v>
      </c>
      <c r="L1291">
        <f>'[1]Processed Data'!L1291</f>
        <v>14</v>
      </c>
      <c r="M1291">
        <f>'[1]Processed Data'!M1291</f>
        <v>107</v>
      </c>
      <c r="N1291">
        <f>'[1]Processed Data'!N1291</f>
        <v>0</v>
      </c>
      <c r="O1291">
        <f>'[1]Processed Data'!O1291</f>
        <v>2</v>
      </c>
      <c r="P1291">
        <f>'[1]Processed Data'!P1291</f>
        <v>0</v>
      </c>
      <c r="Q1291">
        <f>'[1]Processed Data'!Q1291</f>
        <v>9</v>
      </c>
    </row>
    <row r="1292" spans="2:17" hidden="1">
      <c r="B1292">
        <f>'[1]Processed Data'!B1292</f>
        <v>2013</v>
      </c>
      <c r="C1292">
        <f>'[1]Processed Data'!C1292</f>
        <v>103</v>
      </c>
      <c r="D1292" t="str">
        <f>'[1]Processed Data'!D1292</f>
        <v>Jay Cutler</v>
      </c>
      <c r="E1292">
        <v>2015</v>
      </c>
      <c r="F1292">
        <f>'[1]Processed Data'!F1292</f>
        <v>224</v>
      </c>
      <c r="G1292">
        <f>'[1]Processed Data'!G1292</f>
        <v>355</v>
      </c>
      <c r="H1292">
        <f>'[1]Processed Data'!H1292</f>
        <v>63.1</v>
      </c>
      <c r="I1292">
        <f>'[1]Processed Data'!I1292</f>
        <v>19</v>
      </c>
      <c r="J1292">
        <f>'[1]Processed Data'!J1292</f>
        <v>12</v>
      </c>
      <c r="K1292">
        <f>'[1]Processed Data'!K1292</f>
        <v>19</v>
      </c>
      <c r="L1292">
        <f>'[1]Processed Data'!L1292</f>
        <v>23</v>
      </c>
      <c r="M1292">
        <f>'[1]Processed Data'!M1292</f>
        <v>118</v>
      </c>
      <c r="N1292">
        <f>'[1]Processed Data'!N1292</f>
        <v>0</v>
      </c>
      <c r="O1292">
        <f>'[1]Processed Data'!O1292</f>
        <v>3</v>
      </c>
      <c r="P1292">
        <f>'[1]Processed Data'!P1292</f>
        <v>0</v>
      </c>
      <c r="Q1292">
        <f>'[1]Processed Data'!Q1292</f>
        <v>11</v>
      </c>
    </row>
    <row r="1293" spans="2:17" hidden="1">
      <c r="B1293">
        <f>'[1]Processed Data'!B1293</f>
        <v>2013</v>
      </c>
      <c r="C1293">
        <f>'[1]Processed Data'!C1293</f>
        <v>104</v>
      </c>
      <c r="D1293" t="str">
        <f>'[1]Processed Data'!D1293</f>
        <v>Keith Null</v>
      </c>
      <c r="E1293">
        <v>2015</v>
      </c>
      <c r="F1293">
        <f>'[1]Processed Data'!F1293</f>
        <v>0</v>
      </c>
      <c r="G1293">
        <f>'[1]Processed Data'!G1293</f>
        <v>0</v>
      </c>
      <c r="H1293">
        <f>'[1]Processed Data'!H1293</f>
        <v>0</v>
      </c>
      <c r="I1293">
        <f>'[1]Processed Data'!I1293</f>
        <v>0</v>
      </c>
      <c r="J1293">
        <f>'[1]Processed Data'!J1293</f>
        <v>0</v>
      </c>
      <c r="K1293">
        <f>'[1]Processed Data'!K1293</f>
        <v>0</v>
      </c>
      <c r="L1293">
        <f>'[1]Processed Data'!L1293</f>
        <v>0</v>
      </c>
      <c r="M1293">
        <f>'[1]Processed Data'!M1293</f>
        <v>0</v>
      </c>
      <c r="N1293">
        <f>'[1]Processed Data'!N1293</f>
        <v>0</v>
      </c>
      <c r="O1293">
        <f>'[1]Processed Data'!O1293</f>
        <v>0</v>
      </c>
      <c r="P1293">
        <f>'[1]Processed Data'!P1293</f>
        <v>0</v>
      </c>
      <c r="Q1293">
        <f>'[1]Processed Data'!Q1293</f>
        <v>0</v>
      </c>
    </row>
    <row r="1294" spans="2:17" hidden="1">
      <c r="B1294">
        <f>'[1]Processed Data'!B1294</f>
        <v>2013</v>
      </c>
      <c r="C1294">
        <f>'[1]Processed Data'!C1294</f>
        <v>105</v>
      </c>
      <c r="D1294" t="str">
        <f>'[1]Processed Data'!D1294</f>
        <v>Brett Ratliff</v>
      </c>
      <c r="E1294">
        <v>2015</v>
      </c>
      <c r="F1294">
        <f>'[1]Processed Data'!F1294</f>
        <v>0</v>
      </c>
      <c r="G1294">
        <f>'[1]Processed Data'!G1294</f>
        <v>0</v>
      </c>
      <c r="H1294">
        <f>'[1]Processed Data'!H1294</f>
        <v>0</v>
      </c>
      <c r="I1294">
        <f>'[1]Processed Data'!I1294</f>
        <v>0</v>
      </c>
      <c r="J1294">
        <f>'[1]Processed Data'!J1294</f>
        <v>0</v>
      </c>
      <c r="K1294">
        <f>'[1]Processed Data'!K1294</f>
        <v>0</v>
      </c>
      <c r="L1294">
        <f>'[1]Processed Data'!L1294</f>
        <v>0</v>
      </c>
      <c r="M1294">
        <f>'[1]Processed Data'!M1294</f>
        <v>0</v>
      </c>
      <c r="N1294">
        <f>'[1]Processed Data'!N1294</f>
        <v>0</v>
      </c>
      <c r="O1294">
        <f>'[1]Processed Data'!O1294</f>
        <v>0</v>
      </c>
      <c r="P1294">
        <f>'[1]Processed Data'!P1294</f>
        <v>0</v>
      </c>
      <c r="Q1294">
        <f>'[1]Processed Data'!Q1294</f>
        <v>0</v>
      </c>
    </row>
    <row r="1295" spans="2:17" hidden="1">
      <c r="B1295">
        <f>'[1]Processed Data'!B1295</f>
        <v>2013</v>
      </c>
      <c r="C1295">
        <f>'[1]Processed Data'!C1295</f>
        <v>106</v>
      </c>
      <c r="D1295" t="str">
        <f>'[1]Processed Data'!D1295</f>
        <v>Brian Brohm</v>
      </c>
      <c r="E1295">
        <v>2015</v>
      </c>
      <c r="F1295">
        <f>'[1]Processed Data'!F1295</f>
        <v>0</v>
      </c>
      <c r="G1295">
        <f>'[1]Processed Data'!G1295</f>
        <v>0</v>
      </c>
      <c r="H1295">
        <f>'[1]Processed Data'!H1295</f>
        <v>0</v>
      </c>
      <c r="I1295">
        <f>'[1]Processed Data'!I1295</f>
        <v>0</v>
      </c>
      <c r="J1295">
        <f>'[1]Processed Data'!J1295</f>
        <v>0</v>
      </c>
      <c r="K1295">
        <f>'[1]Processed Data'!K1295</f>
        <v>0</v>
      </c>
      <c r="L1295">
        <f>'[1]Processed Data'!L1295</f>
        <v>0</v>
      </c>
      <c r="M1295">
        <f>'[1]Processed Data'!M1295</f>
        <v>0</v>
      </c>
      <c r="N1295">
        <f>'[1]Processed Data'!N1295</f>
        <v>0</v>
      </c>
      <c r="O1295">
        <f>'[1]Processed Data'!O1295</f>
        <v>0</v>
      </c>
      <c r="P1295">
        <f>'[1]Processed Data'!P1295</f>
        <v>0</v>
      </c>
      <c r="Q1295">
        <f>'[1]Processed Data'!Q1295</f>
        <v>0</v>
      </c>
    </row>
    <row r="1296" spans="2:17" hidden="1">
      <c r="B1296">
        <f>'[1]Processed Data'!B1296</f>
        <v>2013</v>
      </c>
      <c r="C1296">
        <f>'[1]Processed Data'!C1296</f>
        <v>107</v>
      </c>
      <c r="D1296" t="str">
        <f>'[1]Processed Data'!D1296</f>
        <v>Carson Palmer</v>
      </c>
      <c r="E1296">
        <v>2015</v>
      </c>
      <c r="F1296">
        <f>'[1]Processed Data'!F1296</f>
        <v>362</v>
      </c>
      <c r="G1296">
        <f>'[1]Processed Data'!G1296</f>
        <v>572</v>
      </c>
      <c r="H1296">
        <f>'[1]Processed Data'!H1296</f>
        <v>63.3</v>
      </c>
      <c r="I1296">
        <f>'[1]Processed Data'!I1296</f>
        <v>24</v>
      </c>
      <c r="J1296">
        <f>'[1]Processed Data'!J1296</f>
        <v>22</v>
      </c>
      <c r="K1296">
        <f>'[1]Processed Data'!K1296</f>
        <v>41</v>
      </c>
      <c r="L1296">
        <f>'[1]Processed Data'!L1296</f>
        <v>27</v>
      </c>
      <c r="M1296">
        <f>'[1]Processed Data'!M1296</f>
        <v>3</v>
      </c>
      <c r="N1296">
        <f>'[1]Processed Data'!N1296</f>
        <v>0</v>
      </c>
      <c r="O1296">
        <f>'[1]Processed Data'!O1296</f>
        <v>3</v>
      </c>
      <c r="P1296">
        <f>'[1]Processed Data'!P1296</f>
        <v>0</v>
      </c>
      <c r="Q1296">
        <f>'[1]Processed Data'!Q1296</f>
        <v>16</v>
      </c>
    </row>
    <row r="1297" spans="2:17" hidden="1">
      <c r="B1297">
        <f>'[1]Processed Data'!B1297</f>
        <v>2013</v>
      </c>
      <c r="C1297">
        <f>'[1]Processed Data'!C1297</f>
        <v>108</v>
      </c>
      <c r="D1297" t="str">
        <f>'[1]Processed Data'!D1297</f>
        <v>Josh Freeman</v>
      </c>
      <c r="E1297">
        <v>2015</v>
      </c>
      <c r="F1297">
        <f>'[1]Processed Data'!F1297</f>
        <v>63</v>
      </c>
      <c r="G1297">
        <f>'[1]Processed Data'!G1297</f>
        <v>147</v>
      </c>
      <c r="H1297">
        <f>'[1]Processed Data'!H1297</f>
        <v>42.9</v>
      </c>
      <c r="I1297">
        <f>'[1]Processed Data'!I1297</f>
        <v>2</v>
      </c>
      <c r="J1297">
        <f>'[1]Processed Data'!J1297</f>
        <v>4</v>
      </c>
      <c r="K1297">
        <f>'[1]Processed Data'!K1297</f>
        <v>8</v>
      </c>
      <c r="L1297">
        <f>'[1]Processed Data'!L1297</f>
        <v>5</v>
      </c>
      <c r="M1297">
        <f>'[1]Processed Data'!M1297</f>
        <v>20</v>
      </c>
      <c r="N1297">
        <f>'[1]Processed Data'!N1297</f>
        <v>0</v>
      </c>
      <c r="O1297">
        <f>'[1]Processed Data'!O1297</f>
        <v>1</v>
      </c>
      <c r="P1297">
        <f>'[1]Processed Data'!P1297</f>
        <v>0</v>
      </c>
      <c r="Q1297">
        <f>'[1]Processed Data'!Q1297</f>
        <v>4</v>
      </c>
    </row>
    <row r="1298" spans="2:17" hidden="1">
      <c r="B1298">
        <f>'[1]Processed Data'!B1298</f>
        <v>2013</v>
      </c>
      <c r="C1298">
        <f>'[1]Processed Data'!C1298</f>
        <v>109</v>
      </c>
      <c r="D1298" t="str">
        <f>'[1]Processed Data'!D1298</f>
        <v>Kellen Clemens</v>
      </c>
      <c r="E1298">
        <v>2015</v>
      </c>
      <c r="F1298">
        <f>'[1]Processed Data'!F1298</f>
        <v>142</v>
      </c>
      <c r="G1298">
        <f>'[1]Processed Data'!G1298</f>
        <v>242</v>
      </c>
      <c r="H1298">
        <f>'[1]Processed Data'!H1298</f>
        <v>58.7</v>
      </c>
      <c r="I1298">
        <f>'[1]Processed Data'!I1298</f>
        <v>8</v>
      </c>
      <c r="J1298">
        <f>'[1]Processed Data'!J1298</f>
        <v>7</v>
      </c>
      <c r="K1298">
        <f>'[1]Processed Data'!K1298</f>
        <v>21</v>
      </c>
      <c r="L1298">
        <f>'[1]Processed Data'!L1298</f>
        <v>23</v>
      </c>
      <c r="M1298">
        <f>'[1]Processed Data'!M1298</f>
        <v>64</v>
      </c>
      <c r="N1298">
        <f>'[1]Processed Data'!N1298</f>
        <v>0</v>
      </c>
      <c r="O1298">
        <f>'[1]Processed Data'!O1298</f>
        <v>4</v>
      </c>
      <c r="P1298">
        <f>'[1]Processed Data'!P1298</f>
        <v>0</v>
      </c>
      <c r="Q1298">
        <f>'[1]Processed Data'!Q1298</f>
        <v>10</v>
      </c>
    </row>
    <row r="1299" spans="2:17" hidden="1">
      <c r="B1299">
        <f>'[1]Processed Data'!B1299</f>
        <v>2013</v>
      </c>
      <c r="C1299">
        <f>'[1]Processed Data'!C1299</f>
        <v>110</v>
      </c>
      <c r="D1299" t="str">
        <f>'[1]Processed Data'!D1299</f>
        <v>Dan Orlovsky</v>
      </c>
      <c r="E1299">
        <v>2015</v>
      </c>
      <c r="F1299">
        <f>'[1]Processed Data'!F1299</f>
        <v>0</v>
      </c>
      <c r="G1299">
        <f>'[1]Processed Data'!G1299</f>
        <v>0</v>
      </c>
      <c r="H1299">
        <f>'[1]Processed Data'!H1299</f>
        <v>0</v>
      </c>
      <c r="I1299">
        <f>'[1]Processed Data'!I1299</f>
        <v>0</v>
      </c>
      <c r="J1299">
        <f>'[1]Processed Data'!J1299</f>
        <v>0</v>
      </c>
      <c r="K1299">
        <f>'[1]Processed Data'!K1299</f>
        <v>0</v>
      </c>
      <c r="L1299">
        <f>'[1]Processed Data'!L1299</f>
        <v>0</v>
      </c>
      <c r="M1299">
        <f>'[1]Processed Data'!M1299</f>
        <v>0</v>
      </c>
      <c r="N1299">
        <f>'[1]Processed Data'!N1299</f>
        <v>0</v>
      </c>
      <c r="O1299">
        <f>'[1]Processed Data'!O1299</f>
        <v>0</v>
      </c>
      <c r="P1299">
        <f>'[1]Processed Data'!P1299</f>
        <v>0</v>
      </c>
      <c r="Q1299">
        <f>'[1]Processed Data'!Q1299</f>
        <v>2</v>
      </c>
    </row>
    <row r="1300" spans="2:17" hidden="1">
      <c r="B1300">
        <f>'[1]Processed Data'!B1300</f>
        <v>2013</v>
      </c>
      <c r="C1300">
        <f>'[1]Processed Data'!C1300</f>
        <v>111</v>
      </c>
      <c r="D1300" t="str">
        <f>'[1]Processed Data'!D1300</f>
        <v>Tarvaris Jackson</v>
      </c>
      <c r="E1300">
        <v>2015</v>
      </c>
      <c r="F1300">
        <f>'[1]Processed Data'!F1300</f>
        <v>10</v>
      </c>
      <c r="G1300">
        <f>'[1]Processed Data'!G1300</f>
        <v>13</v>
      </c>
      <c r="H1300">
        <f>'[1]Processed Data'!H1300</f>
        <v>76.900000000000006</v>
      </c>
      <c r="I1300">
        <f>'[1]Processed Data'!I1300</f>
        <v>1</v>
      </c>
      <c r="J1300">
        <f>'[1]Processed Data'!J1300</f>
        <v>0</v>
      </c>
      <c r="K1300">
        <f>'[1]Processed Data'!K1300</f>
        <v>0</v>
      </c>
      <c r="L1300">
        <f>'[1]Processed Data'!L1300</f>
        <v>4</v>
      </c>
      <c r="M1300">
        <f>'[1]Processed Data'!M1300</f>
        <v>1</v>
      </c>
      <c r="N1300">
        <f>'[1]Processed Data'!N1300</f>
        <v>1</v>
      </c>
      <c r="O1300">
        <f>'[1]Processed Data'!O1300</f>
        <v>0</v>
      </c>
      <c r="P1300">
        <f>'[1]Processed Data'!P1300</f>
        <v>0</v>
      </c>
      <c r="Q1300">
        <f>'[1]Processed Data'!Q1300</f>
        <v>3</v>
      </c>
    </row>
    <row r="1301" spans="2:17" hidden="1">
      <c r="B1301">
        <f>'[1]Processed Data'!B1301</f>
        <v>2013</v>
      </c>
      <c r="C1301">
        <f>'[1]Processed Data'!C1301</f>
        <v>112</v>
      </c>
      <c r="D1301" t="str">
        <f>'[1]Processed Data'!D1301</f>
        <v>Tony Romo</v>
      </c>
      <c r="E1301">
        <v>2015</v>
      </c>
      <c r="F1301">
        <f>'[1]Processed Data'!F1301</f>
        <v>342</v>
      </c>
      <c r="G1301">
        <f>'[1]Processed Data'!G1301</f>
        <v>535</v>
      </c>
      <c r="H1301">
        <f>'[1]Processed Data'!H1301</f>
        <v>63.9</v>
      </c>
      <c r="I1301">
        <f>'[1]Processed Data'!I1301</f>
        <v>31</v>
      </c>
      <c r="J1301">
        <f>'[1]Processed Data'!J1301</f>
        <v>10</v>
      </c>
      <c r="K1301">
        <f>'[1]Processed Data'!K1301</f>
        <v>35</v>
      </c>
      <c r="L1301">
        <f>'[1]Processed Data'!L1301</f>
        <v>20</v>
      </c>
      <c r="M1301">
        <f>'[1]Processed Data'!M1301</f>
        <v>38</v>
      </c>
      <c r="N1301">
        <f>'[1]Processed Data'!N1301</f>
        <v>0</v>
      </c>
      <c r="O1301">
        <f>'[1]Processed Data'!O1301</f>
        <v>1</v>
      </c>
      <c r="P1301">
        <f>'[1]Processed Data'!P1301</f>
        <v>0</v>
      </c>
      <c r="Q1301">
        <f>'[1]Processed Data'!Q1301</f>
        <v>15</v>
      </c>
    </row>
    <row r="1302" spans="2:17" hidden="1">
      <c r="B1302">
        <f>'[1]Processed Data'!B1302</f>
        <v>2013</v>
      </c>
      <c r="C1302">
        <f>'[1]Processed Data'!C1302</f>
        <v>113</v>
      </c>
      <c r="D1302" t="str">
        <f>'[1]Processed Data'!D1302</f>
        <v>Sam Bradford</v>
      </c>
      <c r="E1302">
        <v>2015</v>
      </c>
      <c r="F1302">
        <f>'[1]Processed Data'!F1302</f>
        <v>159</v>
      </c>
      <c r="G1302">
        <f>'[1]Processed Data'!G1302</f>
        <v>262</v>
      </c>
      <c r="H1302">
        <f>'[1]Processed Data'!H1302</f>
        <v>60.7</v>
      </c>
      <c r="I1302">
        <f>'[1]Processed Data'!I1302</f>
        <v>14</v>
      </c>
      <c r="J1302">
        <f>'[1]Processed Data'!J1302</f>
        <v>4</v>
      </c>
      <c r="K1302">
        <f>'[1]Processed Data'!K1302</f>
        <v>15</v>
      </c>
      <c r="L1302">
        <f>'[1]Processed Data'!L1302</f>
        <v>15</v>
      </c>
      <c r="M1302">
        <f>'[1]Processed Data'!M1302</f>
        <v>31</v>
      </c>
      <c r="N1302">
        <f>'[1]Processed Data'!N1302</f>
        <v>0</v>
      </c>
      <c r="O1302">
        <f>'[1]Processed Data'!O1302</f>
        <v>1</v>
      </c>
      <c r="P1302">
        <f>'[1]Processed Data'!P1302</f>
        <v>0</v>
      </c>
      <c r="Q1302">
        <f>'[1]Processed Data'!Q1302</f>
        <v>7</v>
      </c>
    </row>
    <row r="1303" spans="2:17" hidden="1">
      <c r="B1303">
        <f>'[1]Processed Data'!B1303</f>
        <v>2013</v>
      </c>
      <c r="C1303">
        <f>'[1]Processed Data'!C1303</f>
        <v>114</v>
      </c>
      <c r="D1303" t="str">
        <f>'[1]Processed Data'!D1303</f>
        <v>Seneca Wallace</v>
      </c>
      <c r="E1303">
        <v>2015</v>
      </c>
      <c r="F1303">
        <f>'[1]Processed Data'!F1303</f>
        <v>16</v>
      </c>
      <c r="G1303">
        <f>'[1]Processed Data'!G1303</f>
        <v>24</v>
      </c>
      <c r="H1303">
        <f>'[1]Processed Data'!H1303</f>
        <v>66.7</v>
      </c>
      <c r="I1303">
        <f>'[1]Processed Data'!I1303</f>
        <v>0</v>
      </c>
      <c r="J1303">
        <f>'[1]Processed Data'!J1303</f>
        <v>1</v>
      </c>
      <c r="K1303">
        <f>'[1]Processed Data'!K1303</f>
        <v>4</v>
      </c>
      <c r="L1303">
        <f>'[1]Processed Data'!L1303</f>
        <v>0</v>
      </c>
      <c r="M1303">
        <f>'[1]Processed Data'!M1303</f>
        <v>0</v>
      </c>
      <c r="N1303">
        <f>'[1]Processed Data'!N1303</f>
        <v>0</v>
      </c>
      <c r="O1303">
        <f>'[1]Processed Data'!O1303</f>
        <v>0</v>
      </c>
      <c r="P1303">
        <f>'[1]Processed Data'!P1303</f>
        <v>0</v>
      </c>
      <c r="Q1303">
        <f>'[1]Processed Data'!Q1303</f>
        <v>2</v>
      </c>
    </row>
    <row r="1304" spans="2:17" hidden="1">
      <c r="B1304">
        <f>'[1]Processed Data'!B1304</f>
        <v>2013</v>
      </c>
      <c r="C1304">
        <f>'[1]Processed Data'!C1304</f>
        <v>115</v>
      </c>
      <c r="D1304" t="str">
        <f>'[1]Processed Data'!D1304</f>
        <v>Charlie Whitehurst</v>
      </c>
      <c r="E1304">
        <v>2015</v>
      </c>
      <c r="F1304">
        <f>'[1]Processed Data'!F1304</f>
        <v>0</v>
      </c>
      <c r="G1304">
        <f>'[1]Processed Data'!G1304</f>
        <v>0</v>
      </c>
      <c r="H1304">
        <f>'[1]Processed Data'!H1304</f>
        <v>0</v>
      </c>
      <c r="I1304">
        <f>'[1]Processed Data'!I1304</f>
        <v>0</v>
      </c>
      <c r="J1304">
        <f>'[1]Processed Data'!J1304</f>
        <v>0</v>
      </c>
      <c r="K1304">
        <f>'[1]Processed Data'!K1304</f>
        <v>0</v>
      </c>
      <c r="L1304">
        <f>'[1]Processed Data'!L1304</f>
        <v>6</v>
      </c>
      <c r="M1304">
        <f>'[1]Processed Data'!M1304</f>
        <v>-5</v>
      </c>
      <c r="N1304">
        <f>'[1]Processed Data'!N1304</f>
        <v>0</v>
      </c>
      <c r="O1304">
        <f>'[1]Processed Data'!O1304</f>
        <v>0</v>
      </c>
      <c r="P1304">
        <f>'[1]Processed Data'!P1304</f>
        <v>0</v>
      </c>
      <c r="Q1304">
        <f>'[1]Processed Data'!Q1304</f>
        <v>2</v>
      </c>
    </row>
    <row r="1305" spans="2:17" hidden="1">
      <c r="B1305">
        <f>'[1]Processed Data'!B1305</f>
        <v>2013</v>
      </c>
      <c r="C1305">
        <f>'[1]Processed Data'!C1305</f>
        <v>116</v>
      </c>
      <c r="D1305" t="str">
        <f>'[1]Processed Data'!D1305</f>
        <v>Shaun Hill</v>
      </c>
      <c r="E1305">
        <v>2015</v>
      </c>
      <c r="F1305">
        <f>'[1]Processed Data'!F1305</f>
        <v>0</v>
      </c>
      <c r="G1305">
        <f>'[1]Processed Data'!G1305</f>
        <v>0</v>
      </c>
      <c r="H1305">
        <f>'[1]Processed Data'!H1305</f>
        <v>0</v>
      </c>
      <c r="I1305">
        <f>'[1]Processed Data'!I1305</f>
        <v>0</v>
      </c>
      <c r="J1305">
        <f>'[1]Processed Data'!J1305</f>
        <v>0</v>
      </c>
      <c r="K1305">
        <f>'[1]Processed Data'!K1305</f>
        <v>0</v>
      </c>
      <c r="L1305">
        <f>'[1]Processed Data'!L1305</f>
        <v>2</v>
      </c>
      <c r="M1305">
        <f>'[1]Processed Data'!M1305</f>
        <v>-2</v>
      </c>
      <c r="N1305">
        <f>'[1]Processed Data'!N1305</f>
        <v>0</v>
      </c>
      <c r="O1305">
        <f>'[1]Processed Data'!O1305</f>
        <v>0</v>
      </c>
      <c r="P1305">
        <f>'[1]Processed Data'!P1305</f>
        <v>0</v>
      </c>
      <c r="Q1305">
        <f>'[1]Processed Data'!Q1305</f>
        <v>1</v>
      </c>
    </row>
    <row r="1306" spans="2:17" hidden="1">
      <c r="B1306">
        <f>'[1]Processed Data'!B1306</f>
        <v>2013</v>
      </c>
      <c r="C1306">
        <f>'[1]Processed Data'!C1306</f>
        <v>117</v>
      </c>
      <c r="D1306" t="str">
        <f>'[1]Processed Data'!D1306</f>
        <v>Kyle Orton</v>
      </c>
      <c r="E1306">
        <v>2015</v>
      </c>
      <c r="F1306">
        <f>'[1]Processed Data'!F1306</f>
        <v>33</v>
      </c>
      <c r="G1306">
        <f>'[1]Processed Data'!G1306</f>
        <v>51</v>
      </c>
      <c r="H1306">
        <f>'[1]Processed Data'!H1306</f>
        <v>64.7</v>
      </c>
      <c r="I1306">
        <f>'[1]Processed Data'!I1306</f>
        <v>2</v>
      </c>
      <c r="J1306">
        <f>'[1]Processed Data'!J1306</f>
        <v>2</v>
      </c>
      <c r="K1306">
        <f>'[1]Processed Data'!K1306</f>
        <v>0</v>
      </c>
      <c r="L1306">
        <f>'[1]Processed Data'!L1306</f>
        <v>1</v>
      </c>
      <c r="M1306">
        <f>'[1]Processed Data'!M1306</f>
        <v>8</v>
      </c>
      <c r="N1306">
        <f>'[1]Processed Data'!N1306</f>
        <v>0</v>
      </c>
      <c r="O1306">
        <f>'[1]Processed Data'!O1306</f>
        <v>0</v>
      </c>
      <c r="P1306">
        <f>'[1]Processed Data'!P1306</f>
        <v>0</v>
      </c>
      <c r="Q1306">
        <f>'[1]Processed Data'!Q1306</f>
        <v>3</v>
      </c>
    </row>
    <row r="1307" spans="2:17" hidden="1">
      <c r="B1307">
        <f>'[1]Processed Data'!B1307</f>
        <v>2013</v>
      </c>
      <c r="C1307">
        <f>'[1]Processed Data'!C1307</f>
        <v>118</v>
      </c>
      <c r="D1307" t="str">
        <f>'[1]Processed Data'!D1307</f>
        <v>Matt Cassel</v>
      </c>
      <c r="E1307">
        <v>2015</v>
      </c>
      <c r="F1307">
        <f>'[1]Processed Data'!F1307</f>
        <v>153</v>
      </c>
      <c r="G1307">
        <f>'[1]Processed Data'!G1307</f>
        <v>254</v>
      </c>
      <c r="H1307">
        <f>'[1]Processed Data'!H1307</f>
        <v>60.2</v>
      </c>
      <c r="I1307">
        <f>'[1]Processed Data'!I1307</f>
        <v>11</v>
      </c>
      <c r="J1307">
        <f>'[1]Processed Data'!J1307</f>
        <v>9</v>
      </c>
      <c r="K1307">
        <f>'[1]Processed Data'!K1307</f>
        <v>16</v>
      </c>
      <c r="L1307">
        <f>'[1]Processed Data'!L1307</f>
        <v>18</v>
      </c>
      <c r="M1307">
        <f>'[1]Processed Data'!M1307</f>
        <v>57</v>
      </c>
      <c r="N1307">
        <f>'[1]Processed Data'!N1307</f>
        <v>1</v>
      </c>
      <c r="O1307">
        <f>'[1]Processed Data'!O1307</f>
        <v>1</v>
      </c>
      <c r="P1307">
        <f>'[1]Processed Data'!P1307</f>
        <v>0</v>
      </c>
      <c r="Q1307">
        <f>'[1]Processed Data'!Q1307</f>
        <v>9</v>
      </c>
    </row>
    <row r="1308" spans="2:17" hidden="1">
      <c r="B1308">
        <f>'[1]Processed Data'!B1308</f>
        <v>2013</v>
      </c>
      <c r="C1308">
        <f>'[1]Processed Data'!C1308</f>
        <v>119</v>
      </c>
      <c r="D1308" t="str">
        <f>'[1]Processed Data'!D1308</f>
        <v>Philip Rivers</v>
      </c>
      <c r="E1308">
        <v>2015</v>
      </c>
      <c r="F1308">
        <f>'[1]Processed Data'!F1308</f>
        <v>378</v>
      </c>
      <c r="G1308">
        <f>'[1]Processed Data'!G1308</f>
        <v>544</v>
      </c>
      <c r="H1308">
        <f>'[1]Processed Data'!H1308</f>
        <v>69.5</v>
      </c>
      <c r="I1308">
        <f>'[1]Processed Data'!I1308</f>
        <v>32</v>
      </c>
      <c r="J1308">
        <f>'[1]Processed Data'!J1308</f>
        <v>11</v>
      </c>
      <c r="K1308">
        <f>'[1]Processed Data'!K1308</f>
        <v>30</v>
      </c>
      <c r="L1308">
        <f>'[1]Processed Data'!L1308</f>
        <v>28</v>
      </c>
      <c r="M1308">
        <f>'[1]Processed Data'!M1308</f>
        <v>72</v>
      </c>
      <c r="N1308">
        <f>'[1]Processed Data'!N1308</f>
        <v>0</v>
      </c>
      <c r="O1308">
        <f>'[1]Processed Data'!O1308</f>
        <v>2</v>
      </c>
      <c r="P1308">
        <f>'[1]Processed Data'!P1308</f>
        <v>0</v>
      </c>
      <c r="Q1308">
        <f>'[1]Processed Data'!Q1308</f>
        <v>16</v>
      </c>
    </row>
    <row r="1309" spans="2:17" hidden="1">
      <c r="B1309">
        <f>'[1]Processed Data'!B1309</f>
        <v>2013</v>
      </c>
      <c r="C1309">
        <f>'[1]Processed Data'!C1309</f>
        <v>120</v>
      </c>
      <c r="D1309" t="str">
        <f>'[1]Processed Data'!D1309</f>
        <v>Matt Flynn</v>
      </c>
      <c r="E1309">
        <v>2014</v>
      </c>
      <c r="F1309">
        <f>'[1]Processed Data'!F1309</f>
        <v>124</v>
      </c>
      <c r="G1309">
        <f>'[1]Processed Data'!G1309</f>
        <v>200</v>
      </c>
      <c r="H1309">
        <f>'[1]Processed Data'!H1309</f>
        <v>62</v>
      </c>
      <c r="I1309">
        <f>'[1]Processed Data'!I1309</f>
        <v>8</v>
      </c>
      <c r="J1309">
        <f>'[1]Processed Data'!J1309</f>
        <v>5</v>
      </c>
      <c r="K1309">
        <f>'[1]Processed Data'!K1309</f>
        <v>24</v>
      </c>
      <c r="L1309">
        <f>'[1]Processed Data'!L1309</f>
        <v>20</v>
      </c>
      <c r="M1309">
        <f>'[1]Processed Data'!M1309</f>
        <v>65</v>
      </c>
      <c r="N1309">
        <f>'[1]Processed Data'!N1309</f>
        <v>0</v>
      </c>
      <c r="O1309">
        <f>'[1]Processed Data'!O1309</f>
        <v>6</v>
      </c>
      <c r="P1309">
        <f>'[1]Processed Data'!P1309</f>
        <v>0</v>
      </c>
      <c r="Q1309">
        <f>'[1]Processed Data'!Q1309</f>
        <v>7</v>
      </c>
    </row>
    <row r="1310" spans="2:17" hidden="1">
      <c r="B1310">
        <f>'[1]Processed Data'!B1310</f>
        <v>2013</v>
      </c>
      <c r="C1310">
        <f>'[1]Processed Data'!C1310</f>
        <v>121</v>
      </c>
      <c r="D1310" t="str">
        <f>'[1]Processed Data'!D1310</f>
        <v>Matt Hasselbeck</v>
      </c>
      <c r="E1310">
        <v>2014</v>
      </c>
      <c r="F1310">
        <f>'[1]Processed Data'!F1310</f>
        <v>7</v>
      </c>
      <c r="G1310">
        <f>'[1]Processed Data'!G1310</f>
        <v>12</v>
      </c>
      <c r="H1310">
        <f>'[1]Processed Data'!H1310</f>
        <v>58.3</v>
      </c>
      <c r="I1310">
        <f>'[1]Processed Data'!I1310</f>
        <v>0</v>
      </c>
      <c r="J1310">
        <f>'[1]Processed Data'!J1310</f>
        <v>1</v>
      </c>
      <c r="K1310">
        <f>'[1]Processed Data'!K1310</f>
        <v>0</v>
      </c>
      <c r="L1310">
        <f>'[1]Processed Data'!L1310</f>
        <v>2</v>
      </c>
      <c r="M1310">
        <f>'[1]Processed Data'!M1310</f>
        <v>-2</v>
      </c>
      <c r="N1310">
        <f>'[1]Processed Data'!N1310</f>
        <v>0</v>
      </c>
      <c r="O1310">
        <f>'[1]Processed Data'!O1310</f>
        <v>0</v>
      </c>
      <c r="P1310">
        <f>'[1]Processed Data'!P1310</f>
        <v>0</v>
      </c>
      <c r="Q1310">
        <f>'[1]Processed Data'!Q1310</f>
        <v>3</v>
      </c>
    </row>
    <row r="1311" spans="2:17" hidden="1">
      <c r="B1311">
        <f>'[1]Processed Data'!B1311</f>
        <v>2013</v>
      </c>
      <c r="C1311">
        <f>'[1]Processed Data'!C1311</f>
        <v>122</v>
      </c>
      <c r="D1311" t="str">
        <f>'[1]Processed Data'!D1311</f>
        <v>Michael Vick</v>
      </c>
      <c r="E1311">
        <v>2014</v>
      </c>
      <c r="F1311">
        <f>'[1]Processed Data'!F1311</f>
        <v>77</v>
      </c>
      <c r="G1311">
        <f>'[1]Processed Data'!G1311</f>
        <v>141</v>
      </c>
      <c r="H1311">
        <f>'[1]Processed Data'!H1311</f>
        <v>54.6</v>
      </c>
      <c r="I1311">
        <f>'[1]Processed Data'!I1311</f>
        <v>5</v>
      </c>
      <c r="J1311">
        <f>'[1]Processed Data'!J1311</f>
        <v>3</v>
      </c>
      <c r="K1311">
        <f>'[1]Processed Data'!K1311</f>
        <v>15</v>
      </c>
      <c r="L1311">
        <f>'[1]Processed Data'!L1311</f>
        <v>36</v>
      </c>
      <c r="M1311">
        <f>'[1]Processed Data'!M1311</f>
        <v>306</v>
      </c>
      <c r="N1311">
        <f>'[1]Processed Data'!N1311</f>
        <v>2</v>
      </c>
      <c r="O1311">
        <f>'[1]Processed Data'!O1311</f>
        <v>2</v>
      </c>
      <c r="P1311">
        <f>'[1]Processed Data'!P1311</f>
        <v>0</v>
      </c>
      <c r="Q1311">
        <f>'[1]Processed Data'!Q1311</f>
        <v>7</v>
      </c>
    </row>
    <row r="1312" spans="2:17" hidden="1">
      <c r="B1312">
        <f>'[1]Processed Data'!B1312</f>
        <v>2013</v>
      </c>
      <c r="C1312">
        <f>'[1]Processed Data'!C1312</f>
        <v>123</v>
      </c>
      <c r="D1312" t="str">
        <f>'[1]Processed Data'!D1312</f>
        <v>Peyton Manning</v>
      </c>
      <c r="E1312">
        <v>2014</v>
      </c>
      <c r="F1312">
        <f>'[1]Processed Data'!F1312</f>
        <v>450</v>
      </c>
      <c r="G1312">
        <f>'[1]Processed Data'!G1312</f>
        <v>659</v>
      </c>
      <c r="H1312">
        <f>'[1]Processed Data'!H1312</f>
        <v>68.3</v>
      </c>
      <c r="I1312">
        <f>'[1]Processed Data'!I1312</f>
        <v>55</v>
      </c>
      <c r="J1312">
        <f>'[1]Processed Data'!J1312</f>
        <v>10</v>
      </c>
      <c r="K1312">
        <f>'[1]Processed Data'!K1312</f>
        <v>18</v>
      </c>
      <c r="L1312">
        <f>'[1]Processed Data'!L1312</f>
        <v>32</v>
      </c>
      <c r="M1312">
        <f>'[1]Processed Data'!M1312</f>
        <v>-31</v>
      </c>
      <c r="N1312">
        <f>'[1]Processed Data'!N1312</f>
        <v>1</v>
      </c>
      <c r="O1312">
        <f>'[1]Processed Data'!O1312</f>
        <v>6</v>
      </c>
      <c r="P1312">
        <f>'[1]Processed Data'!P1312</f>
        <v>0</v>
      </c>
      <c r="Q1312">
        <f>'[1]Processed Data'!Q1312</f>
        <v>16</v>
      </c>
    </row>
    <row r="1313" spans="2:17" hidden="1">
      <c r="B1313">
        <f>'[1]Processed Data'!B1313</f>
        <v>2013</v>
      </c>
      <c r="C1313">
        <f>'[1]Processed Data'!C1313</f>
        <v>124</v>
      </c>
      <c r="D1313" t="str">
        <f>'[1]Processed Data'!D1313</f>
        <v>Mitchell Trubisky</v>
      </c>
      <c r="E1313">
        <v>2014</v>
      </c>
      <c r="F1313">
        <f>'[1]Processed Data'!F1313</f>
        <v>0</v>
      </c>
      <c r="G1313">
        <f>'[1]Processed Data'!G1313</f>
        <v>0</v>
      </c>
      <c r="H1313">
        <f>'[1]Processed Data'!H1313</f>
        <v>0</v>
      </c>
      <c r="I1313">
        <f>'[1]Processed Data'!I1313</f>
        <v>0</v>
      </c>
      <c r="J1313">
        <f>'[1]Processed Data'!J1313</f>
        <v>0</v>
      </c>
      <c r="K1313">
        <f>'[1]Processed Data'!K1313</f>
        <v>0</v>
      </c>
      <c r="L1313">
        <f>'[1]Processed Data'!L1313</f>
        <v>0</v>
      </c>
      <c r="M1313">
        <f>'[1]Processed Data'!M1313</f>
        <v>0</v>
      </c>
      <c r="N1313">
        <f>'[1]Processed Data'!N1313</f>
        <v>0</v>
      </c>
      <c r="O1313">
        <f>'[1]Processed Data'!O1313</f>
        <v>0</v>
      </c>
      <c r="P1313">
        <f>'[1]Processed Data'!P1313</f>
        <v>0</v>
      </c>
      <c r="Q1313">
        <f>'[1]Processed Data'!Q1313</f>
        <v>0</v>
      </c>
    </row>
    <row r="1314" spans="2:17" hidden="1">
      <c r="B1314">
        <f>'[1]Processed Data'!B1314</f>
        <v>2013</v>
      </c>
      <c r="C1314">
        <f>'[1]Processed Data'!C1314</f>
        <v>125</v>
      </c>
      <c r="D1314" t="str">
        <f>'[1]Processed Data'!D1314</f>
        <v>Deshaun Watson</v>
      </c>
      <c r="E1314">
        <v>2014</v>
      </c>
      <c r="F1314">
        <f>'[1]Processed Data'!F1314</f>
        <v>0</v>
      </c>
      <c r="G1314">
        <f>'[1]Processed Data'!G1314</f>
        <v>0</v>
      </c>
      <c r="H1314">
        <f>'[1]Processed Data'!H1314</f>
        <v>0</v>
      </c>
      <c r="I1314">
        <f>'[1]Processed Data'!I1314</f>
        <v>0</v>
      </c>
      <c r="J1314">
        <f>'[1]Processed Data'!J1314</f>
        <v>0</v>
      </c>
      <c r="K1314">
        <f>'[1]Processed Data'!K1314</f>
        <v>0</v>
      </c>
      <c r="L1314">
        <f>'[1]Processed Data'!L1314</f>
        <v>0</v>
      </c>
      <c r="M1314">
        <f>'[1]Processed Data'!M1314</f>
        <v>0</v>
      </c>
      <c r="N1314">
        <f>'[1]Processed Data'!N1314</f>
        <v>0</v>
      </c>
      <c r="O1314">
        <f>'[1]Processed Data'!O1314</f>
        <v>0</v>
      </c>
      <c r="P1314">
        <f>'[1]Processed Data'!P1314</f>
        <v>0</v>
      </c>
      <c r="Q1314">
        <f>'[1]Processed Data'!Q1314</f>
        <v>0</v>
      </c>
    </row>
    <row r="1315" spans="2:17" hidden="1">
      <c r="B1315">
        <f>'[1]Processed Data'!B1315</f>
        <v>2013</v>
      </c>
      <c r="C1315">
        <f>'[1]Processed Data'!C1315</f>
        <v>126</v>
      </c>
      <c r="D1315" t="str">
        <f>'[1]Processed Data'!D1315</f>
        <v>Patrick Mahomes II</v>
      </c>
      <c r="E1315">
        <v>2014</v>
      </c>
      <c r="F1315">
        <f>'[1]Processed Data'!F1315</f>
        <v>0</v>
      </c>
      <c r="G1315">
        <f>'[1]Processed Data'!G1315</f>
        <v>0</v>
      </c>
      <c r="H1315">
        <f>'[1]Processed Data'!H1315</f>
        <v>0</v>
      </c>
      <c r="I1315">
        <f>'[1]Processed Data'!I1315</f>
        <v>0</v>
      </c>
      <c r="J1315">
        <f>'[1]Processed Data'!J1315</f>
        <v>0</v>
      </c>
      <c r="K1315">
        <f>'[1]Processed Data'!K1315</f>
        <v>0</v>
      </c>
      <c r="L1315">
        <f>'[1]Processed Data'!L1315</f>
        <v>0</v>
      </c>
      <c r="M1315">
        <f>'[1]Processed Data'!M1315</f>
        <v>0</v>
      </c>
      <c r="N1315">
        <f>'[1]Processed Data'!N1315</f>
        <v>0</v>
      </c>
      <c r="O1315">
        <f>'[1]Processed Data'!O1315</f>
        <v>0</v>
      </c>
      <c r="P1315">
        <f>'[1]Processed Data'!P1315</f>
        <v>0</v>
      </c>
      <c r="Q1315">
        <f>'[1]Processed Data'!Q1315</f>
        <v>0</v>
      </c>
    </row>
    <row r="1316" spans="2:17" hidden="1">
      <c r="B1316">
        <f>'[1]Processed Data'!B1316</f>
        <v>2013</v>
      </c>
      <c r="C1316">
        <f>'[1]Processed Data'!C1316</f>
        <v>127</v>
      </c>
      <c r="D1316" t="str">
        <f>'[1]Processed Data'!D1316</f>
        <v>Carson Wentz</v>
      </c>
      <c r="E1316">
        <v>2014</v>
      </c>
      <c r="F1316">
        <f>'[1]Processed Data'!F1316</f>
        <v>0</v>
      </c>
      <c r="G1316">
        <f>'[1]Processed Data'!G1316</f>
        <v>0</v>
      </c>
      <c r="H1316">
        <f>'[1]Processed Data'!H1316</f>
        <v>0</v>
      </c>
      <c r="I1316">
        <f>'[1]Processed Data'!I1316</f>
        <v>0</v>
      </c>
      <c r="J1316">
        <f>'[1]Processed Data'!J1316</f>
        <v>0</v>
      </c>
      <c r="K1316">
        <f>'[1]Processed Data'!K1316</f>
        <v>0</v>
      </c>
      <c r="L1316">
        <f>'[1]Processed Data'!L1316</f>
        <v>0</v>
      </c>
      <c r="M1316">
        <f>'[1]Processed Data'!M1316</f>
        <v>0</v>
      </c>
      <c r="N1316">
        <f>'[1]Processed Data'!N1316</f>
        <v>0</v>
      </c>
      <c r="O1316">
        <f>'[1]Processed Data'!O1316</f>
        <v>0</v>
      </c>
      <c r="P1316">
        <f>'[1]Processed Data'!P1316</f>
        <v>0</v>
      </c>
      <c r="Q1316">
        <f>'[1]Processed Data'!Q1316</f>
        <v>0</v>
      </c>
    </row>
    <row r="1317" spans="2:17" hidden="1">
      <c r="B1317">
        <f>'[1]Processed Data'!B1317</f>
        <v>2013</v>
      </c>
      <c r="C1317">
        <f>'[1]Processed Data'!C1317</f>
        <v>128</v>
      </c>
      <c r="D1317" t="str">
        <f>'[1]Processed Data'!D1317</f>
        <v>Dak Prescott</v>
      </c>
      <c r="E1317">
        <v>2014</v>
      </c>
      <c r="F1317">
        <f>'[1]Processed Data'!F1317</f>
        <v>0</v>
      </c>
      <c r="G1317">
        <f>'[1]Processed Data'!G1317</f>
        <v>0</v>
      </c>
      <c r="H1317">
        <f>'[1]Processed Data'!H1317</f>
        <v>0</v>
      </c>
      <c r="I1317">
        <f>'[1]Processed Data'!I1317</f>
        <v>0</v>
      </c>
      <c r="J1317">
        <f>'[1]Processed Data'!J1317</f>
        <v>0</v>
      </c>
      <c r="K1317">
        <f>'[1]Processed Data'!K1317</f>
        <v>0</v>
      </c>
      <c r="L1317">
        <f>'[1]Processed Data'!L1317</f>
        <v>0</v>
      </c>
      <c r="M1317">
        <f>'[1]Processed Data'!M1317</f>
        <v>0</v>
      </c>
      <c r="N1317">
        <f>'[1]Processed Data'!N1317</f>
        <v>0</v>
      </c>
      <c r="O1317">
        <f>'[1]Processed Data'!O1317</f>
        <v>0</v>
      </c>
      <c r="P1317">
        <f>'[1]Processed Data'!P1317</f>
        <v>0</v>
      </c>
      <c r="Q1317">
        <f>'[1]Processed Data'!Q1317</f>
        <v>0</v>
      </c>
    </row>
    <row r="1318" spans="2:17" hidden="1">
      <c r="B1318">
        <f>'[1]Processed Data'!B1318</f>
        <v>2013</v>
      </c>
      <c r="C1318">
        <f>'[1]Processed Data'!C1318</f>
        <v>129</v>
      </c>
      <c r="D1318" t="str">
        <f>'[1]Processed Data'!D1318</f>
        <v>Jeff Driskel</v>
      </c>
      <c r="E1318">
        <v>2014</v>
      </c>
      <c r="F1318">
        <f>'[1]Processed Data'!F1318</f>
        <v>0</v>
      </c>
      <c r="G1318">
        <f>'[1]Processed Data'!G1318</f>
        <v>0</v>
      </c>
      <c r="H1318">
        <f>'[1]Processed Data'!H1318</f>
        <v>0</v>
      </c>
      <c r="I1318">
        <f>'[1]Processed Data'!I1318</f>
        <v>0</v>
      </c>
      <c r="J1318">
        <f>'[1]Processed Data'!J1318</f>
        <v>0</v>
      </c>
      <c r="K1318">
        <f>'[1]Processed Data'!K1318</f>
        <v>0</v>
      </c>
      <c r="L1318">
        <f>'[1]Processed Data'!L1318</f>
        <v>0</v>
      </c>
      <c r="M1318">
        <f>'[1]Processed Data'!M1318</f>
        <v>0</v>
      </c>
      <c r="N1318">
        <f>'[1]Processed Data'!N1318</f>
        <v>0</v>
      </c>
      <c r="O1318">
        <f>'[1]Processed Data'!O1318</f>
        <v>0</v>
      </c>
      <c r="P1318">
        <f>'[1]Processed Data'!P1318</f>
        <v>0</v>
      </c>
      <c r="Q1318">
        <f>'[1]Processed Data'!Q1318</f>
        <v>0</v>
      </c>
    </row>
    <row r="1319" spans="2:17" hidden="1">
      <c r="B1319">
        <f>'[1]Processed Data'!B1319</f>
        <v>2013</v>
      </c>
      <c r="C1319">
        <f>'[1]Processed Data'!C1319</f>
        <v>130</v>
      </c>
      <c r="D1319" t="str">
        <f>'[1]Processed Data'!D1319</f>
        <v>Jacoby Brissett</v>
      </c>
      <c r="E1319">
        <v>2014</v>
      </c>
      <c r="F1319">
        <f>'[1]Processed Data'!F1319</f>
        <v>0</v>
      </c>
      <c r="G1319">
        <f>'[1]Processed Data'!G1319</f>
        <v>0</v>
      </c>
      <c r="H1319">
        <f>'[1]Processed Data'!H1319</f>
        <v>0</v>
      </c>
      <c r="I1319">
        <f>'[1]Processed Data'!I1319</f>
        <v>0</v>
      </c>
      <c r="J1319">
        <f>'[1]Processed Data'!J1319</f>
        <v>0</v>
      </c>
      <c r="K1319">
        <f>'[1]Processed Data'!K1319</f>
        <v>0</v>
      </c>
      <c r="L1319">
        <f>'[1]Processed Data'!L1319</f>
        <v>0</v>
      </c>
      <c r="M1319">
        <f>'[1]Processed Data'!M1319</f>
        <v>0</v>
      </c>
      <c r="N1319">
        <f>'[1]Processed Data'!N1319</f>
        <v>0</v>
      </c>
      <c r="O1319">
        <f>'[1]Processed Data'!O1319</f>
        <v>0</v>
      </c>
      <c r="P1319">
        <f>'[1]Processed Data'!P1319</f>
        <v>0</v>
      </c>
      <c r="Q1319">
        <f>'[1]Processed Data'!Q1319</f>
        <v>0</v>
      </c>
    </row>
    <row r="1320" spans="2:17" hidden="1">
      <c r="B1320">
        <f>'[1]Processed Data'!B1320</f>
        <v>2013</v>
      </c>
      <c r="C1320">
        <f>'[1]Processed Data'!C1320</f>
        <v>131</v>
      </c>
      <c r="D1320" t="str">
        <f>'[1]Processed Data'!D1320</f>
        <v>Nate Sudfeld</v>
      </c>
      <c r="E1320">
        <v>2014</v>
      </c>
      <c r="F1320">
        <f>'[1]Processed Data'!F1320</f>
        <v>0</v>
      </c>
      <c r="G1320">
        <f>'[1]Processed Data'!G1320</f>
        <v>0</v>
      </c>
      <c r="H1320">
        <f>'[1]Processed Data'!H1320</f>
        <v>0</v>
      </c>
      <c r="I1320">
        <f>'[1]Processed Data'!I1320</f>
        <v>0</v>
      </c>
      <c r="J1320">
        <f>'[1]Processed Data'!J1320</f>
        <v>0</v>
      </c>
      <c r="K1320">
        <f>'[1]Processed Data'!K1320</f>
        <v>0</v>
      </c>
      <c r="L1320">
        <f>'[1]Processed Data'!L1320</f>
        <v>0</v>
      </c>
      <c r="M1320">
        <f>'[1]Processed Data'!M1320</f>
        <v>0</v>
      </c>
      <c r="N1320">
        <f>'[1]Processed Data'!N1320</f>
        <v>0</v>
      </c>
      <c r="O1320">
        <f>'[1]Processed Data'!O1320</f>
        <v>0</v>
      </c>
      <c r="P1320">
        <f>'[1]Processed Data'!P1320</f>
        <v>0</v>
      </c>
      <c r="Q1320">
        <f>'[1]Processed Data'!Q1320</f>
        <v>0</v>
      </c>
    </row>
    <row r="1321" spans="2:17" hidden="1">
      <c r="B1321">
        <f>'[1]Processed Data'!B1321</f>
        <v>2013</v>
      </c>
      <c r="C1321">
        <f>'[1]Processed Data'!C1321</f>
        <v>132</v>
      </c>
      <c r="D1321" t="str">
        <f>'[1]Processed Data'!D1321</f>
        <v>Brandon Allen</v>
      </c>
      <c r="E1321">
        <v>2014</v>
      </c>
      <c r="F1321">
        <f>'[1]Processed Data'!F1321</f>
        <v>0</v>
      </c>
      <c r="G1321">
        <f>'[1]Processed Data'!G1321</f>
        <v>0</v>
      </c>
      <c r="H1321">
        <f>'[1]Processed Data'!H1321</f>
        <v>0</v>
      </c>
      <c r="I1321">
        <f>'[1]Processed Data'!I1321</f>
        <v>0</v>
      </c>
      <c r="J1321">
        <f>'[1]Processed Data'!J1321</f>
        <v>0</v>
      </c>
      <c r="K1321">
        <f>'[1]Processed Data'!K1321</f>
        <v>0</v>
      </c>
      <c r="L1321">
        <f>'[1]Processed Data'!L1321</f>
        <v>0</v>
      </c>
      <c r="M1321">
        <f>'[1]Processed Data'!M1321</f>
        <v>0</v>
      </c>
      <c r="N1321">
        <f>'[1]Processed Data'!N1321</f>
        <v>0</v>
      </c>
      <c r="O1321">
        <f>'[1]Processed Data'!O1321</f>
        <v>0</v>
      </c>
      <c r="P1321">
        <f>'[1]Processed Data'!P1321</f>
        <v>0</v>
      </c>
      <c r="Q1321">
        <f>'[1]Processed Data'!Q1321</f>
        <v>0</v>
      </c>
    </row>
    <row r="1322" spans="2:17" hidden="1">
      <c r="B1322">
        <f>'[1]Processed Data'!B1322</f>
        <v>2013</v>
      </c>
      <c r="C1322">
        <f>'[1]Processed Data'!C1322</f>
        <v>133</v>
      </c>
      <c r="D1322" t="str">
        <f>'[1]Processed Data'!D1322</f>
        <v>Kevin Hogan</v>
      </c>
      <c r="E1322">
        <v>2014</v>
      </c>
      <c r="F1322">
        <f>'[1]Processed Data'!F1322</f>
        <v>0</v>
      </c>
      <c r="G1322">
        <f>'[1]Processed Data'!G1322</f>
        <v>0</v>
      </c>
      <c r="H1322">
        <f>'[1]Processed Data'!H1322</f>
        <v>0</v>
      </c>
      <c r="I1322">
        <f>'[1]Processed Data'!I1322</f>
        <v>0</v>
      </c>
      <c r="J1322">
        <f>'[1]Processed Data'!J1322</f>
        <v>0</v>
      </c>
      <c r="K1322">
        <f>'[1]Processed Data'!K1322</f>
        <v>0</v>
      </c>
      <c r="L1322">
        <f>'[1]Processed Data'!L1322</f>
        <v>0</v>
      </c>
      <c r="M1322">
        <f>'[1]Processed Data'!M1322</f>
        <v>0</v>
      </c>
      <c r="N1322">
        <f>'[1]Processed Data'!N1322</f>
        <v>0</v>
      </c>
      <c r="O1322">
        <f>'[1]Processed Data'!O1322</f>
        <v>0</v>
      </c>
      <c r="P1322">
        <f>'[1]Processed Data'!P1322</f>
        <v>0</v>
      </c>
      <c r="Q1322">
        <f>'[1]Processed Data'!Q1322</f>
        <v>0</v>
      </c>
    </row>
    <row r="1323" spans="2:17" hidden="1">
      <c r="B1323">
        <f>'[1]Processed Data'!B1323</f>
        <v>2013</v>
      </c>
      <c r="C1323">
        <f>'[1]Processed Data'!C1323</f>
        <v>134</v>
      </c>
      <c r="D1323" t="str">
        <f>'[1]Processed Data'!D1323</f>
        <v>E.J. Manuel</v>
      </c>
      <c r="E1323">
        <v>2014</v>
      </c>
      <c r="F1323">
        <f>'[1]Processed Data'!F1323</f>
        <v>180</v>
      </c>
      <c r="G1323">
        <f>'[1]Processed Data'!G1323</f>
        <v>306</v>
      </c>
      <c r="H1323">
        <f>'[1]Processed Data'!H1323</f>
        <v>58.8</v>
      </c>
      <c r="I1323">
        <f>'[1]Processed Data'!I1323</f>
        <v>11</v>
      </c>
      <c r="J1323">
        <f>'[1]Processed Data'!J1323</f>
        <v>9</v>
      </c>
      <c r="K1323">
        <f>'[1]Processed Data'!K1323</f>
        <v>28</v>
      </c>
      <c r="L1323">
        <f>'[1]Processed Data'!L1323</f>
        <v>53</v>
      </c>
      <c r="M1323">
        <f>'[1]Processed Data'!M1323</f>
        <v>186</v>
      </c>
      <c r="N1323">
        <f>'[1]Processed Data'!N1323</f>
        <v>2</v>
      </c>
      <c r="O1323">
        <f>'[1]Processed Data'!O1323</f>
        <v>3</v>
      </c>
      <c r="P1323">
        <f>'[1]Processed Data'!P1323</f>
        <v>0</v>
      </c>
      <c r="Q1323">
        <f>'[1]Processed Data'!Q1323</f>
        <v>10</v>
      </c>
    </row>
    <row r="1324" spans="2:17" hidden="1">
      <c r="B1324">
        <f>'[1]Processed Data'!B1324</f>
        <v>2013</v>
      </c>
      <c r="C1324">
        <f>'[1]Processed Data'!C1324</f>
        <v>135</v>
      </c>
      <c r="D1324" t="str">
        <f>'[1]Processed Data'!D1324</f>
        <v>Logan Woodside</v>
      </c>
      <c r="E1324">
        <v>2014</v>
      </c>
      <c r="F1324">
        <f>'[1]Processed Data'!F1324</f>
        <v>0</v>
      </c>
      <c r="G1324">
        <f>'[1]Processed Data'!G1324</f>
        <v>0</v>
      </c>
      <c r="H1324">
        <f>'[1]Processed Data'!H1324</f>
        <v>0</v>
      </c>
      <c r="I1324">
        <f>'[1]Processed Data'!I1324</f>
        <v>0</v>
      </c>
      <c r="J1324">
        <f>'[1]Processed Data'!J1324</f>
        <v>0</v>
      </c>
      <c r="K1324">
        <f>'[1]Processed Data'!K1324</f>
        <v>0</v>
      </c>
      <c r="L1324">
        <f>'[1]Processed Data'!L1324</f>
        <v>0</v>
      </c>
      <c r="M1324">
        <f>'[1]Processed Data'!M1324</f>
        <v>0</v>
      </c>
      <c r="N1324">
        <f>'[1]Processed Data'!N1324</f>
        <v>0</v>
      </c>
      <c r="O1324">
        <f>'[1]Processed Data'!O1324</f>
        <v>0</v>
      </c>
      <c r="P1324">
        <f>'[1]Processed Data'!P1324</f>
        <v>0</v>
      </c>
      <c r="Q1324">
        <f>'[1]Processed Data'!Q1324</f>
        <v>0</v>
      </c>
    </row>
    <row r="1325" spans="2:17" hidden="1">
      <c r="B1325">
        <f>'[1]Processed Data'!B1325</f>
        <v>2013</v>
      </c>
      <c r="C1325">
        <f>'[1]Processed Data'!C1325</f>
        <v>136</v>
      </c>
      <c r="D1325" t="str">
        <f>'[1]Processed Data'!D1325</f>
        <v>Mason Rudolph</v>
      </c>
      <c r="E1325">
        <v>2014</v>
      </c>
      <c r="F1325">
        <f>'[1]Processed Data'!F1325</f>
        <v>0</v>
      </c>
      <c r="G1325">
        <f>'[1]Processed Data'!G1325</f>
        <v>0</v>
      </c>
      <c r="H1325">
        <f>'[1]Processed Data'!H1325</f>
        <v>0</v>
      </c>
      <c r="I1325">
        <f>'[1]Processed Data'!I1325</f>
        <v>0</v>
      </c>
      <c r="J1325">
        <f>'[1]Processed Data'!J1325</f>
        <v>0</v>
      </c>
      <c r="K1325">
        <f>'[1]Processed Data'!K1325</f>
        <v>0</v>
      </c>
      <c r="L1325">
        <f>'[1]Processed Data'!L1325</f>
        <v>0</v>
      </c>
      <c r="M1325">
        <f>'[1]Processed Data'!M1325</f>
        <v>0</v>
      </c>
      <c r="N1325">
        <f>'[1]Processed Data'!N1325</f>
        <v>0</v>
      </c>
      <c r="O1325">
        <f>'[1]Processed Data'!O1325</f>
        <v>0</v>
      </c>
      <c r="P1325">
        <f>'[1]Processed Data'!P1325</f>
        <v>0</v>
      </c>
      <c r="Q1325">
        <f>'[1]Processed Data'!Q1325</f>
        <v>0</v>
      </c>
    </row>
    <row r="1326" spans="2:17" hidden="1">
      <c r="B1326">
        <f>'[1]Processed Data'!B1326</f>
        <v>2013</v>
      </c>
      <c r="C1326">
        <f>'[1]Processed Data'!C1326</f>
        <v>137</v>
      </c>
      <c r="D1326" t="str">
        <f>'[1]Processed Data'!D1326</f>
        <v>Josh Rosen</v>
      </c>
      <c r="E1326">
        <v>2014</v>
      </c>
      <c r="F1326">
        <f>'[1]Processed Data'!F1326</f>
        <v>0</v>
      </c>
      <c r="G1326">
        <f>'[1]Processed Data'!G1326</f>
        <v>0</v>
      </c>
      <c r="H1326">
        <f>'[1]Processed Data'!H1326</f>
        <v>0</v>
      </c>
      <c r="I1326">
        <f>'[1]Processed Data'!I1326</f>
        <v>0</v>
      </c>
      <c r="J1326">
        <f>'[1]Processed Data'!J1326</f>
        <v>0</v>
      </c>
      <c r="K1326">
        <f>'[1]Processed Data'!K1326</f>
        <v>0</v>
      </c>
      <c r="L1326">
        <f>'[1]Processed Data'!L1326</f>
        <v>0</v>
      </c>
      <c r="M1326">
        <f>'[1]Processed Data'!M1326</f>
        <v>0</v>
      </c>
      <c r="N1326">
        <f>'[1]Processed Data'!N1326</f>
        <v>0</v>
      </c>
      <c r="O1326">
        <f>'[1]Processed Data'!O1326</f>
        <v>0</v>
      </c>
      <c r="P1326">
        <f>'[1]Processed Data'!P1326</f>
        <v>0</v>
      </c>
      <c r="Q1326">
        <f>'[1]Processed Data'!Q1326</f>
        <v>0</v>
      </c>
    </row>
    <row r="1327" spans="2:17" hidden="1">
      <c r="B1327">
        <f>'[1]Processed Data'!B1327</f>
        <v>2013</v>
      </c>
      <c r="C1327">
        <f>'[1]Processed Data'!C1327</f>
        <v>138</v>
      </c>
      <c r="D1327" t="str">
        <f>'[1]Processed Data'!D1327</f>
        <v>Sam Darnold</v>
      </c>
      <c r="E1327">
        <v>2014</v>
      </c>
      <c r="F1327">
        <f>'[1]Processed Data'!F1327</f>
        <v>0</v>
      </c>
      <c r="G1327">
        <f>'[1]Processed Data'!G1327</f>
        <v>0</v>
      </c>
      <c r="H1327">
        <f>'[1]Processed Data'!H1327</f>
        <v>0</v>
      </c>
      <c r="I1327">
        <f>'[1]Processed Data'!I1327</f>
        <v>0</v>
      </c>
      <c r="J1327">
        <f>'[1]Processed Data'!J1327</f>
        <v>0</v>
      </c>
      <c r="K1327">
        <f>'[1]Processed Data'!K1327</f>
        <v>0</v>
      </c>
      <c r="L1327">
        <f>'[1]Processed Data'!L1327</f>
        <v>0</v>
      </c>
      <c r="M1327">
        <f>'[1]Processed Data'!M1327</f>
        <v>0</v>
      </c>
      <c r="N1327">
        <f>'[1]Processed Data'!N1327</f>
        <v>0</v>
      </c>
      <c r="O1327">
        <f>'[1]Processed Data'!O1327</f>
        <v>0</v>
      </c>
      <c r="P1327">
        <f>'[1]Processed Data'!P1327</f>
        <v>0</v>
      </c>
      <c r="Q1327">
        <f>'[1]Processed Data'!Q1327</f>
        <v>0</v>
      </c>
    </row>
    <row r="1328" spans="2:17" hidden="1">
      <c r="B1328">
        <f>'[1]Processed Data'!B1328</f>
        <v>2013</v>
      </c>
      <c r="C1328">
        <f>'[1]Processed Data'!C1328</f>
        <v>139</v>
      </c>
      <c r="D1328" t="str">
        <f>'[1]Processed Data'!D1328</f>
        <v>Baker Mayfield</v>
      </c>
      <c r="E1328">
        <v>2014</v>
      </c>
      <c r="F1328">
        <f>'[1]Processed Data'!F1328</f>
        <v>0</v>
      </c>
      <c r="G1328">
        <f>'[1]Processed Data'!G1328</f>
        <v>0</v>
      </c>
      <c r="H1328">
        <f>'[1]Processed Data'!H1328</f>
        <v>0</v>
      </c>
      <c r="I1328">
        <f>'[1]Processed Data'!I1328</f>
        <v>0</v>
      </c>
      <c r="J1328">
        <f>'[1]Processed Data'!J1328</f>
        <v>0</v>
      </c>
      <c r="K1328">
        <f>'[1]Processed Data'!K1328</f>
        <v>0</v>
      </c>
      <c r="L1328">
        <f>'[1]Processed Data'!L1328</f>
        <v>0</v>
      </c>
      <c r="M1328">
        <f>'[1]Processed Data'!M1328</f>
        <v>0</v>
      </c>
      <c r="N1328">
        <f>'[1]Processed Data'!N1328</f>
        <v>0</v>
      </c>
      <c r="O1328">
        <f>'[1]Processed Data'!O1328</f>
        <v>0</v>
      </c>
      <c r="P1328">
        <f>'[1]Processed Data'!P1328</f>
        <v>0</v>
      </c>
      <c r="Q1328">
        <f>'[1]Processed Data'!Q1328</f>
        <v>0</v>
      </c>
    </row>
    <row r="1329" spans="2:17" hidden="1">
      <c r="B1329">
        <f>'[1]Processed Data'!B1329</f>
        <v>2013</v>
      </c>
      <c r="C1329">
        <f>'[1]Processed Data'!C1329</f>
        <v>140</v>
      </c>
      <c r="D1329" t="str">
        <f>'[1]Processed Data'!D1329</f>
        <v>Josh Allen</v>
      </c>
      <c r="E1329">
        <v>2014</v>
      </c>
      <c r="F1329">
        <f>'[1]Processed Data'!F1329</f>
        <v>0</v>
      </c>
      <c r="G1329">
        <f>'[1]Processed Data'!G1329</f>
        <v>0</v>
      </c>
      <c r="H1329">
        <f>'[1]Processed Data'!H1329</f>
        <v>0</v>
      </c>
      <c r="I1329">
        <f>'[1]Processed Data'!I1329</f>
        <v>0</v>
      </c>
      <c r="J1329">
        <f>'[1]Processed Data'!J1329</f>
        <v>0</v>
      </c>
      <c r="K1329">
        <f>'[1]Processed Data'!K1329</f>
        <v>0</v>
      </c>
      <c r="L1329">
        <f>'[1]Processed Data'!L1329</f>
        <v>0</v>
      </c>
      <c r="M1329">
        <f>'[1]Processed Data'!M1329</f>
        <v>0</v>
      </c>
      <c r="N1329">
        <f>'[1]Processed Data'!N1329</f>
        <v>0</v>
      </c>
      <c r="O1329">
        <f>'[1]Processed Data'!O1329</f>
        <v>0</v>
      </c>
      <c r="P1329">
        <f>'[1]Processed Data'!P1329</f>
        <v>0</v>
      </c>
      <c r="Q1329">
        <f>'[1]Processed Data'!Q1329</f>
        <v>0</v>
      </c>
    </row>
    <row r="1330" spans="2:17" hidden="1">
      <c r="B1330">
        <f>'[1]Processed Data'!B1330</f>
        <v>2013</v>
      </c>
      <c r="C1330">
        <f>'[1]Processed Data'!C1330</f>
        <v>141</v>
      </c>
      <c r="D1330" t="str">
        <f>'[1]Processed Data'!D1330</f>
        <v>Taysom Hill</v>
      </c>
      <c r="E1330">
        <v>2014</v>
      </c>
      <c r="F1330">
        <f>'[1]Processed Data'!F1330</f>
        <v>0</v>
      </c>
      <c r="G1330">
        <f>'[1]Processed Data'!G1330</f>
        <v>0</v>
      </c>
      <c r="H1330">
        <f>'[1]Processed Data'!H1330</f>
        <v>0</v>
      </c>
      <c r="I1330">
        <f>'[1]Processed Data'!I1330</f>
        <v>0</v>
      </c>
      <c r="J1330">
        <f>'[1]Processed Data'!J1330</f>
        <v>0</v>
      </c>
      <c r="K1330">
        <f>'[1]Processed Data'!K1330</f>
        <v>0</v>
      </c>
      <c r="L1330">
        <f>'[1]Processed Data'!L1330</f>
        <v>0</v>
      </c>
      <c r="M1330">
        <f>'[1]Processed Data'!M1330</f>
        <v>0</v>
      </c>
      <c r="N1330">
        <f>'[1]Processed Data'!N1330</f>
        <v>0</v>
      </c>
      <c r="O1330">
        <f>'[1]Processed Data'!O1330</f>
        <v>0</v>
      </c>
      <c r="P1330">
        <f>'[1]Processed Data'!P1330</f>
        <v>0</v>
      </c>
      <c r="Q1330">
        <f>'[1]Processed Data'!Q1330</f>
        <v>0</v>
      </c>
    </row>
    <row r="1331" spans="2:17" hidden="1">
      <c r="B1331">
        <f>'[1]Processed Data'!B1331</f>
        <v>2013</v>
      </c>
      <c r="C1331">
        <f>'[1]Processed Data'!C1331</f>
        <v>142</v>
      </c>
      <c r="D1331" t="str">
        <f>'[1]Processed Data'!D1331</f>
        <v>Joshua Dobbs</v>
      </c>
      <c r="E1331">
        <v>2014</v>
      </c>
      <c r="F1331">
        <f>'[1]Processed Data'!F1331</f>
        <v>0</v>
      </c>
      <c r="G1331">
        <f>'[1]Processed Data'!G1331</f>
        <v>0</v>
      </c>
      <c r="H1331">
        <f>'[1]Processed Data'!H1331</f>
        <v>0</v>
      </c>
      <c r="I1331">
        <f>'[1]Processed Data'!I1331</f>
        <v>0</v>
      </c>
      <c r="J1331">
        <f>'[1]Processed Data'!J1331</f>
        <v>0</v>
      </c>
      <c r="K1331">
        <f>'[1]Processed Data'!K1331</f>
        <v>0</v>
      </c>
      <c r="L1331">
        <f>'[1]Processed Data'!L1331</f>
        <v>0</v>
      </c>
      <c r="M1331">
        <f>'[1]Processed Data'!M1331</f>
        <v>0</v>
      </c>
      <c r="N1331">
        <f>'[1]Processed Data'!N1331</f>
        <v>0</v>
      </c>
      <c r="O1331">
        <f>'[1]Processed Data'!O1331</f>
        <v>0</v>
      </c>
      <c r="P1331">
        <f>'[1]Processed Data'!P1331</f>
        <v>0</v>
      </c>
      <c r="Q1331">
        <f>'[1]Processed Data'!Q1331</f>
        <v>0</v>
      </c>
    </row>
    <row r="1332" spans="2:17" hidden="1">
      <c r="B1332">
        <f>'[1]Processed Data'!B1332</f>
        <v>2013</v>
      </c>
      <c r="C1332">
        <f>'[1]Processed Data'!C1332</f>
        <v>143</v>
      </c>
      <c r="D1332" t="str">
        <f>'[1]Processed Data'!D1332</f>
        <v>Davis Webb</v>
      </c>
      <c r="E1332">
        <v>2014</v>
      </c>
      <c r="F1332">
        <f>'[1]Processed Data'!F1332</f>
        <v>0</v>
      </c>
      <c r="G1332">
        <f>'[1]Processed Data'!G1332</f>
        <v>0</v>
      </c>
      <c r="H1332">
        <f>'[1]Processed Data'!H1332</f>
        <v>0</v>
      </c>
      <c r="I1332">
        <f>'[1]Processed Data'!I1332</f>
        <v>0</v>
      </c>
      <c r="J1332">
        <f>'[1]Processed Data'!J1332</f>
        <v>0</v>
      </c>
      <c r="K1332">
        <f>'[1]Processed Data'!K1332</f>
        <v>0</v>
      </c>
      <c r="L1332">
        <f>'[1]Processed Data'!L1332</f>
        <v>0</v>
      </c>
      <c r="M1332">
        <f>'[1]Processed Data'!M1332</f>
        <v>0</v>
      </c>
      <c r="N1332">
        <f>'[1]Processed Data'!N1332</f>
        <v>0</v>
      </c>
      <c r="O1332">
        <f>'[1]Processed Data'!O1332</f>
        <v>0</v>
      </c>
      <c r="P1332">
        <f>'[1]Processed Data'!P1332</f>
        <v>0</v>
      </c>
      <c r="Q1332">
        <f>'[1]Processed Data'!Q1332</f>
        <v>0</v>
      </c>
    </row>
    <row r="1333" spans="2:17" hidden="1">
      <c r="B1333">
        <f>'[1]Processed Data'!B1333</f>
        <v>2013</v>
      </c>
      <c r="C1333">
        <f>'[1]Processed Data'!C1333</f>
        <v>144</v>
      </c>
      <c r="D1333" t="str">
        <f>'[1]Processed Data'!D1333</f>
        <v>C.J. Beathard</v>
      </c>
      <c r="E1333">
        <v>2014</v>
      </c>
      <c r="F1333">
        <f>'[1]Processed Data'!F1333</f>
        <v>0</v>
      </c>
      <c r="G1333">
        <f>'[1]Processed Data'!G1333</f>
        <v>0</v>
      </c>
      <c r="H1333">
        <f>'[1]Processed Data'!H1333</f>
        <v>0</v>
      </c>
      <c r="I1333">
        <f>'[1]Processed Data'!I1333</f>
        <v>0</v>
      </c>
      <c r="J1333">
        <f>'[1]Processed Data'!J1333</f>
        <v>0</v>
      </c>
      <c r="K1333">
        <f>'[1]Processed Data'!K1333</f>
        <v>0</v>
      </c>
      <c r="L1333">
        <f>'[1]Processed Data'!L1333</f>
        <v>0</v>
      </c>
      <c r="M1333">
        <f>'[1]Processed Data'!M1333</f>
        <v>0</v>
      </c>
      <c r="N1333">
        <f>'[1]Processed Data'!N1333</f>
        <v>0</v>
      </c>
      <c r="O1333">
        <f>'[1]Processed Data'!O1333</f>
        <v>0</v>
      </c>
      <c r="P1333">
        <f>'[1]Processed Data'!P1333</f>
        <v>0</v>
      </c>
      <c r="Q1333">
        <f>'[1]Processed Data'!Q1333</f>
        <v>0</v>
      </c>
    </row>
    <row r="1334" spans="2:17" hidden="1">
      <c r="B1334">
        <f>'[1]Processed Data'!B1334</f>
        <v>2013</v>
      </c>
      <c r="C1334">
        <f>'[1]Processed Data'!C1334</f>
        <v>145</v>
      </c>
      <c r="D1334" t="str">
        <f>'[1]Processed Data'!D1334</f>
        <v>Cooper Rush</v>
      </c>
      <c r="E1334">
        <v>2014</v>
      </c>
      <c r="F1334">
        <f>'[1]Processed Data'!F1334</f>
        <v>0</v>
      </c>
      <c r="G1334">
        <f>'[1]Processed Data'!G1334</f>
        <v>0</v>
      </c>
      <c r="H1334">
        <f>'[1]Processed Data'!H1334</f>
        <v>0</v>
      </c>
      <c r="I1334">
        <f>'[1]Processed Data'!I1334</f>
        <v>0</v>
      </c>
      <c r="J1334">
        <f>'[1]Processed Data'!J1334</f>
        <v>0</v>
      </c>
      <c r="K1334">
        <f>'[1]Processed Data'!K1334</f>
        <v>0</v>
      </c>
      <c r="L1334">
        <f>'[1]Processed Data'!L1334</f>
        <v>0</v>
      </c>
      <c r="M1334">
        <f>'[1]Processed Data'!M1334</f>
        <v>0</v>
      </c>
      <c r="N1334">
        <f>'[1]Processed Data'!N1334</f>
        <v>0</v>
      </c>
      <c r="O1334">
        <f>'[1]Processed Data'!O1334</f>
        <v>0</v>
      </c>
      <c r="P1334">
        <f>'[1]Processed Data'!P1334</f>
        <v>0</v>
      </c>
      <c r="Q1334">
        <f>'[1]Processed Data'!Q1334</f>
        <v>0</v>
      </c>
    </row>
    <row r="1335" spans="2:17" hidden="1">
      <c r="B1335">
        <f>'[1]Processed Data'!B1335</f>
        <v>2013</v>
      </c>
      <c r="C1335">
        <f>'[1]Processed Data'!C1335</f>
        <v>146</v>
      </c>
      <c r="D1335" t="str">
        <f>'[1]Processed Data'!D1335</f>
        <v>Nick Mullens</v>
      </c>
      <c r="E1335">
        <v>2014</v>
      </c>
      <c r="F1335">
        <f>'[1]Processed Data'!F1335</f>
        <v>0</v>
      </c>
      <c r="G1335">
        <f>'[1]Processed Data'!G1335</f>
        <v>0</v>
      </c>
      <c r="H1335">
        <f>'[1]Processed Data'!H1335</f>
        <v>0</v>
      </c>
      <c r="I1335">
        <f>'[1]Processed Data'!I1335</f>
        <v>0</v>
      </c>
      <c r="J1335">
        <f>'[1]Processed Data'!J1335</f>
        <v>0</v>
      </c>
      <c r="K1335">
        <f>'[1]Processed Data'!K1335</f>
        <v>0</v>
      </c>
      <c r="L1335">
        <f>'[1]Processed Data'!L1335</f>
        <v>0</v>
      </c>
      <c r="M1335">
        <f>'[1]Processed Data'!M1335</f>
        <v>0</v>
      </c>
      <c r="N1335">
        <f>'[1]Processed Data'!N1335</f>
        <v>0</v>
      </c>
      <c r="O1335">
        <f>'[1]Processed Data'!O1335</f>
        <v>0</v>
      </c>
      <c r="P1335">
        <f>'[1]Processed Data'!P1335</f>
        <v>0</v>
      </c>
      <c r="Q1335">
        <f>'[1]Processed Data'!Q1335</f>
        <v>0</v>
      </c>
    </row>
    <row r="1336" spans="2:17" hidden="1">
      <c r="B1336">
        <f>'[1]Processed Data'!B1336</f>
        <v>2013</v>
      </c>
      <c r="C1336">
        <f>'[1]Processed Data'!C1336</f>
        <v>147</v>
      </c>
      <c r="D1336" t="str">
        <f>'[1]Processed Data'!D1336</f>
        <v>P.J. Walker</v>
      </c>
      <c r="E1336">
        <v>2014</v>
      </c>
      <c r="F1336">
        <f>'[1]Processed Data'!F1336</f>
        <v>0</v>
      </c>
      <c r="G1336">
        <f>'[1]Processed Data'!G1336</f>
        <v>0</v>
      </c>
      <c r="H1336">
        <f>'[1]Processed Data'!H1336</f>
        <v>0</v>
      </c>
      <c r="I1336">
        <f>'[1]Processed Data'!I1336</f>
        <v>0</v>
      </c>
      <c r="J1336">
        <f>'[1]Processed Data'!J1336</f>
        <v>0</v>
      </c>
      <c r="K1336">
        <f>'[1]Processed Data'!K1336</f>
        <v>0</v>
      </c>
      <c r="L1336">
        <f>'[1]Processed Data'!L1336</f>
        <v>0</v>
      </c>
      <c r="M1336">
        <f>'[1]Processed Data'!M1336</f>
        <v>0</v>
      </c>
      <c r="N1336">
        <f>'[1]Processed Data'!N1336</f>
        <v>0</v>
      </c>
      <c r="O1336">
        <f>'[1]Processed Data'!O1336</f>
        <v>0</v>
      </c>
      <c r="P1336">
        <f>'[1]Processed Data'!P1336</f>
        <v>0</v>
      </c>
      <c r="Q1336">
        <f>'[1]Processed Data'!Q1336</f>
        <v>0</v>
      </c>
    </row>
    <row r="1337" spans="2:17" hidden="1">
      <c r="B1337">
        <f>'[1]Processed Data'!B1337</f>
        <v>2013</v>
      </c>
      <c r="C1337">
        <f>'[1]Processed Data'!C1337</f>
        <v>148</v>
      </c>
      <c r="D1337" t="str">
        <f>'[1]Processed Data'!D1337</f>
        <v>Jared Goff</v>
      </c>
      <c r="E1337">
        <v>2014</v>
      </c>
      <c r="F1337">
        <f>'[1]Processed Data'!F1337</f>
        <v>0</v>
      </c>
      <c r="G1337">
        <f>'[1]Processed Data'!G1337</f>
        <v>0</v>
      </c>
      <c r="H1337">
        <f>'[1]Processed Data'!H1337</f>
        <v>0</v>
      </c>
      <c r="I1337">
        <f>'[1]Processed Data'!I1337</f>
        <v>0</v>
      </c>
      <c r="J1337">
        <f>'[1]Processed Data'!J1337</f>
        <v>0</v>
      </c>
      <c r="K1337">
        <f>'[1]Processed Data'!K1337</f>
        <v>0</v>
      </c>
      <c r="L1337">
        <f>'[1]Processed Data'!L1337</f>
        <v>0</v>
      </c>
      <c r="M1337">
        <f>'[1]Processed Data'!M1337</f>
        <v>0</v>
      </c>
      <c r="N1337">
        <f>'[1]Processed Data'!N1337</f>
        <v>0</v>
      </c>
      <c r="O1337">
        <f>'[1]Processed Data'!O1337</f>
        <v>0</v>
      </c>
      <c r="P1337">
        <f>'[1]Processed Data'!P1337</f>
        <v>0</v>
      </c>
      <c r="Q1337">
        <f>'[1]Processed Data'!Q1337</f>
        <v>0</v>
      </c>
    </row>
    <row r="1338" spans="2:17" hidden="1">
      <c r="B1338">
        <f>'[1]Processed Data'!B1338</f>
        <v>2013</v>
      </c>
      <c r="C1338">
        <f>'[1]Processed Data'!C1338</f>
        <v>149</v>
      </c>
      <c r="D1338" t="str">
        <f>'[1]Processed Data'!D1338</f>
        <v>Garrett Gilbert</v>
      </c>
      <c r="E1338">
        <v>2014</v>
      </c>
      <c r="F1338">
        <f>'[1]Processed Data'!F1338</f>
        <v>0</v>
      </c>
      <c r="G1338">
        <f>'[1]Processed Data'!G1338</f>
        <v>0</v>
      </c>
      <c r="H1338">
        <f>'[1]Processed Data'!H1338</f>
        <v>0</v>
      </c>
      <c r="I1338">
        <f>'[1]Processed Data'!I1338</f>
        <v>0</v>
      </c>
      <c r="J1338">
        <f>'[1]Processed Data'!J1338</f>
        <v>0</v>
      </c>
      <c r="K1338">
        <f>'[1]Processed Data'!K1338</f>
        <v>0</v>
      </c>
      <c r="L1338">
        <f>'[1]Processed Data'!L1338</f>
        <v>0</v>
      </c>
      <c r="M1338">
        <f>'[1]Processed Data'!M1338</f>
        <v>0</v>
      </c>
      <c r="N1338">
        <f>'[1]Processed Data'!N1338</f>
        <v>0</v>
      </c>
      <c r="O1338">
        <f>'[1]Processed Data'!O1338</f>
        <v>0</v>
      </c>
      <c r="P1338">
        <f>'[1]Processed Data'!P1338</f>
        <v>0</v>
      </c>
      <c r="Q1338">
        <f>'[1]Processed Data'!Q1338</f>
        <v>0</v>
      </c>
    </row>
    <row r="1339" spans="2:17" hidden="1">
      <c r="B1339">
        <f>'[1]Processed Data'!B1339</f>
        <v>2013</v>
      </c>
      <c r="C1339">
        <f>'[1]Processed Data'!C1339</f>
        <v>150</v>
      </c>
      <c r="D1339" t="str">
        <f>'[1]Processed Data'!D1339</f>
        <v>Blake Bortles</v>
      </c>
      <c r="E1339">
        <v>2014</v>
      </c>
      <c r="F1339">
        <f>'[1]Processed Data'!F1339</f>
        <v>0</v>
      </c>
      <c r="G1339">
        <f>'[1]Processed Data'!G1339</f>
        <v>0</v>
      </c>
      <c r="H1339">
        <f>'[1]Processed Data'!H1339</f>
        <v>0</v>
      </c>
      <c r="I1339">
        <f>'[1]Processed Data'!I1339</f>
        <v>0</v>
      </c>
      <c r="J1339">
        <f>'[1]Processed Data'!J1339</f>
        <v>0</v>
      </c>
      <c r="K1339">
        <f>'[1]Processed Data'!K1339</f>
        <v>0</v>
      </c>
      <c r="L1339">
        <f>'[1]Processed Data'!L1339</f>
        <v>0</v>
      </c>
      <c r="M1339">
        <f>'[1]Processed Data'!M1339</f>
        <v>0</v>
      </c>
      <c r="N1339">
        <f>'[1]Processed Data'!N1339</f>
        <v>0</v>
      </c>
      <c r="O1339">
        <f>'[1]Processed Data'!O1339</f>
        <v>0</v>
      </c>
      <c r="P1339">
        <f>'[1]Processed Data'!P1339</f>
        <v>0</v>
      </c>
      <c r="Q1339">
        <f>'[1]Processed Data'!Q1339</f>
        <v>0</v>
      </c>
    </row>
    <row r="1340" spans="2:17" hidden="1">
      <c r="B1340">
        <f>'[1]Processed Data'!B1340</f>
        <v>2013</v>
      </c>
      <c r="C1340">
        <f>'[1]Processed Data'!C1340</f>
        <v>151</v>
      </c>
      <c r="D1340" t="str">
        <f>'[1]Processed Data'!D1340</f>
        <v>Matt McGloin</v>
      </c>
      <c r="E1340">
        <v>2014</v>
      </c>
      <c r="F1340">
        <f>'[1]Processed Data'!F1340</f>
        <v>118</v>
      </c>
      <c r="G1340">
        <f>'[1]Processed Data'!G1340</f>
        <v>211</v>
      </c>
      <c r="H1340">
        <f>'[1]Processed Data'!H1340</f>
        <v>55.9</v>
      </c>
      <c r="I1340">
        <f>'[1]Processed Data'!I1340</f>
        <v>8</v>
      </c>
      <c r="J1340">
        <f>'[1]Processed Data'!J1340</f>
        <v>8</v>
      </c>
      <c r="K1340">
        <f>'[1]Processed Data'!K1340</f>
        <v>6</v>
      </c>
      <c r="L1340">
        <f>'[1]Processed Data'!L1340</f>
        <v>11</v>
      </c>
      <c r="M1340">
        <f>'[1]Processed Data'!M1340</f>
        <v>27</v>
      </c>
      <c r="N1340">
        <f>'[1]Processed Data'!N1340</f>
        <v>0</v>
      </c>
      <c r="O1340">
        <f>'[1]Processed Data'!O1340</f>
        <v>1</v>
      </c>
      <c r="P1340">
        <f>'[1]Processed Data'!P1340</f>
        <v>0</v>
      </c>
      <c r="Q1340">
        <f>'[1]Processed Data'!Q1340</f>
        <v>7</v>
      </c>
    </row>
    <row r="1341" spans="2:17" hidden="1">
      <c r="B1341">
        <f>'[1]Processed Data'!B1341</f>
        <v>2013</v>
      </c>
      <c r="C1341">
        <f>'[1]Processed Data'!C1341</f>
        <v>152</v>
      </c>
      <c r="D1341" t="str">
        <f>'[1]Processed Data'!D1341</f>
        <v>Matt Simms</v>
      </c>
      <c r="E1341">
        <v>2014</v>
      </c>
      <c r="F1341">
        <f>'[1]Processed Data'!F1341</f>
        <v>16</v>
      </c>
      <c r="G1341">
        <f>'[1]Processed Data'!G1341</f>
        <v>31</v>
      </c>
      <c r="H1341">
        <f>'[1]Processed Data'!H1341</f>
        <v>51.6</v>
      </c>
      <c r="I1341">
        <f>'[1]Processed Data'!I1341</f>
        <v>1</v>
      </c>
      <c r="J1341">
        <f>'[1]Processed Data'!J1341</f>
        <v>1</v>
      </c>
      <c r="K1341">
        <f>'[1]Processed Data'!K1341</f>
        <v>4</v>
      </c>
      <c r="L1341">
        <f>'[1]Processed Data'!L1341</f>
        <v>5</v>
      </c>
      <c r="M1341">
        <f>'[1]Processed Data'!M1341</f>
        <v>37</v>
      </c>
      <c r="N1341">
        <f>'[1]Processed Data'!N1341</f>
        <v>0</v>
      </c>
      <c r="O1341">
        <f>'[1]Processed Data'!O1341</f>
        <v>1</v>
      </c>
      <c r="P1341">
        <f>'[1]Processed Data'!P1341</f>
        <v>0</v>
      </c>
      <c r="Q1341">
        <f>'[1]Processed Data'!Q1341</f>
        <v>3</v>
      </c>
    </row>
    <row r="1342" spans="2:17" hidden="1">
      <c r="B1342">
        <f>'[1]Processed Data'!B1342</f>
        <v>2013</v>
      </c>
      <c r="C1342">
        <f>'[1]Processed Data'!C1342</f>
        <v>153</v>
      </c>
      <c r="D1342" t="str">
        <f>'[1]Processed Data'!D1342</f>
        <v>Teddy Bridgewater</v>
      </c>
      <c r="E1342">
        <v>2014</v>
      </c>
      <c r="F1342">
        <f>'[1]Processed Data'!F1342</f>
        <v>0</v>
      </c>
      <c r="G1342">
        <f>'[1]Processed Data'!G1342</f>
        <v>0</v>
      </c>
      <c r="H1342">
        <f>'[1]Processed Data'!H1342</f>
        <v>0</v>
      </c>
      <c r="I1342">
        <f>'[1]Processed Data'!I1342</f>
        <v>0</v>
      </c>
      <c r="J1342">
        <f>'[1]Processed Data'!J1342</f>
        <v>0</v>
      </c>
      <c r="K1342">
        <f>'[1]Processed Data'!K1342</f>
        <v>0</v>
      </c>
      <c r="L1342">
        <f>'[1]Processed Data'!L1342</f>
        <v>0</v>
      </c>
      <c r="M1342">
        <f>'[1]Processed Data'!M1342</f>
        <v>0</v>
      </c>
      <c r="N1342">
        <f>'[1]Processed Data'!N1342</f>
        <v>0</v>
      </c>
      <c r="O1342">
        <f>'[1]Processed Data'!O1342</f>
        <v>0</v>
      </c>
      <c r="P1342">
        <f>'[1]Processed Data'!P1342</f>
        <v>0</v>
      </c>
      <c r="Q1342">
        <f>'[1]Processed Data'!Q1342</f>
        <v>0</v>
      </c>
    </row>
    <row r="1343" spans="2:17" hidden="1">
      <c r="B1343">
        <f>'[1]Processed Data'!B1343</f>
        <v>2013</v>
      </c>
      <c r="C1343">
        <f>'[1]Processed Data'!C1343</f>
        <v>154</v>
      </c>
      <c r="D1343" t="str">
        <f>'[1]Processed Data'!D1343</f>
        <v>AJ McCarron</v>
      </c>
      <c r="E1343">
        <v>2014</v>
      </c>
      <c r="F1343">
        <f>'[1]Processed Data'!F1343</f>
        <v>0</v>
      </c>
      <c r="G1343">
        <f>'[1]Processed Data'!G1343</f>
        <v>0</v>
      </c>
      <c r="H1343">
        <f>'[1]Processed Data'!H1343</f>
        <v>0</v>
      </c>
      <c r="I1343">
        <f>'[1]Processed Data'!I1343</f>
        <v>0</v>
      </c>
      <c r="J1343">
        <f>'[1]Processed Data'!J1343</f>
        <v>0</v>
      </c>
      <c r="K1343">
        <f>'[1]Processed Data'!K1343</f>
        <v>0</v>
      </c>
      <c r="L1343">
        <f>'[1]Processed Data'!L1343</f>
        <v>0</v>
      </c>
      <c r="M1343">
        <f>'[1]Processed Data'!M1343</f>
        <v>0</v>
      </c>
      <c r="N1343">
        <f>'[1]Processed Data'!N1343</f>
        <v>0</v>
      </c>
      <c r="O1343">
        <f>'[1]Processed Data'!O1343</f>
        <v>0</v>
      </c>
      <c r="P1343">
        <f>'[1]Processed Data'!P1343</f>
        <v>0</v>
      </c>
      <c r="Q1343">
        <f>'[1]Processed Data'!Q1343</f>
        <v>0</v>
      </c>
    </row>
    <row r="1344" spans="2:17" hidden="1">
      <c r="B1344">
        <f>'[1]Processed Data'!B1344</f>
        <v>2013</v>
      </c>
      <c r="C1344">
        <f>'[1]Processed Data'!C1344</f>
        <v>155</v>
      </c>
      <c r="D1344" t="str">
        <f>'[1]Processed Data'!D1344</f>
        <v>David Fales</v>
      </c>
      <c r="E1344">
        <v>2014</v>
      </c>
      <c r="F1344">
        <f>'[1]Processed Data'!F1344</f>
        <v>0</v>
      </c>
      <c r="G1344">
        <f>'[1]Processed Data'!G1344</f>
        <v>0</v>
      </c>
      <c r="H1344">
        <f>'[1]Processed Data'!H1344</f>
        <v>0</v>
      </c>
      <c r="I1344">
        <f>'[1]Processed Data'!I1344</f>
        <v>0</v>
      </c>
      <c r="J1344">
        <f>'[1]Processed Data'!J1344</f>
        <v>0</v>
      </c>
      <c r="K1344">
        <f>'[1]Processed Data'!K1344</f>
        <v>0</v>
      </c>
      <c r="L1344">
        <f>'[1]Processed Data'!L1344</f>
        <v>0</v>
      </c>
      <c r="M1344">
        <f>'[1]Processed Data'!M1344</f>
        <v>0</v>
      </c>
      <c r="N1344">
        <f>'[1]Processed Data'!N1344</f>
        <v>0</v>
      </c>
      <c r="O1344">
        <f>'[1]Processed Data'!O1344</f>
        <v>0</v>
      </c>
      <c r="P1344">
        <f>'[1]Processed Data'!P1344</f>
        <v>0</v>
      </c>
      <c r="Q1344">
        <f>'[1]Processed Data'!Q1344</f>
        <v>0</v>
      </c>
    </row>
    <row r="1345" spans="2:17" hidden="1">
      <c r="B1345">
        <f>'[1]Processed Data'!B1345</f>
        <v>2013</v>
      </c>
      <c r="C1345">
        <f>'[1]Processed Data'!C1345</f>
        <v>156</v>
      </c>
      <c r="D1345" t="str">
        <f>'[1]Processed Data'!D1345</f>
        <v>Derek Carr</v>
      </c>
      <c r="E1345">
        <v>2014</v>
      </c>
      <c r="F1345">
        <f>'[1]Processed Data'!F1345</f>
        <v>0</v>
      </c>
      <c r="G1345">
        <f>'[1]Processed Data'!G1345</f>
        <v>0</v>
      </c>
      <c r="H1345">
        <f>'[1]Processed Data'!H1345</f>
        <v>0</v>
      </c>
      <c r="I1345">
        <f>'[1]Processed Data'!I1345</f>
        <v>0</v>
      </c>
      <c r="J1345">
        <f>'[1]Processed Data'!J1345</f>
        <v>0</v>
      </c>
      <c r="K1345">
        <f>'[1]Processed Data'!K1345</f>
        <v>0</v>
      </c>
      <c r="L1345">
        <f>'[1]Processed Data'!L1345</f>
        <v>0</v>
      </c>
      <c r="M1345">
        <f>'[1]Processed Data'!M1345</f>
        <v>0</v>
      </c>
      <c r="N1345">
        <f>'[1]Processed Data'!N1345</f>
        <v>0</v>
      </c>
      <c r="O1345">
        <f>'[1]Processed Data'!O1345</f>
        <v>0</v>
      </c>
      <c r="P1345">
        <f>'[1]Processed Data'!P1345</f>
        <v>0</v>
      </c>
      <c r="Q1345">
        <f>'[1]Processed Data'!Q1345</f>
        <v>0</v>
      </c>
    </row>
    <row r="1346" spans="2:17" hidden="1">
      <c r="B1346">
        <f>'[1]Processed Data'!B1346</f>
        <v>2013</v>
      </c>
      <c r="C1346">
        <f>'[1]Processed Data'!C1346</f>
        <v>157</v>
      </c>
      <c r="D1346" t="str">
        <f>'[1]Processed Data'!D1346</f>
        <v>Jimmy Garoppolo</v>
      </c>
      <c r="E1346">
        <v>2014</v>
      </c>
      <c r="F1346">
        <f>'[1]Processed Data'!F1346</f>
        <v>0</v>
      </c>
      <c r="G1346">
        <f>'[1]Processed Data'!G1346</f>
        <v>0</v>
      </c>
      <c r="H1346">
        <f>'[1]Processed Data'!H1346</f>
        <v>0</v>
      </c>
      <c r="I1346">
        <f>'[1]Processed Data'!I1346</f>
        <v>0</v>
      </c>
      <c r="J1346">
        <f>'[1]Processed Data'!J1346</f>
        <v>0</v>
      </c>
      <c r="K1346">
        <f>'[1]Processed Data'!K1346</f>
        <v>0</v>
      </c>
      <c r="L1346">
        <f>'[1]Processed Data'!L1346</f>
        <v>0</v>
      </c>
      <c r="M1346">
        <f>'[1]Processed Data'!M1346</f>
        <v>0</v>
      </c>
      <c r="N1346">
        <f>'[1]Processed Data'!N1346</f>
        <v>0</v>
      </c>
      <c r="O1346">
        <f>'[1]Processed Data'!O1346</f>
        <v>0</v>
      </c>
      <c r="P1346">
        <f>'[1]Processed Data'!P1346</f>
        <v>0</v>
      </c>
      <c r="Q1346">
        <f>'[1]Processed Data'!Q1346</f>
        <v>0</v>
      </c>
    </row>
    <row r="1347" spans="2:17" hidden="1">
      <c r="B1347">
        <f>'[1]Processed Data'!B1347</f>
        <v>2013</v>
      </c>
      <c r="C1347">
        <f>'[1]Processed Data'!C1347</f>
        <v>158</v>
      </c>
      <c r="D1347" t="str">
        <f>'[1]Processed Data'!D1347</f>
        <v>Brett Smith</v>
      </c>
      <c r="E1347">
        <v>2014</v>
      </c>
      <c r="F1347">
        <f>'[1]Processed Data'!F1347</f>
        <v>0</v>
      </c>
      <c r="G1347">
        <f>'[1]Processed Data'!G1347</f>
        <v>0</v>
      </c>
      <c r="H1347">
        <f>'[1]Processed Data'!H1347</f>
        <v>0</v>
      </c>
      <c r="I1347">
        <f>'[1]Processed Data'!I1347</f>
        <v>0</v>
      </c>
      <c r="J1347">
        <f>'[1]Processed Data'!J1347</f>
        <v>0</v>
      </c>
      <c r="K1347">
        <f>'[1]Processed Data'!K1347</f>
        <v>0</v>
      </c>
      <c r="L1347">
        <f>'[1]Processed Data'!L1347</f>
        <v>0</v>
      </c>
      <c r="M1347">
        <f>'[1]Processed Data'!M1347</f>
        <v>0</v>
      </c>
      <c r="N1347">
        <f>'[1]Processed Data'!N1347</f>
        <v>0</v>
      </c>
      <c r="O1347">
        <f>'[1]Processed Data'!O1347</f>
        <v>0</v>
      </c>
      <c r="P1347">
        <f>'[1]Processed Data'!P1347</f>
        <v>0</v>
      </c>
      <c r="Q1347">
        <f>'[1]Processed Data'!Q1347</f>
        <v>0</v>
      </c>
    </row>
    <row r="1348" spans="2:17" hidden="1">
      <c r="B1348">
        <f>'[1]Processed Data'!B1348</f>
        <v>2013</v>
      </c>
      <c r="C1348">
        <f>'[1]Processed Data'!C1348</f>
        <v>159</v>
      </c>
      <c r="D1348" t="str">
        <f>'[1]Processed Data'!D1348</f>
        <v>Trevor Siemian</v>
      </c>
      <c r="E1348">
        <v>2014</v>
      </c>
      <c r="F1348">
        <f>'[1]Processed Data'!F1348</f>
        <v>0</v>
      </c>
      <c r="G1348">
        <f>'[1]Processed Data'!G1348</f>
        <v>0</v>
      </c>
      <c r="H1348">
        <f>'[1]Processed Data'!H1348</f>
        <v>0</v>
      </c>
      <c r="I1348">
        <f>'[1]Processed Data'!I1348</f>
        <v>0</v>
      </c>
      <c r="J1348">
        <f>'[1]Processed Data'!J1348</f>
        <v>0</v>
      </c>
      <c r="K1348">
        <f>'[1]Processed Data'!K1348</f>
        <v>0</v>
      </c>
      <c r="L1348">
        <f>'[1]Processed Data'!L1348</f>
        <v>0</v>
      </c>
      <c r="M1348">
        <f>'[1]Processed Data'!M1348</f>
        <v>0</v>
      </c>
      <c r="N1348">
        <f>'[1]Processed Data'!N1348</f>
        <v>0</v>
      </c>
      <c r="O1348">
        <f>'[1]Processed Data'!O1348</f>
        <v>0</v>
      </c>
      <c r="P1348">
        <f>'[1]Processed Data'!P1348</f>
        <v>0</v>
      </c>
      <c r="Q1348">
        <f>'[1]Processed Data'!Q1348</f>
        <v>0</v>
      </c>
    </row>
    <row r="1349" spans="2:17" hidden="1">
      <c r="B1349">
        <f>'[1]Processed Data'!B1349</f>
        <v>2013</v>
      </c>
      <c r="C1349">
        <f>'[1]Processed Data'!C1349</f>
        <v>160</v>
      </c>
      <c r="D1349" t="str">
        <f>'[1]Processed Data'!D1349</f>
        <v>Marcus Mariota</v>
      </c>
      <c r="E1349">
        <v>2014</v>
      </c>
      <c r="F1349">
        <f>'[1]Processed Data'!F1349</f>
        <v>0</v>
      </c>
      <c r="G1349">
        <f>'[1]Processed Data'!G1349</f>
        <v>0</v>
      </c>
      <c r="H1349">
        <f>'[1]Processed Data'!H1349</f>
        <v>0</v>
      </c>
      <c r="I1349">
        <f>'[1]Processed Data'!I1349</f>
        <v>0</v>
      </c>
      <c r="J1349">
        <f>'[1]Processed Data'!J1349</f>
        <v>0</v>
      </c>
      <c r="K1349">
        <f>'[1]Processed Data'!K1349</f>
        <v>0</v>
      </c>
      <c r="L1349">
        <f>'[1]Processed Data'!L1349</f>
        <v>0</v>
      </c>
      <c r="M1349">
        <f>'[1]Processed Data'!M1349</f>
        <v>0</v>
      </c>
      <c r="N1349">
        <f>'[1]Processed Data'!N1349</f>
        <v>0</v>
      </c>
      <c r="O1349">
        <f>'[1]Processed Data'!O1349</f>
        <v>0</v>
      </c>
      <c r="P1349">
        <f>'[1]Processed Data'!P1349</f>
        <v>0</v>
      </c>
      <c r="Q1349">
        <f>'[1]Processed Data'!Q1349</f>
        <v>0</v>
      </c>
    </row>
    <row r="1350" spans="2:17" hidden="1">
      <c r="B1350">
        <f>'[1]Processed Data'!B1350</f>
        <v>2013</v>
      </c>
      <c r="C1350">
        <f>'[1]Processed Data'!C1350</f>
        <v>161</v>
      </c>
      <c r="D1350" t="str">
        <f>'[1]Processed Data'!D1350</f>
        <v>Jameis Winston</v>
      </c>
      <c r="E1350">
        <v>2014</v>
      </c>
      <c r="F1350">
        <f>'[1]Processed Data'!F1350</f>
        <v>0</v>
      </c>
      <c r="G1350">
        <f>'[1]Processed Data'!G1350</f>
        <v>0</v>
      </c>
      <c r="H1350">
        <f>'[1]Processed Data'!H1350</f>
        <v>0</v>
      </c>
      <c r="I1350">
        <f>'[1]Processed Data'!I1350</f>
        <v>0</v>
      </c>
      <c r="J1350">
        <f>'[1]Processed Data'!J1350</f>
        <v>0</v>
      </c>
      <c r="K1350">
        <f>'[1]Processed Data'!K1350</f>
        <v>0</v>
      </c>
      <c r="L1350">
        <f>'[1]Processed Data'!L1350</f>
        <v>0</v>
      </c>
      <c r="M1350">
        <f>'[1]Processed Data'!M1350</f>
        <v>0</v>
      </c>
      <c r="N1350">
        <f>'[1]Processed Data'!N1350</f>
        <v>0</v>
      </c>
      <c r="O1350">
        <f>'[1]Processed Data'!O1350</f>
        <v>0</v>
      </c>
      <c r="P1350">
        <f>'[1]Processed Data'!P1350</f>
        <v>0</v>
      </c>
      <c r="Q1350">
        <f>'[1]Processed Data'!Q1350</f>
        <v>0</v>
      </c>
    </row>
    <row r="1351" spans="2:17" hidden="1">
      <c r="B1351">
        <f>'[1]Processed Data'!B1351</f>
        <v>2013</v>
      </c>
      <c r="C1351">
        <f>'[1]Processed Data'!C1351</f>
        <v>162</v>
      </c>
      <c r="D1351" t="str">
        <f>'[1]Processed Data'!D1351</f>
        <v>Sean Mannion</v>
      </c>
      <c r="E1351">
        <v>2014</v>
      </c>
      <c r="F1351">
        <f>'[1]Processed Data'!F1351</f>
        <v>0</v>
      </c>
      <c r="G1351">
        <f>'[1]Processed Data'!G1351</f>
        <v>0</v>
      </c>
      <c r="H1351">
        <f>'[1]Processed Data'!H1351</f>
        <v>0</v>
      </c>
      <c r="I1351">
        <f>'[1]Processed Data'!I1351</f>
        <v>0</v>
      </c>
      <c r="J1351">
        <f>'[1]Processed Data'!J1351</f>
        <v>0</v>
      </c>
      <c r="K1351">
        <f>'[1]Processed Data'!K1351</f>
        <v>0</v>
      </c>
      <c r="L1351">
        <f>'[1]Processed Data'!L1351</f>
        <v>0</v>
      </c>
      <c r="M1351">
        <f>'[1]Processed Data'!M1351</f>
        <v>0</v>
      </c>
      <c r="N1351">
        <f>'[1]Processed Data'!N1351</f>
        <v>0</v>
      </c>
      <c r="O1351">
        <f>'[1]Processed Data'!O1351</f>
        <v>0</v>
      </c>
      <c r="P1351">
        <f>'[1]Processed Data'!P1351</f>
        <v>0</v>
      </c>
      <c r="Q1351">
        <f>'[1]Processed Data'!Q1351</f>
        <v>0</v>
      </c>
    </row>
    <row r="1352" spans="2:17" hidden="1">
      <c r="B1352">
        <f>'[1]Processed Data'!B1352</f>
        <v>2013</v>
      </c>
      <c r="C1352">
        <f>'[1]Processed Data'!C1352</f>
        <v>163</v>
      </c>
      <c r="D1352" t="str">
        <f>'[1]Processed Data'!D1352</f>
        <v>Taylor Heinicke</v>
      </c>
      <c r="E1352">
        <v>2014</v>
      </c>
      <c r="F1352">
        <f>'[1]Processed Data'!F1352</f>
        <v>0</v>
      </c>
      <c r="G1352">
        <f>'[1]Processed Data'!G1352</f>
        <v>0</v>
      </c>
      <c r="H1352">
        <f>'[1]Processed Data'!H1352</f>
        <v>0</v>
      </c>
      <c r="I1352">
        <f>'[1]Processed Data'!I1352</f>
        <v>0</v>
      </c>
      <c r="J1352">
        <f>'[1]Processed Data'!J1352</f>
        <v>0</v>
      </c>
      <c r="K1352">
        <f>'[1]Processed Data'!K1352</f>
        <v>0</v>
      </c>
      <c r="L1352">
        <f>'[1]Processed Data'!L1352</f>
        <v>0</v>
      </c>
      <c r="M1352">
        <f>'[1]Processed Data'!M1352</f>
        <v>0</v>
      </c>
      <c r="N1352">
        <f>'[1]Processed Data'!N1352</f>
        <v>0</v>
      </c>
      <c r="O1352">
        <f>'[1]Processed Data'!O1352</f>
        <v>0</v>
      </c>
      <c r="P1352">
        <f>'[1]Processed Data'!P1352</f>
        <v>0</v>
      </c>
      <c r="Q1352">
        <f>'[1]Processed Data'!Q1352</f>
        <v>0</v>
      </c>
    </row>
    <row r="1353" spans="2:17" hidden="1">
      <c r="B1353">
        <f>'[1]Processed Data'!B1353</f>
        <v>2013</v>
      </c>
      <c r="C1353">
        <f>'[1]Processed Data'!C1353</f>
        <v>164</v>
      </c>
      <c r="D1353" t="str">
        <f>'[1]Processed Data'!D1353</f>
        <v>Colt McCoy</v>
      </c>
      <c r="E1353">
        <v>2014</v>
      </c>
      <c r="F1353">
        <f>'[1]Processed Data'!F1353</f>
        <v>1</v>
      </c>
      <c r="G1353">
        <f>'[1]Processed Data'!G1353</f>
        <v>1</v>
      </c>
      <c r="H1353">
        <f>'[1]Processed Data'!H1353</f>
        <v>100</v>
      </c>
      <c r="I1353">
        <f>'[1]Processed Data'!I1353</f>
        <v>0</v>
      </c>
      <c r="J1353">
        <f>'[1]Processed Data'!J1353</f>
        <v>0</v>
      </c>
      <c r="K1353">
        <f>'[1]Processed Data'!K1353</f>
        <v>0</v>
      </c>
      <c r="L1353">
        <f>'[1]Processed Data'!L1353</f>
        <v>6</v>
      </c>
      <c r="M1353">
        <f>'[1]Processed Data'!M1353</f>
        <v>-6</v>
      </c>
      <c r="N1353">
        <f>'[1]Processed Data'!N1353</f>
        <v>0</v>
      </c>
      <c r="O1353">
        <f>'[1]Processed Data'!O1353</f>
        <v>0</v>
      </c>
      <c r="P1353">
        <f>'[1]Processed Data'!P1353</f>
        <v>-0.1</v>
      </c>
      <c r="Q1353">
        <f>'[1]Processed Data'!Q1353</f>
        <v>4</v>
      </c>
    </row>
    <row r="1354" spans="2:17" hidden="1">
      <c r="B1354">
        <f>'[1]Processed Data'!B1354</f>
        <v>2013</v>
      </c>
      <c r="C1354">
        <f>'[1]Processed Data'!C1354</f>
        <v>165</v>
      </c>
      <c r="D1354" t="str">
        <f>'[1]Processed Data'!D1354</f>
        <v>Luke McCown</v>
      </c>
      <c r="E1354">
        <v>2014</v>
      </c>
      <c r="F1354">
        <f>'[1]Processed Data'!F1354</f>
        <v>0</v>
      </c>
      <c r="G1354">
        <f>'[1]Processed Data'!G1354</f>
        <v>1</v>
      </c>
      <c r="H1354">
        <f>'[1]Processed Data'!H1354</f>
        <v>0</v>
      </c>
      <c r="I1354">
        <f>'[1]Processed Data'!I1354</f>
        <v>0</v>
      </c>
      <c r="J1354">
        <f>'[1]Processed Data'!J1354</f>
        <v>0</v>
      </c>
      <c r="K1354">
        <f>'[1]Processed Data'!K1354</f>
        <v>0</v>
      </c>
      <c r="L1354">
        <f>'[1]Processed Data'!L1354</f>
        <v>3</v>
      </c>
      <c r="M1354">
        <f>'[1]Processed Data'!M1354</f>
        <v>-4</v>
      </c>
      <c r="N1354">
        <f>'[1]Processed Data'!N1354</f>
        <v>0</v>
      </c>
      <c r="O1354">
        <f>'[1]Processed Data'!O1354</f>
        <v>0</v>
      </c>
      <c r="P1354">
        <f>'[1]Processed Data'!P1354</f>
        <v>-0.4</v>
      </c>
      <c r="Q1354">
        <f>'[1]Processed Data'!Q1354</f>
        <v>16</v>
      </c>
    </row>
    <row r="1355" spans="2:17" hidden="1">
      <c r="B1355">
        <f>'[1]Processed Data'!B1355</f>
        <v>2013</v>
      </c>
      <c r="C1355">
        <f>'[1]Processed Data'!C1355</f>
        <v>166</v>
      </c>
      <c r="D1355" t="str">
        <f>'[1]Processed Data'!D1355</f>
        <v>Matt Moore</v>
      </c>
      <c r="E1355">
        <v>2014</v>
      </c>
      <c r="F1355">
        <f>'[1]Processed Data'!F1355</f>
        <v>2</v>
      </c>
      <c r="G1355">
        <f>'[1]Processed Data'!G1355</f>
        <v>6</v>
      </c>
      <c r="H1355">
        <f>'[1]Processed Data'!H1355</f>
        <v>33.299999999999997</v>
      </c>
      <c r="I1355">
        <f>'[1]Processed Data'!I1355</f>
        <v>0</v>
      </c>
      <c r="J1355">
        <f>'[1]Processed Data'!J1355</f>
        <v>2</v>
      </c>
      <c r="K1355">
        <f>'[1]Processed Data'!K1355</f>
        <v>0</v>
      </c>
      <c r="L1355">
        <f>'[1]Processed Data'!L1355</f>
        <v>0</v>
      </c>
      <c r="M1355">
        <f>'[1]Processed Data'!M1355</f>
        <v>0</v>
      </c>
      <c r="N1355">
        <f>'[1]Processed Data'!N1355</f>
        <v>0</v>
      </c>
      <c r="O1355">
        <f>'[1]Processed Data'!O1355</f>
        <v>0</v>
      </c>
      <c r="P1355">
        <f>'[1]Processed Data'!P1355</f>
        <v>-1.9</v>
      </c>
      <c r="Q1355">
        <f>'[1]Processed Data'!Q1355</f>
        <v>1</v>
      </c>
    </row>
    <row r="1356" spans="2:17" hidden="1">
      <c r="B1356">
        <f>'[1]Processed Data'!B1356</f>
        <v>2012</v>
      </c>
      <c r="C1356">
        <f>'[1]Processed Data'!C1356</f>
        <v>1</v>
      </c>
      <c r="D1356" t="str">
        <f>'[1]Processed Data'!D1356</f>
        <v>Drew Brees</v>
      </c>
      <c r="E1356">
        <v>2014</v>
      </c>
      <c r="F1356">
        <f>'[1]Processed Data'!F1356</f>
        <v>422</v>
      </c>
      <c r="G1356">
        <f>'[1]Processed Data'!G1356</f>
        <v>670</v>
      </c>
      <c r="H1356">
        <f>'[1]Processed Data'!H1356</f>
        <v>63</v>
      </c>
      <c r="I1356">
        <f>'[1]Processed Data'!I1356</f>
        <v>43</v>
      </c>
      <c r="J1356">
        <f>'[1]Processed Data'!J1356</f>
        <v>19</v>
      </c>
      <c r="K1356">
        <f>'[1]Processed Data'!K1356</f>
        <v>26</v>
      </c>
      <c r="L1356">
        <f>'[1]Processed Data'!L1356</f>
        <v>15</v>
      </c>
      <c r="M1356">
        <f>'[1]Processed Data'!M1356</f>
        <v>5</v>
      </c>
      <c r="N1356">
        <f>'[1]Processed Data'!N1356</f>
        <v>1</v>
      </c>
      <c r="O1356">
        <f>'[1]Processed Data'!O1356</f>
        <v>1</v>
      </c>
      <c r="P1356">
        <f>'[1]Processed Data'!P1356</f>
        <v>345.6</v>
      </c>
      <c r="Q1356">
        <f>'[1]Processed Data'!Q1356</f>
        <v>16</v>
      </c>
    </row>
    <row r="1357" spans="2:17" hidden="1">
      <c r="B1357">
        <f>'[1]Processed Data'!B1357</f>
        <v>2012</v>
      </c>
      <c r="C1357">
        <f>'[1]Processed Data'!C1357</f>
        <v>2</v>
      </c>
      <c r="D1357" t="str">
        <f>'[1]Processed Data'!D1357</f>
        <v>Aaron Rodgers</v>
      </c>
      <c r="E1357">
        <v>2014</v>
      </c>
      <c r="F1357">
        <f>'[1]Processed Data'!F1357</f>
        <v>371</v>
      </c>
      <c r="G1357">
        <f>'[1]Processed Data'!G1357</f>
        <v>552</v>
      </c>
      <c r="H1357">
        <f>'[1]Processed Data'!H1357</f>
        <v>67.2</v>
      </c>
      <c r="I1357">
        <f>'[1]Processed Data'!I1357</f>
        <v>39</v>
      </c>
      <c r="J1357">
        <f>'[1]Processed Data'!J1357</f>
        <v>8</v>
      </c>
      <c r="K1357">
        <f>'[1]Processed Data'!K1357</f>
        <v>51</v>
      </c>
      <c r="L1357">
        <f>'[1]Processed Data'!L1357</f>
        <v>54</v>
      </c>
      <c r="M1357">
        <f>'[1]Processed Data'!M1357</f>
        <v>259</v>
      </c>
      <c r="N1357">
        <f>'[1]Processed Data'!N1357</f>
        <v>2</v>
      </c>
      <c r="O1357">
        <f>'[1]Processed Data'!O1357</f>
        <v>4</v>
      </c>
      <c r="P1357">
        <f>'[1]Processed Data'!P1357</f>
        <v>344</v>
      </c>
      <c r="Q1357">
        <f>'[1]Processed Data'!Q1357</f>
        <v>16</v>
      </c>
    </row>
    <row r="1358" spans="2:17" hidden="1">
      <c r="B1358">
        <f>'[1]Processed Data'!B1358</f>
        <v>2012</v>
      </c>
      <c r="C1358">
        <f>'[1]Processed Data'!C1358</f>
        <v>3</v>
      </c>
      <c r="D1358" t="str">
        <f>'[1]Processed Data'!D1358</f>
        <v>Tom Brady</v>
      </c>
      <c r="E1358">
        <v>2014</v>
      </c>
      <c r="F1358">
        <f>'[1]Processed Data'!F1358</f>
        <v>401</v>
      </c>
      <c r="G1358">
        <f>'[1]Processed Data'!G1358</f>
        <v>637</v>
      </c>
      <c r="H1358">
        <f>'[1]Processed Data'!H1358</f>
        <v>63</v>
      </c>
      <c r="I1358">
        <f>'[1]Processed Data'!I1358</f>
        <v>34</v>
      </c>
      <c r="J1358">
        <f>'[1]Processed Data'!J1358</f>
        <v>8</v>
      </c>
      <c r="K1358">
        <f>'[1]Processed Data'!K1358</f>
        <v>27</v>
      </c>
      <c r="L1358">
        <f>'[1]Processed Data'!L1358</f>
        <v>23</v>
      </c>
      <c r="M1358">
        <f>'[1]Processed Data'!M1358</f>
        <v>32</v>
      </c>
      <c r="N1358">
        <f>'[1]Processed Data'!N1358</f>
        <v>4</v>
      </c>
      <c r="O1358">
        <f>'[1]Processed Data'!O1358</f>
        <v>0</v>
      </c>
      <c r="P1358">
        <f>'[1]Processed Data'!P1358</f>
        <v>340.2</v>
      </c>
      <c r="Q1358">
        <f>'[1]Processed Data'!Q1358</f>
        <v>16</v>
      </c>
    </row>
    <row r="1359" spans="2:17" hidden="1">
      <c r="B1359">
        <f>'[1]Processed Data'!B1359</f>
        <v>2012</v>
      </c>
      <c r="C1359">
        <f>'[1]Processed Data'!C1359</f>
        <v>4</v>
      </c>
      <c r="D1359" t="str">
        <f>'[1]Processed Data'!D1359</f>
        <v>Cam Newton</v>
      </c>
      <c r="E1359">
        <v>2014</v>
      </c>
      <c r="F1359">
        <f>'[1]Processed Data'!F1359</f>
        <v>280</v>
      </c>
      <c r="G1359">
        <f>'[1]Processed Data'!G1359</f>
        <v>485</v>
      </c>
      <c r="H1359">
        <f>'[1]Processed Data'!H1359</f>
        <v>57.7</v>
      </c>
      <c r="I1359">
        <f>'[1]Processed Data'!I1359</f>
        <v>19</v>
      </c>
      <c r="J1359">
        <f>'[1]Processed Data'!J1359</f>
        <v>12</v>
      </c>
      <c r="K1359">
        <f>'[1]Processed Data'!K1359</f>
        <v>36</v>
      </c>
      <c r="L1359">
        <f>'[1]Processed Data'!L1359</f>
        <v>127</v>
      </c>
      <c r="M1359">
        <f>'[1]Processed Data'!M1359</f>
        <v>741</v>
      </c>
      <c r="N1359">
        <f>'[1]Processed Data'!N1359</f>
        <v>8</v>
      </c>
      <c r="O1359">
        <f>'[1]Processed Data'!O1359</f>
        <v>3</v>
      </c>
      <c r="P1359">
        <f>'[1]Processed Data'!P1359</f>
        <v>323.3</v>
      </c>
      <c r="Q1359">
        <f>'[1]Processed Data'!Q1359</f>
        <v>16</v>
      </c>
    </row>
    <row r="1360" spans="2:17" hidden="1">
      <c r="B1360">
        <f>'[1]Processed Data'!B1360</f>
        <v>2012</v>
      </c>
      <c r="C1360">
        <f>'[1]Processed Data'!C1360</f>
        <v>5</v>
      </c>
      <c r="D1360" t="str">
        <f>'[1]Processed Data'!D1360</f>
        <v>Robert Griffin III</v>
      </c>
      <c r="E1360">
        <v>2014</v>
      </c>
      <c r="F1360">
        <f>'[1]Processed Data'!F1360</f>
        <v>258</v>
      </c>
      <c r="G1360">
        <f>'[1]Processed Data'!G1360</f>
        <v>393</v>
      </c>
      <c r="H1360">
        <f>'[1]Processed Data'!H1360</f>
        <v>65.599999999999994</v>
      </c>
      <c r="I1360">
        <f>'[1]Processed Data'!I1360</f>
        <v>20</v>
      </c>
      <c r="J1360">
        <f>'[1]Processed Data'!J1360</f>
        <v>5</v>
      </c>
      <c r="K1360">
        <f>'[1]Processed Data'!K1360</f>
        <v>30</v>
      </c>
      <c r="L1360">
        <f>'[1]Processed Data'!L1360</f>
        <v>120</v>
      </c>
      <c r="M1360">
        <f>'[1]Processed Data'!M1360</f>
        <v>815</v>
      </c>
      <c r="N1360">
        <f>'[1]Processed Data'!N1360</f>
        <v>7</v>
      </c>
      <c r="O1360">
        <f>'[1]Processed Data'!O1360</f>
        <v>2</v>
      </c>
      <c r="P1360">
        <f>'[1]Processed Data'!P1360</f>
        <v>317.39999999999998</v>
      </c>
      <c r="Q1360">
        <f>'[1]Processed Data'!Q1360</f>
        <v>15</v>
      </c>
    </row>
    <row r="1361" spans="2:17" hidden="1">
      <c r="B1361">
        <f>'[1]Processed Data'!B1361</f>
        <v>2012</v>
      </c>
      <c r="C1361">
        <f>'[1]Processed Data'!C1361</f>
        <v>6</v>
      </c>
      <c r="D1361" t="str">
        <f>'[1]Processed Data'!D1361</f>
        <v>Matt Ryan</v>
      </c>
      <c r="E1361">
        <v>2014</v>
      </c>
      <c r="F1361">
        <f>'[1]Processed Data'!F1361</f>
        <v>422</v>
      </c>
      <c r="G1361">
        <f>'[1]Processed Data'!G1361</f>
        <v>615</v>
      </c>
      <c r="H1361">
        <f>'[1]Processed Data'!H1361</f>
        <v>68.599999999999994</v>
      </c>
      <c r="I1361">
        <f>'[1]Processed Data'!I1361</f>
        <v>32</v>
      </c>
      <c r="J1361">
        <f>'[1]Processed Data'!J1361</f>
        <v>14</v>
      </c>
      <c r="K1361">
        <f>'[1]Processed Data'!K1361</f>
        <v>28</v>
      </c>
      <c r="L1361">
        <f>'[1]Processed Data'!L1361</f>
        <v>34</v>
      </c>
      <c r="M1361">
        <f>'[1]Processed Data'!M1361</f>
        <v>141</v>
      </c>
      <c r="N1361">
        <f>'[1]Processed Data'!N1361</f>
        <v>1</v>
      </c>
      <c r="O1361">
        <f>'[1]Processed Data'!O1361</f>
        <v>2</v>
      </c>
      <c r="P1361">
        <f>'[1]Processed Data'!P1361</f>
        <v>305</v>
      </c>
      <c r="Q1361">
        <f>'[1]Processed Data'!Q1361</f>
        <v>16</v>
      </c>
    </row>
    <row r="1362" spans="2:17" hidden="1">
      <c r="B1362">
        <f>'[1]Processed Data'!B1362</f>
        <v>2012</v>
      </c>
      <c r="C1362">
        <f>'[1]Processed Data'!C1362</f>
        <v>7</v>
      </c>
      <c r="D1362" t="str">
        <f>'[1]Processed Data'!D1362</f>
        <v>Matthew Stafford</v>
      </c>
      <c r="E1362">
        <v>2014</v>
      </c>
      <c r="F1362">
        <f>'[1]Processed Data'!F1362</f>
        <v>435</v>
      </c>
      <c r="G1362">
        <f>'[1]Processed Data'!G1362</f>
        <v>727</v>
      </c>
      <c r="H1362">
        <f>'[1]Processed Data'!H1362</f>
        <v>59.8</v>
      </c>
      <c r="I1362">
        <f>'[1]Processed Data'!I1362</f>
        <v>20</v>
      </c>
      <c r="J1362">
        <f>'[1]Processed Data'!J1362</f>
        <v>17</v>
      </c>
      <c r="K1362">
        <f>'[1]Processed Data'!K1362</f>
        <v>29</v>
      </c>
      <c r="L1362">
        <f>'[1]Processed Data'!L1362</f>
        <v>35</v>
      </c>
      <c r="M1362">
        <f>'[1]Processed Data'!M1362</f>
        <v>126</v>
      </c>
      <c r="N1362">
        <f>'[1]Processed Data'!N1362</f>
        <v>4</v>
      </c>
      <c r="O1362">
        <f>'[1]Processed Data'!O1362</f>
        <v>4</v>
      </c>
      <c r="P1362">
        <f>'[1]Processed Data'!P1362</f>
        <v>276</v>
      </c>
      <c r="Q1362">
        <f>'[1]Processed Data'!Q1362</f>
        <v>16</v>
      </c>
    </row>
    <row r="1363" spans="2:17" hidden="1">
      <c r="B1363">
        <f>'[1]Processed Data'!B1363</f>
        <v>2012</v>
      </c>
      <c r="C1363">
        <f>'[1]Processed Data'!C1363</f>
        <v>8</v>
      </c>
      <c r="D1363" t="str">
        <f>'[1]Processed Data'!D1363</f>
        <v>Russell Wilson</v>
      </c>
      <c r="E1363">
        <v>2014</v>
      </c>
      <c r="F1363">
        <f>'[1]Processed Data'!F1363</f>
        <v>252</v>
      </c>
      <c r="G1363">
        <f>'[1]Processed Data'!G1363</f>
        <v>393</v>
      </c>
      <c r="H1363">
        <f>'[1]Processed Data'!H1363</f>
        <v>64.099999999999994</v>
      </c>
      <c r="I1363">
        <f>'[1]Processed Data'!I1363</f>
        <v>26</v>
      </c>
      <c r="J1363">
        <f>'[1]Processed Data'!J1363</f>
        <v>10</v>
      </c>
      <c r="K1363">
        <f>'[1]Processed Data'!K1363</f>
        <v>33</v>
      </c>
      <c r="L1363">
        <f>'[1]Processed Data'!L1363</f>
        <v>94</v>
      </c>
      <c r="M1363">
        <f>'[1]Processed Data'!M1363</f>
        <v>489</v>
      </c>
      <c r="N1363">
        <f>'[1]Processed Data'!N1363</f>
        <v>4</v>
      </c>
      <c r="O1363">
        <f>'[1]Processed Data'!O1363</f>
        <v>3</v>
      </c>
      <c r="P1363">
        <f>'[1]Processed Data'!P1363</f>
        <v>275.39999999999998</v>
      </c>
      <c r="Q1363">
        <f>'[1]Processed Data'!Q1363</f>
        <v>16</v>
      </c>
    </row>
    <row r="1364" spans="2:17" hidden="1">
      <c r="B1364">
        <f>'[1]Processed Data'!B1364</f>
        <v>2012</v>
      </c>
      <c r="C1364">
        <f>'[1]Processed Data'!C1364</f>
        <v>9</v>
      </c>
      <c r="D1364" t="str">
        <f>'[1]Processed Data'!D1364</f>
        <v>Andy Dalton</v>
      </c>
      <c r="E1364">
        <v>2014</v>
      </c>
      <c r="F1364">
        <f>'[1]Processed Data'!F1364</f>
        <v>329</v>
      </c>
      <c r="G1364">
        <f>'[1]Processed Data'!G1364</f>
        <v>528</v>
      </c>
      <c r="H1364">
        <f>'[1]Processed Data'!H1364</f>
        <v>62.3</v>
      </c>
      <c r="I1364">
        <f>'[1]Processed Data'!I1364</f>
        <v>27</v>
      </c>
      <c r="J1364">
        <f>'[1]Processed Data'!J1364</f>
        <v>16</v>
      </c>
      <c r="K1364">
        <f>'[1]Processed Data'!K1364</f>
        <v>46</v>
      </c>
      <c r="L1364">
        <f>'[1]Processed Data'!L1364</f>
        <v>47</v>
      </c>
      <c r="M1364">
        <f>'[1]Processed Data'!M1364</f>
        <v>120</v>
      </c>
      <c r="N1364">
        <f>'[1]Processed Data'!N1364</f>
        <v>4</v>
      </c>
      <c r="O1364">
        <f>'[1]Processed Data'!O1364</f>
        <v>4</v>
      </c>
      <c r="P1364">
        <f>'[1]Processed Data'!P1364</f>
        <v>250.7</v>
      </c>
      <c r="Q1364">
        <f>'[1]Processed Data'!Q1364</f>
        <v>16</v>
      </c>
    </row>
    <row r="1365" spans="2:17" hidden="1">
      <c r="B1365">
        <f>'[1]Processed Data'!B1365</f>
        <v>2012</v>
      </c>
      <c r="C1365">
        <f>'[1]Processed Data'!C1365</f>
        <v>10</v>
      </c>
      <c r="D1365" t="str">
        <f>'[1]Processed Data'!D1365</f>
        <v>Joe Flacco</v>
      </c>
      <c r="E1365">
        <v>2014</v>
      </c>
      <c r="F1365">
        <f>'[1]Processed Data'!F1365</f>
        <v>317</v>
      </c>
      <c r="G1365">
        <f>'[1]Processed Data'!G1365</f>
        <v>531</v>
      </c>
      <c r="H1365">
        <f>'[1]Processed Data'!H1365</f>
        <v>59.7</v>
      </c>
      <c r="I1365">
        <f>'[1]Processed Data'!I1365</f>
        <v>22</v>
      </c>
      <c r="J1365">
        <f>'[1]Processed Data'!J1365</f>
        <v>10</v>
      </c>
      <c r="K1365">
        <f>'[1]Processed Data'!K1365</f>
        <v>35</v>
      </c>
      <c r="L1365">
        <f>'[1]Processed Data'!L1365</f>
        <v>32</v>
      </c>
      <c r="M1365">
        <f>'[1]Processed Data'!M1365</f>
        <v>22</v>
      </c>
      <c r="N1365">
        <f>'[1]Processed Data'!N1365</f>
        <v>3</v>
      </c>
      <c r="O1365">
        <f>'[1]Processed Data'!O1365</f>
        <v>4</v>
      </c>
      <c r="P1365">
        <f>'[1]Processed Data'!P1365</f>
        <v>235.1</v>
      </c>
      <c r="Q1365">
        <f>'[1]Processed Data'!Q1365</f>
        <v>16</v>
      </c>
    </row>
    <row r="1366" spans="2:17" hidden="1">
      <c r="B1366">
        <f>'[1]Processed Data'!B1366</f>
        <v>2012</v>
      </c>
      <c r="C1366">
        <f>'[1]Processed Data'!C1366</f>
        <v>11</v>
      </c>
      <c r="D1366" t="str">
        <f>'[1]Processed Data'!D1366</f>
        <v>Ben Roethlisberger</v>
      </c>
      <c r="E1366">
        <v>2014</v>
      </c>
      <c r="F1366">
        <f>'[1]Processed Data'!F1366</f>
        <v>284</v>
      </c>
      <c r="G1366">
        <f>'[1]Processed Data'!G1366</f>
        <v>449</v>
      </c>
      <c r="H1366">
        <f>'[1]Processed Data'!H1366</f>
        <v>63.3</v>
      </c>
      <c r="I1366">
        <f>'[1]Processed Data'!I1366</f>
        <v>26</v>
      </c>
      <c r="J1366">
        <f>'[1]Processed Data'!J1366</f>
        <v>8</v>
      </c>
      <c r="K1366">
        <f>'[1]Processed Data'!K1366</f>
        <v>30</v>
      </c>
      <c r="L1366">
        <f>'[1]Processed Data'!L1366</f>
        <v>26</v>
      </c>
      <c r="M1366">
        <f>'[1]Processed Data'!M1366</f>
        <v>92</v>
      </c>
      <c r="N1366">
        <f>'[1]Processed Data'!N1366</f>
        <v>0</v>
      </c>
      <c r="O1366">
        <f>'[1]Processed Data'!O1366</f>
        <v>3</v>
      </c>
      <c r="P1366">
        <f>'[1]Processed Data'!P1366</f>
        <v>223.9</v>
      </c>
      <c r="Q1366">
        <f>'[1]Processed Data'!Q1366</f>
        <v>13</v>
      </c>
    </row>
    <row r="1367" spans="2:17" hidden="1">
      <c r="B1367">
        <f>'[1]Processed Data'!B1367</f>
        <v>2012</v>
      </c>
      <c r="C1367">
        <f>'[1]Processed Data'!C1367</f>
        <v>12</v>
      </c>
      <c r="D1367" t="str">
        <f>'[1]Processed Data'!D1367</f>
        <v>Matt Schaub</v>
      </c>
      <c r="E1367">
        <v>2014</v>
      </c>
      <c r="F1367">
        <f>'[1]Processed Data'!F1367</f>
        <v>350</v>
      </c>
      <c r="G1367">
        <f>'[1]Processed Data'!G1367</f>
        <v>544</v>
      </c>
      <c r="H1367">
        <f>'[1]Processed Data'!H1367</f>
        <v>64.3</v>
      </c>
      <c r="I1367">
        <f>'[1]Processed Data'!I1367</f>
        <v>22</v>
      </c>
      <c r="J1367">
        <f>'[1]Processed Data'!J1367</f>
        <v>12</v>
      </c>
      <c r="K1367">
        <f>'[1]Processed Data'!K1367</f>
        <v>27</v>
      </c>
      <c r="L1367">
        <f>'[1]Processed Data'!L1367</f>
        <v>21</v>
      </c>
      <c r="M1367">
        <f>'[1]Processed Data'!M1367</f>
        <v>-9</v>
      </c>
      <c r="N1367">
        <f>'[1]Processed Data'!N1367</f>
        <v>0</v>
      </c>
      <c r="O1367">
        <f>'[1]Processed Data'!O1367</f>
        <v>0</v>
      </c>
      <c r="P1367">
        <f>'[1]Processed Data'!P1367</f>
        <v>223.3</v>
      </c>
      <c r="Q1367">
        <f>'[1]Processed Data'!Q1367</f>
        <v>16</v>
      </c>
    </row>
    <row r="1368" spans="2:17" hidden="1">
      <c r="B1368">
        <f>'[1]Processed Data'!B1368</f>
        <v>2012</v>
      </c>
      <c r="C1368">
        <f>'[1]Processed Data'!C1368</f>
        <v>13</v>
      </c>
      <c r="D1368" t="str">
        <f>'[1]Processed Data'!D1368</f>
        <v>Ryan Fitzpatrick</v>
      </c>
      <c r="E1368">
        <v>2014</v>
      </c>
      <c r="F1368">
        <f>'[1]Processed Data'!F1368</f>
        <v>306</v>
      </c>
      <c r="G1368">
        <f>'[1]Processed Data'!G1368</f>
        <v>505</v>
      </c>
      <c r="H1368">
        <f>'[1]Processed Data'!H1368</f>
        <v>60.6</v>
      </c>
      <c r="I1368">
        <f>'[1]Processed Data'!I1368</f>
        <v>24</v>
      </c>
      <c r="J1368">
        <f>'[1]Processed Data'!J1368</f>
        <v>16</v>
      </c>
      <c r="K1368">
        <f>'[1]Processed Data'!K1368</f>
        <v>30</v>
      </c>
      <c r="L1368">
        <f>'[1]Processed Data'!L1368</f>
        <v>48</v>
      </c>
      <c r="M1368">
        <f>'[1]Processed Data'!M1368</f>
        <v>197</v>
      </c>
      <c r="N1368">
        <f>'[1]Processed Data'!N1368</f>
        <v>1</v>
      </c>
      <c r="O1368">
        <f>'[1]Processed Data'!O1368</f>
        <v>6</v>
      </c>
      <c r="P1368">
        <f>'[1]Processed Data'!P1368</f>
        <v>213.7</v>
      </c>
      <c r="Q1368">
        <f>'[1]Processed Data'!Q1368</f>
        <v>16</v>
      </c>
    </row>
    <row r="1369" spans="2:17" hidden="1">
      <c r="B1369">
        <f>'[1]Processed Data'!B1369</f>
        <v>2012</v>
      </c>
      <c r="C1369">
        <f>'[1]Processed Data'!C1369</f>
        <v>14</v>
      </c>
      <c r="D1369" t="str">
        <f>'[1]Processed Data'!D1369</f>
        <v>Ryan Tannehill</v>
      </c>
      <c r="E1369">
        <v>2014</v>
      </c>
      <c r="F1369">
        <f>'[1]Processed Data'!F1369</f>
        <v>282</v>
      </c>
      <c r="G1369">
        <f>'[1]Processed Data'!G1369</f>
        <v>484</v>
      </c>
      <c r="H1369">
        <f>'[1]Processed Data'!H1369</f>
        <v>58.3</v>
      </c>
      <c r="I1369">
        <f>'[1]Processed Data'!I1369</f>
        <v>12</v>
      </c>
      <c r="J1369">
        <f>'[1]Processed Data'!J1369</f>
        <v>13</v>
      </c>
      <c r="K1369">
        <f>'[1]Processed Data'!K1369</f>
        <v>35</v>
      </c>
      <c r="L1369">
        <f>'[1]Processed Data'!L1369</f>
        <v>49</v>
      </c>
      <c r="M1369">
        <f>'[1]Processed Data'!M1369</f>
        <v>211</v>
      </c>
      <c r="N1369">
        <f>'[1]Processed Data'!N1369</f>
        <v>2</v>
      </c>
      <c r="O1369">
        <f>'[1]Processed Data'!O1369</f>
        <v>4</v>
      </c>
      <c r="P1369">
        <f>'[1]Processed Data'!P1369</f>
        <v>182.7</v>
      </c>
      <c r="Q1369">
        <f>'[1]Processed Data'!Q1369</f>
        <v>16</v>
      </c>
    </row>
    <row r="1370" spans="2:17" hidden="1">
      <c r="B1370">
        <f>'[1]Processed Data'!B1370</f>
        <v>2012</v>
      </c>
      <c r="C1370">
        <f>'[1]Processed Data'!C1370</f>
        <v>15</v>
      </c>
      <c r="D1370" t="str">
        <f>'[1]Processed Data'!D1370</f>
        <v>Alex Smith</v>
      </c>
      <c r="E1370">
        <v>2014</v>
      </c>
      <c r="F1370">
        <f>'[1]Processed Data'!F1370</f>
        <v>153</v>
      </c>
      <c r="G1370">
        <f>'[1]Processed Data'!G1370</f>
        <v>218</v>
      </c>
      <c r="H1370">
        <f>'[1]Processed Data'!H1370</f>
        <v>70.2</v>
      </c>
      <c r="I1370">
        <f>'[1]Processed Data'!I1370</f>
        <v>13</v>
      </c>
      <c r="J1370">
        <f>'[1]Processed Data'!J1370</f>
        <v>5</v>
      </c>
      <c r="K1370">
        <f>'[1]Processed Data'!K1370</f>
        <v>24</v>
      </c>
      <c r="L1370">
        <f>'[1]Processed Data'!L1370</f>
        <v>31</v>
      </c>
      <c r="M1370">
        <f>'[1]Processed Data'!M1370</f>
        <v>132</v>
      </c>
      <c r="N1370">
        <f>'[1]Processed Data'!N1370</f>
        <v>0</v>
      </c>
      <c r="O1370">
        <f>'[1]Processed Data'!O1370</f>
        <v>1</v>
      </c>
      <c r="P1370">
        <f>'[1]Processed Data'!P1370</f>
        <v>122.6</v>
      </c>
      <c r="Q1370">
        <f>'[1]Processed Data'!Q1370</f>
        <v>10</v>
      </c>
    </row>
    <row r="1371" spans="2:17" hidden="1">
      <c r="B1371">
        <f>'[1]Processed Data'!B1371</f>
        <v>2012</v>
      </c>
      <c r="C1371">
        <f>'[1]Processed Data'!C1371</f>
        <v>16</v>
      </c>
      <c r="D1371" t="str">
        <f>'[1]Processed Data'!D1371</f>
        <v>Chad Henne</v>
      </c>
      <c r="E1371">
        <v>2014</v>
      </c>
      <c r="F1371">
        <f>'[1]Processed Data'!F1371</f>
        <v>166</v>
      </c>
      <c r="G1371">
        <f>'[1]Processed Data'!G1371</f>
        <v>308</v>
      </c>
      <c r="H1371">
        <f>'[1]Processed Data'!H1371</f>
        <v>53.9</v>
      </c>
      <c r="I1371">
        <f>'[1]Processed Data'!I1371</f>
        <v>11</v>
      </c>
      <c r="J1371">
        <f>'[1]Processed Data'!J1371</f>
        <v>11</v>
      </c>
      <c r="K1371">
        <f>'[1]Processed Data'!K1371</f>
        <v>28</v>
      </c>
      <c r="L1371">
        <f>'[1]Processed Data'!L1371</f>
        <v>19</v>
      </c>
      <c r="M1371">
        <f>'[1]Processed Data'!M1371</f>
        <v>64</v>
      </c>
      <c r="N1371">
        <f>'[1]Processed Data'!N1371</f>
        <v>1</v>
      </c>
      <c r="O1371">
        <f>'[1]Processed Data'!O1371</f>
        <v>2</v>
      </c>
      <c r="P1371">
        <f>'[1]Processed Data'!P1371</f>
        <v>113.5</v>
      </c>
      <c r="Q1371">
        <f>'[1]Processed Data'!Q1371</f>
        <v>10</v>
      </c>
    </row>
    <row r="1372" spans="2:17" hidden="1">
      <c r="B1372">
        <f>'[1]Processed Data'!B1372</f>
        <v>2012</v>
      </c>
      <c r="C1372">
        <f>'[1]Processed Data'!C1372</f>
        <v>17</v>
      </c>
      <c r="D1372" t="str">
        <f>'[1]Processed Data'!D1372</f>
        <v>Blaine Gabbert</v>
      </c>
      <c r="E1372">
        <v>2014</v>
      </c>
      <c r="F1372">
        <f>'[1]Processed Data'!F1372</f>
        <v>162</v>
      </c>
      <c r="G1372">
        <f>'[1]Processed Data'!G1372</f>
        <v>278</v>
      </c>
      <c r="H1372">
        <f>'[1]Processed Data'!H1372</f>
        <v>58.3</v>
      </c>
      <c r="I1372">
        <f>'[1]Processed Data'!I1372</f>
        <v>9</v>
      </c>
      <c r="J1372">
        <f>'[1]Processed Data'!J1372</f>
        <v>6</v>
      </c>
      <c r="K1372">
        <f>'[1]Processed Data'!K1372</f>
        <v>22</v>
      </c>
      <c r="L1372">
        <f>'[1]Processed Data'!L1372</f>
        <v>18</v>
      </c>
      <c r="M1372">
        <f>'[1]Processed Data'!M1372</f>
        <v>56</v>
      </c>
      <c r="N1372">
        <f>'[1]Processed Data'!N1372</f>
        <v>0</v>
      </c>
      <c r="O1372">
        <f>'[1]Processed Data'!O1372</f>
        <v>3</v>
      </c>
      <c r="P1372">
        <f>'[1]Processed Data'!P1372</f>
        <v>94.1</v>
      </c>
      <c r="Q1372">
        <f>'[1]Processed Data'!Q1372</f>
        <v>10</v>
      </c>
    </row>
    <row r="1373" spans="2:17" hidden="1">
      <c r="B1373">
        <f>'[1]Processed Data'!B1373</f>
        <v>2012</v>
      </c>
      <c r="C1373">
        <f>'[1]Processed Data'!C1373</f>
        <v>18</v>
      </c>
      <c r="D1373" t="str">
        <f>'[1]Processed Data'!D1373</f>
        <v>Nick Foles</v>
      </c>
      <c r="E1373">
        <v>2014</v>
      </c>
      <c r="F1373">
        <f>'[1]Processed Data'!F1373</f>
        <v>161</v>
      </c>
      <c r="G1373">
        <f>'[1]Processed Data'!G1373</f>
        <v>265</v>
      </c>
      <c r="H1373">
        <f>'[1]Processed Data'!H1373</f>
        <v>60.8</v>
      </c>
      <c r="I1373">
        <f>'[1]Processed Data'!I1373</f>
        <v>6</v>
      </c>
      <c r="J1373">
        <f>'[1]Processed Data'!J1373</f>
        <v>5</v>
      </c>
      <c r="K1373">
        <f>'[1]Processed Data'!K1373</f>
        <v>20</v>
      </c>
      <c r="L1373">
        <f>'[1]Processed Data'!L1373</f>
        <v>11</v>
      </c>
      <c r="M1373">
        <f>'[1]Processed Data'!M1373</f>
        <v>42</v>
      </c>
      <c r="N1373">
        <f>'[1]Processed Data'!N1373</f>
        <v>1</v>
      </c>
      <c r="O1373">
        <f>'[1]Processed Data'!O1373</f>
        <v>3</v>
      </c>
      <c r="P1373">
        <f>'[1]Processed Data'!P1373</f>
        <v>86.2</v>
      </c>
      <c r="Q1373">
        <f>'[1]Processed Data'!Q1373</f>
        <v>7</v>
      </c>
    </row>
    <row r="1374" spans="2:17" hidden="1">
      <c r="B1374">
        <f>'[1]Processed Data'!B1374</f>
        <v>2012</v>
      </c>
      <c r="C1374">
        <f>'[1]Processed Data'!C1374</f>
        <v>19</v>
      </c>
      <c r="D1374" t="str">
        <f>'[1]Processed Data'!D1374</f>
        <v>Kirk Cousins</v>
      </c>
      <c r="E1374">
        <v>2014</v>
      </c>
      <c r="F1374">
        <f>'[1]Processed Data'!F1374</f>
        <v>33</v>
      </c>
      <c r="G1374">
        <f>'[1]Processed Data'!G1374</f>
        <v>48</v>
      </c>
      <c r="H1374">
        <f>'[1]Processed Data'!H1374</f>
        <v>68.8</v>
      </c>
      <c r="I1374">
        <f>'[1]Processed Data'!I1374</f>
        <v>4</v>
      </c>
      <c r="J1374">
        <f>'[1]Processed Data'!J1374</f>
        <v>3</v>
      </c>
      <c r="K1374">
        <f>'[1]Processed Data'!K1374</f>
        <v>3</v>
      </c>
      <c r="L1374">
        <f>'[1]Processed Data'!L1374</f>
        <v>3</v>
      </c>
      <c r="M1374">
        <f>'[1]Processed Data'!M1374</f>
        <v>22</v>
      </c>
      <c r="N1374">
        <f>'[1]Processed Data'!N1374</f>
        <v>0</v>
      </c>
      <c r="O1374">
        <f>'[1]Processed Data'!O1374</f>
        <v>0</v>
      </c>
      <c r="P1374">
        <f>'[1]Processed Data'!P1374</f>
        <v>32.799999999999997</v>
      </c>
      <c r="Q1374">
        <f>'[1]Processed Data'!Q1374</f>
        <v>3</v>
      </c>
    </row>
    <row r="1375" spans="2:17" hidden="1">
      <c r="B1375">
        <f>'[1]Processed Data'!B1375</f>
        <v>2012</v>
      </c>
      <c r="C1375">
        <f>'[1]Processed Data'!C1375</f>
        <v>20</v>
      </c>
      <c r="D1375" t="str">
        <f>'[1]Processed Data'!D1375</f>
        <v>Tyrod Taylor</v>
      </c>
      <c r="E1375">
        <v>2014</v>
      </c>
      <c r="F1375">
        <f>'[1]Processed Data'!F1375</f>
        <v>17</v>
      </c>
      <c r="G1375">
        <f>'[1]Processed Data'!G1375</f>
        <v>29</v>
      </c>
      <c r="H1375">
        <f>'[1]Processed Data'!H1375</f>
        <v>58.6</v>
      </c>
      <c r="I1375">
        <f>'[1]Processed Data'!I1375</f>
        <v>0</v>
      </c>
      <c r="J1375">
        <f>'[1]Processed Data'!J1375</f>
        <v>1</v>
      </c>
      <c r="K1375">
        <f>'[1]Processed Data'!K1375</f>
        <v>3</v>
      </c>
      <c r="L1375">
        <f>'[1]Processed Data'!L1375</f>
        <v>14</v>
      </c>
      <c r="M1375">
        <f>'[1]Processed Data'!M1375</f>
        <v>73</v>
      </c>
      <c r="N1375">
        <f>'[1]Processed Data'!N1375</f>
        <v>1</v>
      </c>
      <c r="O1375">
        <f>'[1]Processed Data'!O1375</f>
        <v>0</v>
      </c>
      <c r="P1375">
        <f>'[1]Processed Data'!P1375</f>
        <v>18.5</v>
      </c>
      <c r="Q1375">
        <f>'[1]Processed Data'!Q1375</f>
        <v>7</v>
      </c>
    </row>
    <row r="1376" spans="2:17" hidden="1">
      <c r="B1376">
        <f>'[1]Processed Data'!B1376</f>
        <v>2012</v>
      </c>
      <c r="C1376">
        <f>'[1]Processed Data'!C1376</f>
        <v>21</v>
      </c>
      <c r="D1376" t="str">
        <f>'[1]Processed Data'!D1376</f>
        <v>Brian Hoyer</v>
      </c>
      <c r="E1376">
        <v>2014</v>
      </c>
      <c r="F1376">
        <f>'[1]Processed Data'!F1376</f>
        <v>30</v>
      </c>
      <c r="G1376">
        <f>'[1]Processed Data'!G1376</f>
        <v>53</v>
      </c>
      <c r="H1376">
        <f>'[1]Processed Data'!H1376</f>
        <v>56.6</v>
      </c>
      <c r="I1376">
        <f>'[1]Processed Data'!I1376</f>
        <v>1</v>
      </c>
      <c r="J1376">
        <f>'[1]Processed Data'!J1376</f>
        <v>2</v>
      </c>
      <c r="K1376">
        <f>'[1]Processed Data'!K1376</f>
        <v>4</v>
      </c>
      <c r="L1376">
        <f>'[1]Processed Data'!L1376</f>
        <v>1</v>
      </c>
      <c r="M1376">
        <f>'[1]Processed Data'!M1376</f>
        <v>6</v>
      </c>
      <c r="N1376">
        <f>'[1]Processed Data'!N1376</f>
        <v>0</v>
      </c>
      <c r="O1376">
        <f>'[1]Processed Data'!O1376</f>
        <v>0</v>
      </c>
      <c r="P1376">
        <f>'[1]Processed Data'!P1376</f>
        <v>13.8</v>
      </c>
      <c r="Q1376">
        <f>'[1]Processed Data'!Q1376</f>
        <v>2</v>
      </c>
    </row>
    <row r="1377" spans="2:17" hidden="1">
      <c r="B1377">
        <f>'[1]Processed Data'!B1377</f>
        <v>2012</v>
      </c>
      <c r="C1377">
        <f>'[1]Processed Data'!C1377</f>
        <v>22</v>
      </c>
      <c r="D1377" t="str">
        <f>'[1]Processed Data'!D1377</f>
        <v>Matt Moore</v>
      </c>
      <c r="E1377">
        <v>2014</v>
      </c>
      <c r="F1377">
        <f>'[1]Processed Data'!F1377</f>
        <v>11</v>
      </c>
      <c r="G1377">
        <f>'[1]Processed Data'!G1377</f>
        <v>19</v>
      </c>
      <c r="H1377">
        <f>'[1]Processed Data'!H1377</f>
        <v>57.9</v>
      </c>
      <c r="I1377">
        <f>'[1]Processed Data'!I1377</f>
        <v>1</v>
      </c>
      <c r="J1377">
        <f>'[1]Processed Data'!J1377</f>
        <v>0</v>
      </c>
      <c r="K1377">
        <f>'[1]Processed Data'!K1377</f>
        <v>2</v>
      </c>
      <c r="L1377">
        <f>'[1]Processed Data'!L1377</f>
        <v>5</v>
      </c>
      <c r="M1377">
        <f>'[1]Processed Data'!M1377</f>
        <v>-3</v>
      </c>
      <c r="N1377">
        <f>'[1]Processed Data'!N1377</f>
        <v>0</v>
      </c>
      <c r="O1377">
        <f>'[1]Processed Data'!O1377</f>
        <v>0</v>
      </c>
      <c r="P1377">
        <f>'[1]Processed Data'!P1377</f>
        <v>8.9</v>
      </c>
      <c r="Q1377">
        <f>'[1]Processed Data'!Q1377</f>
        <v>2</v>
      </c>
    </row>
    <row r="1378" spans="2:17" hidden="1">
      <c r="B1378">
        <f>'[1]Processed Data'!B1378</f>
        <v>2012</v>
      </c>
      <c r="C1378">
        <f>'[1]Processed Data'!C1378</f>
        <v>23</v>
      </c>
      <c r="D1378" t="str">
        <f>'[1]Processed Data'!D1378</f>
        <v>Colt McCoy</v>
      </c>
      <c r="E1378">
        <v>2014</v>
      </c>
      <c r="F1378">
        <f>'[1]Processed Data'!F1378</f>
        <v>9</v>
      </c>
      <c r="G1378">
        <f>'[1]Processed Data'!G1378</f>
        <v>17</v>
      </c>
      <c r="H1378">
        <f>'[1]Processed Data'!H1378</f>
        <v>52.9</v>
      </c>
      <c r="I1378">
        <f>'[1]Processed Data'!I1378</f>
        <v>1</v>
      </c>
      <c r="J1378">
        <f>'[1]Processed Data'!J1378</f>
        <v>0</v>
      </c>
      <c r="K1378">
        <f>'[1]Processed Data'!K1378</f>
        <v>4</v>
      </c>
      <c r="L1378">
        <f>'[1]Processed Data'!L1378</f>
        <v>4</v>
      </c>
      <c r="M1378">
        <f>'[1]Processed Data'!M1378</f>
        <v>15</v>
      </c>
      <c r="N1378">
        <f>'[1]Processed Data'!N1378</f>
        <v>0</v>
      </c>
      <c r="O1378">
        <f>'[1]Processed Data'!O1378</f>
        <v>0</v>
      </c>
      <c r="P1378">
        <f>'[1]Processed Data'!P1378</f>
        <v>8.6999999999999993</v>
      </c>
      <c r="Q1378">
        <f>'[1]Processed Data'!Q1378</f>
        <v>3</v>
      </c>
    </row>
    <row r="1379" spans="2:17" hidden="1">
      <c r="B1379">
        <f>'[1]Processed Data'!B1379</f>
        <v>2012</v>
      </c>
      <c r="C1379">
        <f>'[1]Processed Data'!C1379</f>
        <v>24</v>
      </c>
      <c r="D1379" t="str">
        <f>'[1]Processed Data'!D1379</f>
        <v>Chase Daniel</v>
      </c>
      <c r="E1379">
        <v>2014</v>
      </c>
      <c r="F1379">
        <f>'[1]Processed Data'!F1379</f>
        <v>1</v>
      </c>
      <c r="G1379">
        <f>'[1]Processed Data'!G1379</f>
        <v>1</v>
      </c>
      <c r="H1379">
        <f>'[1]Processed Data'!H1379</f>
        <v>100</v>
      </c>
      <c r="I1379">
        <f>'[1]Processed Data'!I1379</f>
        <v>0</v>
      </c>
      <c r="J1379">
        <f>'[1]Processed Data'!J1379</f>
        <v>0</v>
      </c>
      <c r="K1379">
        <f>'[1]Processed Data'!K1379</f>
        <v>0</v>
      </c>
      <c r="L1379">
        <f>'[1]Processed Data'!L1379</f>
        <v>3</v>
      </c>
      <c r="M1379">
        <f>'[1]Processed Data'!M1379</f>
        <v>17</v>
      </c>
      <c r="N1379">
        <f>'[1]Processed Data'!N1379</f>
        <v>0</v>
      </c>
      <c r="O1379">
        <f>'[1]Processed Data'!O1379</f>
        <v>0</v>
      </c>
      <c r="P1379">
        <f>'[1]Processed Data'!P1379</f>
        <v>2.1</v>
      </c>
      <c r="Q1379">
        <f>'[1]Processed Data'!Q1379</f>
        <v>16</v>
      </c>
    </row>
    <row r="1380" spans="2:17" hidden="1">
      <c r="B1380">
        <f>'[1]Processed Data'!B1380</f>
        <v>2012</v>
      </c>
      <c r="C1380">
        <f>'[1]Processed Data'!C1380</f>
        <v>25</v>
      </c>
      <c r="D1380" t="str">
        <f>'[1]Processed Data'!D1380</f>
        <v>Feleipe Franks</v>
      </c>
      <c r="E1380">
        <v>2014</v>
      </c>
      <c r="F1380">
        <f>'[1]Processed Data'!F1380</f>
        <v>0</v>
      </c>
      <c r="G1380">
        <f>'[1]Processed Data'!G1380</f>
        <v>0</v>
      </c>
      <c r="H1380">
        <f>'[1]Processed Data'!H1380</f>
        <v>0</v>
      </c>
      <c r="I1380">
        <f>'[1]Processed Data'!I1380</f>
        <v>0</v>
      </c>
      <c r="J1380">
        <f>'[1]Processed Data'!J1380</f>
        <v>0</v>
      </c>
      <c r="K1380">
        <f>'[1]Processed Data'!K1380</f>
        <v>0</v>
      </c>
      <c r="L1380">
        <f>'[1]Processed Data'!L1380</f>
        <v>0</v>
      </c>
      <c r="M1380">
        <f>'[1]Processed Data'!M1380</f>
        <v>0</v>
      </c>
      <c r="N1380">
        <f>'[1]Processed Data'!N1380</f>
        <v>0</v>
      </c>
      <c r="O1380">
        <f>'[1]Processed Data'!O1380</f>
        <v>0</v>
      </c>
      <c r="P1380">
        <f>'[1]Processed Data'!P1380</f>
        <v>0</v>
      </c>
      <c r="Q1380">
        <f>'[1]Processed Data'!Q1380</f>
        <v>0</v>
      </c>
    </row>
    <row r="1381" spans="2:17" hidden="1">
      <c r="B1381">
        <f>'[1]Processed Data'!B1381</f>
        <v>2012</v>
      </c>
      <c r="C1381">
        <f>'[1]Processed Data'!C1381</f>
        <v>26</v>
      </c>
      <c r="D1381" t="str">
        <f>'[1]Processed Data'!D1381</f>
        <v>Trey Lance</v>
      </c>
      <c r="E1381">
        <v>2014</v>
      </c>
      <c r="F1381">
        <f>'[1]Processed Data'!F1381</f>
        <v>0</v>
      </c>
      <c r="G1381">
        <f>'[1]Processed Data'!G1381</f>
        <v>0</v>
      </c>
      <c r="H1381">
        <f>'[1]Processed Data'!H1381</f>
        <v>0</v>
      </c>
      <c r="I1381">
        <f>'[1]Processed Data'!I1381</f>
        <v>0</v>
      </c>
      <c r="J1381">
        <f>'[1]Processed Data'!J1381</f>
        <v>0</v>
      </c>
      <c r="K1381">
        <f>'[1]Processed Data'!K1381</f>
        <v>0</v>
      </c>
      <c r="L1381">
        <f>'[1]Processed Data'!L1381</f>
        <v>0</v>
      </c>
      <c r="M1381">
        <f>'[1]Processed Data'!M1381</f>
        <v>0</v>
      </c>
      <c r="N1381">
        <f>'[1]Processed Data'!N1381</f>
        <v>0</v>
      </c>
      <c r="O1381">
        <f>'[1]Processed Data'!O1381</f>
        <v>0</v>
      </c>
      <c r="P1381">
        <f>'[1]Processed Data'!P1381</f>
        <v>0</v>
      </c>
      <c r="Q1381">
        <f>'[1]Processed Data'!Q1381</f>
        <v>0</v>
      </c>
    </row>
    <row r="1382" spans="2:17" hidden="1">
      <c r="B1382">
        <f>'[1]Processed Data'!B1382</f>
        <v>2012</v>
      </c>
      <c r="C1382">
        <f>'[1]Processed Data'!C1382</f>
        <v>27</v>
      </c>
      <c r="D1382" t="str">
        <f>'[1]Processed Data'!D1382</f>
        <v>Ben DiNucci</v>
      </c>
      <c r="E1382">
        <v>2014</v>
      </c>
      <c r="F1382">
        <f>'[1]Processed Data'!F1382</f>
        <v>0</v>
      </c>
      <c r="G1382">
        <f>'[1]Processed Data'!G1382</f>
        <v>0</v>
      </c>
      <c r="H1382">
        <f>'[1]Processed Data'!H1382</f>
        <v>0</v>
      </c>
      <c r="I1382">
        <f>'[1]Processed Data'!I1382</f>
        <v>0</v>
      </c>
      <c r="J1382">
        <f>'[1]Processed Data'!J1382</f>
        <v>0</v>
      </c>
      <c r="K1382">
        <f>'[1]Processed Data'!K1382</f>
        <v>0</v>
      </c>
      <c r="L1382">
        <f>'[1]Processed Data'!L1382</f>
        <v>0</v>
      </c>
      <c r="M1382">
        <f>'[1]Processed Data'!M1382</f>
        <v>0</v>
      </c>
      <c r="N1382">
        <f>'[1]Processed Data'!N1382</f>
        <v>0</v>
      </c>
      <c r="O1382">
        <f>'[1]Processed Data'!O1382</f>
        <v>0</v>
      </c>
      <c r="P1382">
        <f>'[1]Processed Data'!P1382</f>
        <v>0</v>
      </c>
      <c r="Q1382">
        <f>'[1]Processed Data'!Q1382</f>
        <v>0</v>
      </c>
    </row>
    <row r="1383" spans="2:17" hidden="1">
      <c r="B1383">
        <f>'[1]Processed Data'!B1383</f>
        <v>2012</v>
      </c>
      <c r="C1383">
        <f>'[1]Processed Data'!C1383</f>
        <v>28</v>
      </c>
      <c r="D1383" t="str">
        <f>'[1]Processed Data'!D1383</f>
        <v>Justin Fields</v>
      </c>
      <c r="E1383">
        <v>2014</v>
      </c>
      <c r="F1383">
        <f>'[1]Processed Data'!F1383</f>
        <v>0</v>
      </c>
      <c r="G1383">
        <f>'[1]Processed Data'!G1383</f>
        <v>0</v>
      </c>
      <c r="H1383">
        <f>'[1]Processed Data'!H1383</f>
        <v>0</v>
      </c>
      <c r="I1383">
        <f>'[1]Processed Data'!I1383</f>
        <v>0</v>
      </c>
      <c r="J1383">
        <f>'[1]Processed Data'!J1383</f>
        <v>0</v>
      </c>
      <c r="K1383">
        <f>'[1]Processed Data'!K1383</f>
        <v>0</v>
      </c>
      <c r="L1383">
        <f>'[1]Processed Data'!L1383</f>
        <v>0</v>
      </c>
      <c r="M1383">
        <f>'[1]Processed Data'!M1383</f>
        <v>0</v>
      </c>
      <c r="N1383">
        <f>'[1]Processed Data'!N1383</f>
        <v>0</v>
      </c>
      <c r="O1383">
        <f>'[1]Processed Data'!O1383</f>
        <v>0</v>
      </c>
      <c r="P1383">
        <f>'[1]Processed Data'!P1383</f>
        <v>0</v>
      </c>
      <c r="Q1383">
        <f>'[1]Processed Data'!Q1383</f>
        <v>0</v>
      </c>
    </row>
    <row r="1384" spans="2:17" hidden="1">
      <c r="B1384">
        <f>'[1]Processed Data'!B1384</f>
        <v>2012</v>
      </c>
      <c r="C1384">
        <f>'[1]Processed Data'!C1384</f>
        <v>29</v>
      </c>
      <c r="D1384" t="str">
        <f>'[1]Processed Data'!D1384</f>
        <v>Kyle Trask</v>
      </c>
      <c r="E1384">
        <v>2013</v>
      </c>
      <c r="F1384">
        <f>'[1]Processed Data'!F1384</f>
        <v>0</v>
      </c>
      <c r="G1384">
        <f>'[1]Processed Data'!G1384</f>
        <v>0</v>
      </c>
      <c r="H1384">
        <f>'[1]Processed Data'!H1384</f>
        <v>0</v>
      </c>
      <c r="I1384">
        <f>'[1]Processed Data'!I1384</f>
        <v>0</v>
      </c>
      <c r="J1384">
        <f>'[1]Processed Data'!J1384</f>
        <v>0</v>
      </c>
      <c r="K1384">
        <f>'[1]Processed Data'!K1384</f>
        <v>0</v>
      </c>
      <c r="L1384">
        <f>'[1]Processed Data'!L1384</f>
        <v>0</v>
      </c>
      <c r="M1384">
        <f>'[1]Processed Data'!M1384</f>
        <v>0</v>
      </c>
      <c r="N1384">
        <f>'[1]Processed Data'!N1384</f>
        <v>0</v>
      </c>
      <c r="O1384">
        <f>'[1]Processed Data'!O1384</f>
        <v>0</v>
      </c>
      <c r="P1384">
        <f>'[1]Processed Data'!P1384</f>
        <v>0</v>
      </c>
      <c r="Q1384">
        <f>'[1]Processed Data'!Q1384</f>
        <v>0</v>
      </c>
    </row>
    <row r="1385" spans="2:17" hidden="1">
      <c r="B1385">
        <f>'[1]Processed Data'!B1385</f>
        <v>2012</v>
      </c>
      <c r="C1385">
        <f>'[1]Processed Data'!C1385</f>
        <v>30</v>
      </c>
      <c r="D1385" t="str">
        <f>'[1]Processed Data'!D1385</f>
        <v>Sam Ehlinger</v>
      </c>
      <c r="E1385">
        <v>2013</v>
      </c>
      <c r="F1385">
        <f>'[1]Processed Data'!F1385</f>
        <v>0</v>
      </c>
      <c r="G1385">
        <f>'[1]Processed Data'!G1385</f>
        <v>0</v>
      </c>
      <c r="H1385">
        <f>'[1]Processed Data'!H1385</f>
        <v>0</v>
      </c>
      <c r="I1385">
        <f>'[1]Processed Data'!I1385</f>
        <v>0</v>
      </c>
      <c r="J1385">
        <f>'[1]Processed Data'!J1385</f>
        <v>0</v>
      </c>
      <c r="K1385">
        <f>'[1]Processed Data'!K1385</f>
        <v>0</v>
      </c>
      <c r="L1385">
        <f>'[1]Processed Data'!L1385</f>
        <v>0</v>
      </c>
      <c r="M1385">
        <f>'[1]Processed Data'!M1385</f>
        <v>0</v>
      </c>
      <c r="N1385">
        <f>'[1]Processed Data'!N1385</f>
        <v>0</v>
      </c>
      <c r="O1385">
        <f>'[1]Processed Data'!O1385</f>
        <v>0</v>
      </c>
      <c r="P1385">
        <f>'[1]Processed Data'!P1385</f>
        <v>0</v>
      </c>
      <c r="Q1385">
        <f>'[1]Processed Data'!Q1385</f>
        <v>0</v>
      </c>
    </row>
    <row r="1386" spans="2:17" hidden="1">
      <c r="B1386">
        <f>'[1]Processed Data'!B1386</f>
        <v>2012</v>
      </c>
      <c r="C1386">
        <f>'[1]Processed Data'!C1386</f>
        <v>31</v>
      </c>
      <c r="D1386" t="str">
        <f>'[1]Processed Data'!D1386</f>
        <v>Jalen Morton</v>
      </c>
      <c r="E1386">
        <v>2013</v>
      </c>
      <c r="F1386">
        <f>'[1]Processed Data'!F1386</f>
        <v>0</v>
      </c>
      <c r="G1386">
        <f>'[1]Processed Data'!G1386</f>
        <v>0</v>
      </c>
      <c r="H1386">
        <f>'[1]Processed Data'!H1386</f>
        <v>0</v>
      </c>
      <c r="I1386">
        <f>'[1]Processed Data'!I1386</f>
        <v>0</v>
      </c>
      <c r="J1386">
        <f>'[1]Processed Data'!J1386</f>
        <v>0</v>
      </c>
      <c r="K1386">
        <f>'[1]Processed Data'!K1386</f>
        <v>0</v>
      </c>
      <c r="L1386">
        <f>'[1]Processed Data'!L1386</f>
        <v>0</v>
      </c>
      <c r="M1386">
        <f>'[1]Processed Data'!M1386</f>
        <v>0</v>
      </c>
      <c r="N1386">
        <f>'[1]Processed Data'!N1386</f>
        <v>0</v>
      </c>
      <c r="O1386">
        <f>'[1]Processed Data'!O1386</f>
        <v>0</v>
      </c>
      <c r="P1386">
        <f>'[1]Processed Data'!P1386</f>
        <v>0</v>
      </c>
      <c r="Q1386">
        <f>'[1]Processed Data'!Q1386</f>
        <v>0</v>
      </c>
    </row>
    <row r="1387" spans="2:17" hidden="1">
      <c r="B1387">
        <f>'[1]Processed Data'!B1387</f>
        <v>2012</v>
      </c>
      <c r="C1387">
        <f>'[1]Processed Data'!C1387</f>
        <v>32</v>
      </c>
      <c r="D1387" t="str">
        <f>'[1]Processed Data'!D1387</f>
        <v>Reid Sinnett</v>
      </c>
      <c r="E1387">
        <v>2013</v>
      </c>
      <c r="F1387">
        <f>'[1]Processed Data'!F1387</f>
        <v>0</v>
      </c>
      <c r="G1387">
        <f>'[1]Processed Data'!G1387</f>
        <v>0</v>
      </c>
      <c r="H1387">
        <f>'[1]Processed Data'!H1387</f>
        <v>0</v>
      </c>
      <c r="I1387">
        <f>'[1]Processed Data'!I1387</f>
        <v>0</v>
      </c>
      <c r="J1387">
        <f>'[1]Processed Data'!J1387</f>
        <v>0</v>
      </c>
      <c r="K1387">
        <f>'[1]Processed Data'!K1387</f>
        <v>0</v>
      </c>
      <c r="L1387">
        <f>'[1]Processed Data'!L1387</f>
        <v>0</v>
      </c>
      <c r="M1387">
        <f>'[1]Processed Data'!M1387</f>
        <v>0</v>
      </c>
      <c r="N1387">
        <f>'[1]Processed Data'!N1387</f>
        <v>0</v>
      </c>
      <c r="O1387">
        <f>'[1]Processed Data'!O1387</f>
        <v>0</v>
      </c>
      <c r="P1387">
        <f>'[1]Processed Data'!P1387</f>
        <v>0</v>
      </c>
      <c r="Q1387">
        <f>'[1]Processed Data'!Q1387</f>
        <v>0</v>
      </c>
    </row>
    <row r="1388" spans="2:17" hidden="1">
      <c r="B1388">
        <f>'[1]Processed Data'!B1388</f>
        <v>2012</v>
      </c>
      <c r="C1388">
        <f>'[1]Processed Data'!C1388</f>
        <v>33</v>
      </c>
      <c r="D1388" t="str">
        <f>'[1]Processed Data'!D1388</f>
        <v>Mac Jones</v>
      </c>
      <c r="E1388">
        <v>2013</v>
      </c>
      <c r="F1388">
        <f>'[1]Processed Data'!F1388</f>
        <v>0</v>
      </c>
      <c r="G1388">
        <f>'[1]Processed Data'!G1388</f>
        <v>0</v>
      </c>
      <c r="H1388">
        <f>'[1]Processed Data'!H1388</f>
        <v>0</v>
      </c>
      <c r="I1388">
        <f>'[1]Processed Data'!I1388</f>
        <v>0</v>
      </c>
      <c r="J1388">
        <f>'[1]Processed Data'!J1388</f>
        <v>0</v>
      </c>
      <c r="K1388">
        <f>'[1]Processed Data'!K1388</f>
        <v>0</v>
      </c>
      <c r="L1388">
        <f>'[1]Processed Data'!L1388</f>
        <v>0</v>
      </c>
      <c r="M1388">
        <f>'[1]Processed Data'!M1388</f>
        <v>0</v>
      </c>
      <c r="N1388">
        <f>'[1]Processed Data'!N1388</f>
        <v>0</v>
      </c>
      <c r="O1388">
        <f>'[1]Processed Data'!O1388</f>
        <v>0</v>
      </c>
      <c r="P1388">
        <f>'[1]Processed Data'!P1388</f>
        <v>0</v>
      </c>
      <c r="Q1388">
        <f>'[1]Processed Data'!Q1388</f>
        <v>0</v>
      </c>
    </row>
    <row r="1389" spans="2:17" hidden="1">
      <c r="B1389">
        <f>'[1]Processed Data'!B1389</f>
        <v>2012</v>
      </c>
      <c r="C1389">
        <f>'[1]Processed Data'!C1389</f>
        <v>34</v>
      </c>
      <c r="D1389" t="str">
        <f>'[1]Processed Data'!D1389</f>
        <v>Ian Book</v>
      </c>
      <c r="E1389">
        <v>2013</v>
      </c>
      <c r="F1389">
        <f>'[1]Processed Data'!F1389</f>
        <v>0</v>
      </c>
      <c r="G1389">
        <f>'[1]Processed Data'!G1389</f>
        <v>0</v>
      </c>
      <c r="H1389">
        <f>'[1]Processed Data'!H1389</f>
        <v>0</v>
      </c>
      <c r="I1389">
        <f>'[1]Processed Data'!I1389</f>
        <v>0</v>
      </c>
      <c r="J1389">
        <f>'[1]Processed Data'!J1389</f>
        <v>0</v>
      </c>
      <c r="K1389">
        <f>'[1]Processed Data'!K1389</f>
        <v>0</v>
      </c>
      <c r="L1389">
        <f>'[1]Processed Data'!L1389</f>
        <v>0</v>
      </c>
      <c r="M1389">
        <f>'[1]Processed Data'!M1389</f>
        <v>0</v>
      </c>
      <c r="N1389">
        <f>'[1]Processed Data'!N1389</f>
        <v>0</v>
      </c>
      <c r="O1389">
        <f>'[1]Processed Data'!O1389</f>
        <v>0</v>
      </c>
      <c r="P1389">
        <f>'[1]Processed Data'!P1389</f>
        <v>0</v>
      </c>
      <c r="Q1389">
        <f>'[1]Processed Data'!Q1389</f>
        <v>0</v>
      </c>
    </row>
    <row r="1390" spans="2:17" hidden="1">
      <c r="B1390">
        <f>'[1]Processed Data'!B1390</f>
        <v>2012</v>
      </c>
      <c r="C1390">
        <f>'[1]Processed Data'!C1390</f>
        <v>35</v>
      </c>
      <c r="D1390" t="str">
        <f>'[1]Processed Data'!D1390</f>
        <v>Trevor Lawrence</v>
      </c>
      <c r="E1390">
        <v>2013</v>
      </c>
      <c r="F1390">
        <f>'[1]Processed Data'!F1390</f>
        <v>0</v>
      </c>
      <c r="G1390">
        <f>'[1]Processed Data'!G1390</f>
        <v>0</v>
      </c>
      <c r="H1390">
        <f>'[1]Processed Data'!H1390</f>
        <v>0</v>
      </c>
      <c r="I1390">
        <f>'[1]Processed Data'!I1390</f>
        <v>0</v>
      </c>
      <c r="J1390">
        <f>'[1]Processed Data'!J1390</f>
        <v>0</v>
      </c>
      <c r="K1390">
        <f>'[1]Processed Data'!K1390</f>
        <v>0</v>
      </c>
      <c r="L1390">
        <f>'[1]Processed Data'!L1390</f>
        <v>0</v>
      </c>
      <c r="M1390">
        <f>'[1]Processed Data'!M1390</f>
        <v>0</v>
      </c>
      <c r="N1390">
        <f>'[1]Processed Data'!N1390</f>
        <v>0</v>
      </c>
      <c r="O1390">
        <f>'[1]Processed Data'!O1390</f>
        <v>0</v>
      </c>
      <c r="P1390">
        <f>'[1]Processed Data'!P1390</f>
        <v>0</v>
      </c>
      <c r="Q1390">
        <f>'[1]Processed Data'!Q1390</f>
        <v>0</v>
      </c>
    </row>
    <row r="1391" spans="2:17" hidden="1">
      <c r="B1391">
        <f>'[1]Processed Data'!B1391</f>
        <v>2012</v>
      </c>
      <c r="C1391">
        <f>'[1]Processed Data'!C1391</f>
        <v>36</v>
      </c>
      <c r="D1391" t="str">
        <f>'[1]Processed Data'!D1391</f>
        <v>James Morgan</v>
      </c>
      <c r="E1391">
        <v>2013</v>
      </c>
      <c r="F1391">
        <f>'[1]Processed Data'!F1391</f>
        <v>0</v>
      </c>
      <c r="G1391">
        <f>'[1]Processed Data'!G1391</f>
        <v>0</v>
      </c>
      <c r="H1391">
        <f>'[1]Processed Data'!H1391</f>
        <v>0</v>
      </c>
      <c r="I1391">
        <f>'[1]Processed Data'!I1391</f>
        <v>0</v>
      </c>
      <c r="J1391">
        <f>'[1]Processed Data'!J1391</f>
        <v>0</v>
      </c>
      <c r="K1391">
        <f>'[1]Processed Data'!K1391</f>
        <v>0</v>
      </c>
      <c r="L1391">
        <f>'[1]Processed Data'!L1391</f>
        <v>0</v>
      </c>
      <c r="M1391">
        <f>'[1]Processed Data'!M1391</f>
        <v>0</v>
      </c>
      <c r="N1391">
        <f>'[1]Processed Data'!N1391</f>
        <v>0</v>
      </c>
      <c r="O1391">
        <f>'[1]Processed Data'!O1391</f>
        <v>0</v>
      </c>
      <c r="P1391">
        <f>'[1]Processed Data'!P1391</f>
        <v>0</v>
      </c>
      <c r="Q1391">
        <f>'[1]Processed Data'!Q1391</f>
        <v>0</v>
      </c>
    </row>
    <row r="1392" spans="2:17" hidden="1">
      <c r="B1392">
        <f>'[1]Processed Data'!B1392</f>
        <v>2012</v>
      </c>
      <c r="C1392">
        <f>'[1]Processed Data'!C1392</f>
        <v>37</v>
      </c>
      <c r="D1392" t="str">
        <f>'[1]Processed Data'!D1392</f>
        <v>Chris Streveler</v>
      </c>
      <c r="E1392">
        <v>2013</v>
      </c>
      <c r="F1392">
        <f>'[1]Processed Data'!F1392</f>
        <v>0</v>
      </c>
      <c r="G1392">
        <f>'[1]Processed Data'!G1392</f>
        <v>0</v>
      </c>
      <c r="H1392">
        <f>'[1]Processed Data'!H1392</f>
        <v>0</v>
      </c>
      <c r="I1392">
        <f>'[1]Processed Data'!I1392</f>
        <v>0</v>
      </c>
      <c r="J1392">
        <f>'[1]Processed Data'!J1392</f>
        <v>0</v>
      </c>
      <c r="K1392">
        <f>'[1]Processed Data'!K1392</f>
        <v>0</v>
      </c>
      <c r="L1392">
        <f>'[1]Processed Data'!L1392</f>
        <v>0</v>
      </c>
      <c r="M1392">
        <f>'[1]Processed Data'!M1392</f>
        <v>0</v>
      </c>
      <c r="N1392">
        <f>'[1]Processed Data'!N1392</f>
        <v>0</v>
      </c>
      <c r="O1392">
        <f>'[1]Processed Data'!O1392</f>
        <v>0</v>
      </c>
      <c r="P1392">
        <f>'[1]Processed Data'!P1392</f>
        <v>0</v>
      </c>
      <c r="Q1392">
        <f>'[1]Processed Data'!Q1392</f>
        <v>0</v>
      </c>
    </row>
    <row r="1393" spans="2:17" hidden="1">
      <c r="B1393">
        <f>'[1]Processed Data'!B1393</f>
        <v>2012</v>
      </c>
      <c r="C1393">
        <f>'[1]Processed Data'!C1393</f>
        <v>38</v>
      </c>
      <c r="D1393" t="str">
        <f>'[1]Processed Data'!D1393</f>
        <v>Brett Rypien</v>
      </c>
      <c r="E1393">
        <v>2013</v>
      </c>
      <c r="F1393">
        <f>'[1]Processed Data'!F1393</f>
        <v>0</v>
      </c>
      <c r="G1393">
        <f>'[1]Processed Data'!G1393</f>
        <v>0</v>
      </c>
      <c r="H1393">
        <f>'[1]Processed Data'!H1393</f>
        <v>0</v>
      </c>
      <c r="I1393">
        <f>'[1]Processed Data'!I1393</f>
        <v>0</v>
      </c>
      <c r="J1393">
        <f>'[1]Processed Data'!J1393</f>
        <v>0</v>
      </c>
      <c r="K1393">
        <f>'[1]Processed Data'!K1393</f>
        <v>0</v>
      </c>
      <c r="L1393">
        <f>'[1]Processed Data'!L1393</f>
        <v>0</v>
      </c>
      <c r="M1393">
        <f>'[1]Processed Data'!M1393</f>
        <v>0</v>
      </c>
      <c r="N1393">
        <f>'[1]Processed Data'!N1393</f>
        <v>0</v>
      </c>
      <c r="O1393">
        <f>'[1]Processed Data'!O1393</f>
        <v>0</v>
      </c>
      <c r="P1393">
        <f>'[1]Processed Data'!P1393</f>
        <v>0</v>
      </c>
      <c r="Q1393">
        <f>'[1]Processed Data'!Q1393</f>
        <v>0</v>
      </c>
    </row>
    <row r="1394" spans="2:17" hidden="1">
      <c r="B1394">
        <f>'[1]Processed Data'!B1394</f>
        <v>2012</v>
      </c>
      <c r="C1394">
        <f>'[1]Processed Data'!C1394</f>
        <v>39</v>
      </c>
      <c r="D1394" t="str">
        <f>'[1]Processed Data'!D1394</f>
        <v>Dwayne Haskins</v>
      </c>
      <c r="E1394">
        <v>2013</v>
      </c>
      <c r="F1394">
        <f>'[1]Processed Data'!F1394</f>
        <v>0</v>
      </c>
      <c r="G1394">
        <f>'[1]Processed Data'!G1394</f>
        <v>0</v>
      </c>
      <c r="H1394">
        <f>'[1]Processed Data'!H1394</f>
        <v>0</v>
      </c>
      <c r="I1394">
        <f>'[1]Processed Data'!I1394</f>
        <v>0</v>
      </c>
      <c r="J1394">
        <f>'[1]Processed Data'!J1394</f>
        <v>0</v>
      </c>
      <c r="K1394">
        <f>'[1]Processed Data'!K1394</f>
        <v>0</v>
      </c>
      <c r="L1394">
        <f>'[1]Processed Data'!L1394</f>
        <v>0</v>
      </c>
      <c r="M1394">
        <f>'[1]Processed Data'!M1394</f>
        <v>0</v>
      </c>
      <c r="N1394">
        <f>'[1]Processed Data'!N1394</f>
        <v>0</v>
      </c>
      <c r="O1394">
        <f>'[1]Processed Data'!O1394</f>
        <v>0</v>
      </c>
      <c r="P1394">
        <f>'[1]Processed Data'!P1394</f>
        <v>0</v>
      </c>
      <c r="Q1394">
        <f>'[1]Processed Data'!Q1394</f>
        <v>0</v>
      </c>
    </row>
    <row r="1395" spans="2:17" hidden="1">
      <c r="B1395">
        <f>'[1]Processed Data'!B1395</f>
        <v>2012</v>
      </c>
      <c r="C1395">
        <f>'[1]Processed Data'!C1395</f>
        <v>40</v>
      </c>
      <c r="D1395" t="str">
        <f>'[1]Processed Data'!D1395</f>
        <v>Drew Lock</v>
      </c>
      <c r="E1395">
        <v>2013</v>
      </c>
      <c r="F1395">
        <f>'[1]Processed Data'!F1395</f>
        <v>0</v>
      </c>
      <c r="G1395">
        <f>'[1]Processed Data'!G1395</f>
        <v>0</v>
      </c>
      <c r="H1395">
        <f>'[1]Processed Data'!H1395</f>
        <v>0</v>
      </c>
      <c r="I1395">
        <f>'[1]Processed Data'!I1395</f>
        <v>0</v>
      </c>
      <c r="J1395">
        <f>'[1]Processed Data'!J1395</f>
        <v>0</v>
      </c>
      <c r="K1395">
        <f>'[1]Processed Data'!K1395</f>
        <v>0</v>
      </c>
      <c r="L1395">
        <f>'[1]Processed Data'!L1395</f>
        <v>0</v>
      </c>
      <c r="M1395">
        <f>'[1]Processed Data'!M1395</f>
        <v>0</v>
      </c>
      <c r="N1395">
        <f>'[1]Processed Data'!N1395</f>
        <v>0</v>
      </c>
      <c r="O1395">
        <f>'[1]Processed Data'!O1395</f>
        <v>0</v>
      </c>
      <c r="P1395">
        <f>'[1]Processed Data'!P1395</f>
        <v>0</v>
      </c>
      <c r="Q1395">
        <f>'[1]Processed Data'!Q1395</f>
        <v>0</v>
      </c>
    </row>
    <row r="1396" spans="2:17" hidden="1">
      <c r="B1396">
        <f>'[1]Processed Data'!B1396</f>
        <v>2012</v>
      </c>
      <c r="C1396">
        <f>'[1]Processed Data'!C1396</f>
        <v>41</v>
      </c>
      <c r="D1396" t="str">
        <f>'[1]Processed Data'!D1396</f>
        <v>Daniel Jones</v>
      </c>
      <c r="E1396">
        <v>2013</v>
      </c>
      <c r="F1396">
        <f>'[1]Processed Data'!F1396</f>
        <v>0</v>
      </c>
      <c r="G1396">
        <f>'[1]Processed Data'!G1396</f>
        <v>0</v>
      </c>
      <c r="H1396">
        <f>'[1]Processed Data'!H1396</f>
        <v>0</v>
      </c>
      <c r="I1396">
        <f>'[1]Processed Data'!I1396</f>
        <v>0</v>
      </c>
      <c r="J1396">
        <f>'[1]Processed Data'!J1396</f>
        <v>0</v>
      </c>
      <c r="K1396">
        <f>'[1]Processed Data'!K1396</f>
        <v>0</v>
      </c>
      <c r="L1396">
        <f>'[1]Processed Data'!L1396</f>
        <v>0</v>
      </c>
      <c r="M1396">
        <f>'[1]Processed Data'!M1396</f>
        <v>0</v>
      </c>
      <c r="N1396">
        <f>'[1]Processed Data'!N1396</f>
        <v>0</v>
      </c>
      <c r="O1396">
        <f>'[1]Processed Data'!O1396</f>
        <v>0</v>
      </c>
      <c r="P1396">
        <f>'[1]Processed Data'!P1396</f>
        <v>0</v>
      </c>
      <c r="Q1396">
        <f>'[1]Processed Data'!Q1396</f>
        <v>0</v>
      </c>
    </row>
    <row r="1397" spans="2:17" hidden="1">
      <c r="B1397">
        <f>'[1]Processed Data'!B1397</f>
        <v>2012</v>
      </c>
      <c r="C1397">
        <f>'[1]Processed Data'!C1397</f>
        <v>42</v>
      </c>
      <c r="D1397" t="str">
        <f>'[1]Processed Data'!D1397</f>
        <v>Will Grier</v>
      </c>
      <c r="E1397">
        <v>2013</v>
      </c>
      <c r="F1397">
        <f>'[1]Processed Data'!F1397</f>
        <v>0</v>
      </c>
      <c r="G1397">
        <f>'[1]Processed Data'!G1397</f>
        <v>0</v>
      </c>
      <c r="H1397">
        <f>'[1]Processed Data'!H1397</f>
        <v>0</v>
      </c>
      <c r="I1397">
        <f>'[1]Processed Data'!I1397</f>
        <v>0</v>
      </c>
      <c r="J1397">
        <f>'[1]Processed Data'!J1397</f>
        <v>0</v>
      </c>
      <c r="K1397">
        <f>'[1]Processed Data'!K1397</f>
        <v>0</v>
      </c>
      <c r="L1397">
        <f>'[1]Processed Data'!L1397</f>
        <v>0</v>
      </c>
      <c r="M1397">
        <f>'[1]Processed Data'!M1397</f>
        <v>0</v>
      </c>
      <c r="N1397">
        <f>'[1]Processed Data'!N1397</f>
        <v>0</v>
      </c>
      <c r="O1397">
        <f>'[1]Processed Data'!O1397</f>
        <v>0</v>
      </c>
      <c r="P1397">
        <f>'[1]Processed Data'!P1397</f>
        <v>0</v>
      </c>
      <c r="Q1397">
        <f>'[1]Processed Data'!Q1397</f>
        <v>0</v>
      </c>
    </row>
    <row r="1398" spans="2:17" hidden="1">
      <c r="B1398">
        <f>'[1]Processed Data'!B1398</f>
        <v>2012</v>
      </c>
      <c r="C1398">
        <f>'[1]Processed Data'!C1398</f>
        <v>43</v>
      </c>
      <c r="D1398" t="str">
        <f>'[1]Processed Data'!D1398</f>
        <v>Easton Stick</v>
      </c>
      <c r="E1398">
        <v>2013</v>
      </c>
      <c r="F1398">
        <f>'[1]Processed Data'!F1398</f>
        <v>0</v>
      </c>
      <c r="G1398">
        <f>'[1]Processed Data'!G1398</f>
        <v>0</v>
      </c>
      <c r="H1398">
        <f>'[1]Processed Data'!H1398</f>
        <v>0</v>
      </c>
      <c r="I1398">
        <f>'[1]Processed Data'!I1398</f>
        <v>0</v>
      </c>
      <c r="J1398">
        <f>'[1]Processed Data'!J1398</f>
        <v>0</v>
      </c>
      <c r="K1398">
        <f>'[1]Processed Data'!K1398</f>
        <v>0</v>
      </c>
      <c r="L1398">
        <f>'[1]Processed Data'!L1398</f>
        <v>0</v>
      </c>
      <c r="M1398">
        <f>'[1]Processed Data'!M1398</f>
        <v>0</v>
      </c>
      <c r="N1398">
        <f>'[1]Processed Data'!N1398</f>
        <v>0</v>
      </c>
      <c r="O1398">
        <f>'[1]Processed Data'!O1398</f>
        <v>0</v>
      </c>
      <c r="P1398">
        <f>'[1]Processed Data'!P1398</f>
        <v>0</v>
      </c>
      <c r="Q1398">
        <f>'[1]Processed Data'!Q1398</f>
        <v>0</v>
      </c>
    </row>
    <row r="1399" spans="2:17" hidden="1">
      <c r="B1399">
        <f>'[1]Processed Data'!B1399</f>
        <v>2012</v>
      </c>
      <c r="C1399">
        <f>'[1]Processed Data'!C1399</f>
        <v>44</v>
      </c>
      <c r="D1399" t="str">
        <f>'[1]Processed Data'!D1399</f>
        <v>Trace McSorley</v>
      </c>
      <c r="E1399">
        <v>2013</v>
      </c>
      <c r="F1399">
        <f>'[1]Processed Data'!F1399</f>
        <v>0</v>
      </c>
      <c r="G1399">
        <f>'[1]Processed Data'!G1399</f>
        <v>0</v>
      </c>
      <c r="H1399">
        <f>'[1]Processed Data'!H1399</f>
        <v>0</v>
      </c>
      <c r="I1399">
        <f>'[1]Processed Data'!I1399</f>
        <v>0</v>
      </c>
      <c r="J1399">
        <f>'[1]Processed Data'!J1399</f>
        <v>0</v>
      </c>
      <c r="K1399">
        <f>'[1]Processed Data'!K1399</f>
        <v>0</v>
      </c>
      <c r="L1399">
        <f>'[1]Processed Data'!L1399</f>
        <v>0</v>
      </c>
      <c r="M1399">
        <f>'[1]Processed Data'!M1399</f>
        <v>0</v>
      </c>
      <c r="N1399">
        <f>'[1]Processed Data'!N1399</f>
        <v>0</v>
      </c>
      <c r="O1399">
        <f>'[1]Processed Data'!O1399</f>
        <v>0</v>
      </c>
      <c r="P1399">
        <f>'[1]Processed Data'!P1399</f>
        <v>0</v>
      </c>
      <c r="Q1399">
        <f>'[1]Processed Data'!Q1399</f>
        <v>0</v>
      </c>
    </row>
    <row r="1400" spans="2:17" hidden="1">
      <c r="B1400">
        <f>'[1]Processed Data'!B1400</f>
        <v>2012</v>
      </c>
      <c r="C1400">
        <f>'[1]Processed Data'!C1400</f>
        <v>45</v>
      </c>
      <c r="D1400" t="str">
        <f>'[1]Processed Data'!D1400</f>
        <v>Eric Dungey</v>
      </c>
      <c r="E1400">
        <v>2013</v>
      </c>
      <c r="F1400">
        <f>'[1]Processed Data'!F1400</f>
        <v>0</v>
      </c>
      <c r="G1400">
        <f>'[1]Processed Data'!G1400</f>
        <v>0</v>
      </c>
      <c r="H1400">
        <f>'[1]Processed Data'!H1400</f>
        <v>0</v>
      </c>
      <c r="I1400">
        <f>'[1]Processed Data'!I1400</f>
        <v>0</v>
      </c>
      <c r="J1400">
        <f>'[1]Processed Data'!J1400</f>
        <v>0</v>
      </c>
      <c r="K1400">
        <f>'[1]Processed Data'!K1400</f>
        <v>0</v>
      </c>
      <c r="L1400">
        <f>'[1]Processed Data'!L1400</f>
        <v>0</v>
      </c>
      <c r="M1400">
        <f>'[1]Processed Data'!M1400</f>
        <v>0</v>
      </c>
      <c r="N1400">
        <f>'[1]Processed Data'!N1400</f>
        <v>0</v>
      </c>
      <c r="O1400">
        <f>'[1]Processed Data'!O1400</f>
        <v>0</v>
      </c>
      <c r="P1400">
        <f>'[1]Processed Data'!P1400</f>
        <v>0</v>
      </c>
      <c r="Q1400">
        <f>'[1]Processed Data'!Q1400</f>
        <v>0</v>
      </c>
    </row>
    <row r="1401" spans="2:17" hidden="1">
      <c r="B1401">
        <f>'[1]Processed Data'!B1401</f>
        <v>2012</v>
      </c>
      <c r="C1401">
        <f>'[1]Processed Data'!C1401</f>
        <v>46</v>
      </c>
      <c r="D1401" t="str">
        <f>'[1]Processed Data'!D1401</f>
        <v>Jake Browning</v>
      </c>
      <c r="E1401">
        <v>2013</v>
      </c>
      <c r="F1401">
        <f>'[1]Processed Data'!F1401</f>
        <v>0</v>
      </c>
      <c r="G1401">
        <f>'[1]Processed Data'!G1401</f>
        <v>0</v>
      </c>
      <c r="H1401">
        <f>'[1]Processed Data'!H1401</f>
        <v>0</v>
      </c>
      <c r="I1401">
        <f>'[1]Processed Data'!I1401</f>
        <v>0</v>
      </c>
      <c r="J1401">
        <f>'[1]Processed Data'!J1401</f>
        <v>0</v>
      </c>
      <c r="K1401">
        <f>'[1]Processed Data'!K1401</f>
        <v>0</v>
      </c>
      <c r="L1401">
        <f>'[1]Processed Data'!L1401</f>
        <v>0</v>
      </c>
      <c r="M1401">
        <f>'[1]Processed Data'!M1401</f>
        <v>0</v>
      </c>
      <c r="N1401">
        <f>'[1]Processed Data'!N1401</f>
        <v>0</v>
      </c>
      <c r="O1401">
        <f>'[1]Processed Data'!O1401</f>
        <v>0</v>
      </c>
      <c r="P1401">
        <f>'[1]Processed Data'!P1401</f>
        <v>0</v>
      </c>
      <c r="Q1401">
        <f>'[1]Processed Data'!Q1401</f>
        <v>0</v>
      </c>
    </row>
    <row r="1402" spans="2:17" hidden="1">
      <c r="B1402">
        <f>'[1]Processed Data'!B1402</f>
        <v>2012</v>
      </c>
      <c r="C1402">
        <f>'[1]Processed Data'!C1402</f>
        <v>47</v>
      </c>
      <c r="D1402" t="str">
        <f>'[1]Processed Data'!D1402</f>
        <v>John Wolford</v>
      </c>
      <c r="E1402">
        <v>2013</v>
      </c>
      <c r="F1402">
        <f>'[1]Processed Data'!F1402</f>
        <v>0</v>
      </c>
      <c r="G1402">
        <f>'[1]Processed Data'!G1402</f>
        <v>0</v>
      </c>
      <c r="H1402">
        <f>'[1]Processed Data'!H1402</f>
        <v>0</v>
      </c>
      <c r="I1402">
        <f>'[1]Processed Data'!I1402</f>
        <v>0</v>
      </c>
      <c r="J1402">
        <f>'[1]Processed Data'!J1402</f>
        <v>0</v>
      </c>
      <c r="K1402">
        <f>'[1]Processed Data'!K1402</f>
        <v>0</v>
      </c>
      <c r="L1402">
        <f>'[1]Processed Data'!L1402</f>
        <v>0</v>
      </c>
      <c r="M1402">
        <f>'[1]Processed Data'!M1402</f>
        <v>0</v>
      </c>
      <c r="N1402">
        <f>'[1]Processed Data'!N1402</f>
        <v>0</v>
      </c>
      <c r="O1402">
        <f>'[1]Processed Data'!O1402</f>
        <v>0</v>
      </c>
      <c r="P1402">
        <f>'[1]Processed Data'!P1402</f>
        <v>0</v>
      </c>
      <c r="Q1402">
        <f>'[1]Processed Data'!Q1402</f>
        <v>0</v>
      </c>
    </row>
    <row r="1403" spans="2:17" hidden="1">
      <c r="B1403">
        <f>'[1]Processed Data'!B1403</f>
        <v>2012</v>
      </c>
      <c r="C1403">
        <f>'[1]Processed Data'!C1403</f>
        <v>48</v>
      </c>
      <c r="D1403" t="str">
        <f>'[1]Processed Data'!D1403</f>
        <v>Kyler Murray</v>
      </c>
      <c r="E1403">
        <v>2013</v>
      </c>
      <c r="F1403">
        <f>'[1]Processed Data'!F1403</f>
        <v>0</v>
      </c>
      <c r="G1403">
        <f>'[1]Processed Data'!G1403</f>
        <v>0</v>
      </c>
      <c r="H1403">
        <f>'[1]Processed Data'!H1403</f>
        <v>0</v>
      </c>
      <c r="I1403">
        <f>'[1]Processed Data'!I1403</f>
        <v>0</v>
      </c>
      <c r="J1403">
        <f>'[1]Processed Data'!J1403</f>
        <v>0</v>
      </c>
      <c r="K1403">
        <f>'[1]Processed Data'!K1403</f>
        <v>0</v>
      </c>
      <c r="L1403">
        <f>'[1]Processed Data'!L1403</f>
        <v>0</v>
      </c>
      <c r="M1403">
        <f>'[1]Processed Data'!M1403</f>
        <v>0</v>
      </c>
      <c r="N1403">
        <f>'[1]Processed Data'!N1403</f>
        <v>0</v>
      </c>
      <c r="O1403">
        <f>'[1]Processed Data'!O1403</f>
        <v>0</v>
      </c>
      <c r="P1403">
        <f>'[1]Processed Data'!P1403</f>
        <v>0</v>
      </c>
      <c r="Q1403">
        <f>'[1]Processed Data'!Q1403</f>
        <v>0</v>
      </c>
    </row>
    <row r="1404" spans="2:17" hidden="1">
      <c r="B1404">
        <f>'[1]Processed Data'!B1404</f>
        <v>2012</v>
      </c>
      <c r="C1404">
        <f>'[1]Processed Data'!C1404</f>
        <v>49</v>
      </c>
      <c r="D1404" t="str">
        <f>'[1]Processed Data'!D1404</f>
        <v>Tim Boyle</v>
      </c>
      <c r="E1404">
        <v>2013</v>
      </c>
      <c r="F1404">
        <f>'[1]Processed Data'!F1404</f>
        <v>0</v>
      </c>
      <c r="G1404">
        <f>'[1]Processed Data'!G1404</f>
        <v>0</v>
      </c>
      <c r="H1404">
        <f>'[1]Processed Data'!H1404</f>
        <v>0</v>
      </c>
      <c r="I1404">
        <f>'[1]Processed Data'!I1404</f>
        <v>0</v>
      </c>
      <c r="J1404">
        <f>'[1]Processed Data'!J1404</f>
        <v>0</v>
      </c>
      <c r="K1404">
        <f>'[1]Processed Data'!K1404</f>
        <v>0</v>
      </c>
      <c r="L1404">
        <f>'[1]Processed Data'!L1404</f>
        <v>0</v>
      </c>
      <c r="M1404">
        <f>'[1]Processed Data'!M1404</f>
        <v>0</v>
      </c>
      <c r="N1404">
        <f>'[1]Processed Data'!N1404</f>
        <v>0</v>
      </c>
      <c r="O1404">
        <f>'[1]Processed Data'!O1404</f>
        <v>0</v>
      </c>
      <c r="P1404">
        <f>'[1]Processed Data'!P1404</f>
        <v>0</v>
      </c>
      <c r="Q1404">
        <f>'[1]Processed Data'!Q1404</f>
        <v>0</v>
      </c>
    </row>
    <row r="1405" spans="2:17" hidden="1">
      <c r="B1405">
        <f>'[1]Processed Data'!B1405</f>
        <v>2012</v>
      </c>
      <c r="C1405">
        <f>'[1]Processed Data'!C1405</f>
        <v>50</v>
      </c>
      <c r="D1405" t="str">
        <f>'[1]Processed Data'!D1405</f>
        <v>Danny Etling</v>
      </c>
      <c r="E1405">
        <v>2013</v>
      </c>
      <c r="F1405">
        <f>'[1]Processed Data'!F1405</f>
        <v>0</v>
      </c>
      <c r="G1405">
        <f>'[1]Processed Data'!G1405</f>
        <v>0</v>
      </c>
      <c r="H1405">
        <f>'[1]Processed Data'!H1405</f>
        <v>0</v>
      </c>
      <c r="I1405">
        <f>'[1]Processed Data'!I1405</f>
        <v>0</v>
      </c>
      <c r="J1405">
        <f>'[1]Processed Data'!J1405</f>
        <v>0</v>
      </c>
      <c r="K1405">
        <f>'[1]Processed Data'!K1405</f>
        <v>0</v>
      </c>
      <c r="L1405">
        <f>'[1]Processed Data'!L1405</f>
        <v>0</v>
      </c>
      <c r="M1405">
        <f>'[1]Processed Data'!M1405</f>
        <v>0</v>
      </c>
      <c r="N1405">
        <f>'[1]Processed Data'!N1405</f>
        <v>0</v>
      </c>
      <c r="O1405">
        <f>'[1]Processed Data'!O1405</f>
        <v>0</v>
      </c>
      <c r="P1405">
        <f>'[1]Processed Data'!P1405</f>
        <v>0</v>
      </c>
      <c r="Q1405">
        <f>'[1]Processed Data'!Q1405</f>
        <v>0</v>
      </c>
    </row>
    <row r="1406" spans="2:17" hidden="1">
      <c r="B1406">
        <f>'[1]Processed Data'!B1406</f>
        <v>2012</v>
      </c>
      <c r="C1406">
        <f>'[1]Processed Data'!C1406</f>
        <v>51</v>
      </c>
      <c r="D1406" t="str">
        <f>'[1]Processed Data'!D1406</f>
        <v>Alex McGough</v>
      </c>
      <c r="E1406">
        <v>2013</v>
      </c>
      <c r="F1406">
        <f>'[1]Processed Data'!F1406</f>
        <v>0</v>
      </c>
      <c r="G1406">
        <f>'[1]Processed Data'!G1406</f>
        <v>0</v>
      </c>
      <c r="H1406">
        <f>'[1]Processed Data'!H1406</f>
        <v>0</v>
      </c>
      <c r="I1406">
        <f>'[1]Processed Data'!I1406</f>
        <v>0</v>
      </c>
      <c r="J1406">
        <f>'[1]Processed Data'!J1406</f>
        <v>0</v>
      </c>
      <c r="K1406">
        <f>'[1]Processed Data'!K1406</f>
        <v>0</v>
      </c>
      <c r="L1406">
        <f>'[1]Processed Data'!L1406</f>
        <v>0</v>
      </c>
      <c r="M1406">
        <f>'[1]Processed Data'!M1406</f>
        <v>0</v>
      </c>
      <c r="N1406">
        <f>'[1]Processed Data'!N1406</f>
        <v>0</v>
      </c>
      <c r="O1406">
        <f>'[1]Processed Data'!O1406</f>
        <v>0</v>
      </c>
      <c r="P1406">
        <f>'[1]Processed Data'!P1406</f>
        <v>0</v>
      </c>
      <c r="Q1406">
        <f>'[1]Processed Data'!Q1406</f>
        <v>0</v>
      </c>
    </row>
    <row r="1407" spans="2:17" hidden="1">
      <c r="B1407">
        <f>'[1]Processed Data'!B1407</f>
        <v>2012</v>
      </c>
      <c r="C1407">
        <f>'[1]Processed Data'!C1407</f>
        <v>52</v>
      </c>
      <c r="D1407" t="str">
        <f>'[1]Processed Data'!D1407</f>
        <v>Kurt Benkert</v>
      </c>
      <c r="E1407">
        <v>2013</v>
      </c>
      <c r="F1407">
        <f>'[1]Processed Data'!F1407</f>
        <v>0</v>
      </c>
      <c r="G1407">
        <f>'[1]Processed Data'!G1407</f>
        <v>0</v>
      </c>
      <c r="H1407">
        <f>'[1]Processed Data'!H1407</f>
        <v>0</v>
      </c>
      <c r="I1407">
        <f>'[1]Processed Data'!I1407</f>
        <v>0</v>
      </c>
      <c r="J1407">
        <f>'[1]Processed Data'!J1407</f>
        <v>0</v>
      </c>
      <c r="K1407">
        <f>'[1]Processed Data'!K1407</f>
        <v>0</v>
      </c>
      <c r="L1407">
        <f>'[1]Processed Data'!L1407</f>
        <v>0</v>
      </c>
      <c r="M1407">
        <f>'[1]Processed Data'!M1407</f>
        <v>0</v>
      </c>
      <c r="N1407">
        <f>'[1]Processed Data'!N1407</f>
        <v>0</v>
      </c>
      <c r="O1407">
        <f>'[1]Processed Data'!O1407</f>
        <v>0</v>
      </c>
      <c r="P1407">
        <f>'[1]Processed Data'!P1407</f>
        <v>0</v>
      </c>
      <c r="Q1407">
        <f>'[1]Processed Data'!Q1407</f>
        <v>0</v>
      </c>
    </row>
    <row r="1408" spans="2:17" hidden="1">
      <c r="B1408">
        <f>'[1]Processed Data'!B1408</f>
        <v>2012</v>
      </c>
      <c r="C1408">
        <f>'[1]Processed Data'!C1408</f>
        <v>53</v>
      </c>
      <c r="D1408" t="str">
        <f>'[1]Processed Data'!D1408</f>
        <v>Kyle Allen</v>
      </c>
      <c r="E1408">
        <v>2013</v>
      </c>
      <c r="F1408">
        <f>'[1]Processed Data'!F1408</f>
        <v>0</v>
      </c>
      <c r="G1408">
        <f>'[1]Processed Data'!G1408</f>
        <v>0</v>
      </c>
      <c r="H1408">
        <f>'[1]Processed Data'!H1408</f>
        <v>0</v>
      </c>
      <c r="I1408">
        <f>'[1]Processed Data'!I1408</f>
        <v>0</v>
      </c>
      <c r="J1408">
        <f>'[1]Processed Data'!J1408</f>
        <v>0</v>
      </c>
      <c r="K1408">
        <f>'[1]Processed Data'!K1408</f>
        <v>0</v>
      </c>
      <c r="L1408">
        <f>'[1]Processed Data'!L1408</f>
        <v>0</v>
      </c>
      <c r="M1408">
        <f>'[1]Processed Data'!M1408</f>
        <v>0</v>
      </c>
      <c r="N1408">
        <f>'[1]Processed Data'!N1408</f>
        <v>0</v>
      </c>
      <c r="O1408">
        <f>'[1]Processed Data'!O1408</f>
        <v>0</v>
      </c>
      <c r="P1408">
        <f>'[1]Processed Data'!P1408</f>
        <v>0</v>
      </c>
      <c r="Q1408">
        <f>'[1]Processed Data'!Q1408</f>
        <v>0</v>
      </c>
    </row>
    <row r="1409" spans="2:17" hidden="1">
      <c r="B1409">
        <f>'[1]Processed Data'!B1409</f>
        <v>2012</v>
      </c>
      <c r="C1409">
        <f>'[1]Processed Data'!C1409</f>
        <v>54</v>
      </c>
      <c r="D1409" t="str">
        <f>'[1]Processed Data'!D1409</f>
        <v>Gardner Minshew II</v>
      </c>
      <c r="E1409">
        <v>2013</v>
      </c>
      <c r="F1409">
        <f>'[1]Processed Data'!F1409</f>
        <v>0</v>
      </c>
      <c r="G1409">
        <f>'[1]Processed Data'!G1409</f>
        <v>0</v>
      </c>
      <c r="H1409">
        <f>'[1]Processed Data'!H1409</f>
        <v>0</v>
      </c>
      <c r="I1409">
        <f>'[1]Processed Data'!I1409</f>
        <v>0</v>
      </c>
      <c r="J1409">
        <f>'[1]Processed Data'!J1409</f>
        <v>0</v>
      </c>
      <c r="K1409">
        <f>'[1]Processed Data'!K1409</f>
        <v>0</v>
      </c>
      <c r="L1409">
        <f>'[1]Processed Data'!L1409</f>
        <v>0</v>
      </c>
      <c r="M1409">
        <f>'[1]Processed Data'!M1409</f>
        <v>0</v>
      </c>
      <c r="N1409">
        <f>'[1]Processed Data'!N1409</f>
        <v>0</v>
      </c>
      <c r="O1409">
        <f>'[1]Processed Data'!O1409</f>
        <v>0</v>
      </c>
      <c r="P1409">
        <f>'[1]Processed Data'!P1409</f>
        <v>0</v>
      </c>
      <c r="Q1409">
        <f>'[1]Processed Data'!Q1409</f>
        <v>0</v>
      </c>
    </row>
    <row r="1410" spans="2:17" hidden="1">
      <c r="B1410">
        <f>'[1]Processed Data'!B1410</f>
        <v>2012</v>
      </c>
      <c r="C1410">
        <f>'[1]Processed Data'!C1410</f>
        <v>55</v>
      </c>
      <c r="D1410" t="str">
        <f>'[1]Processed Data'!D1410</f>
        <v>Jarrett Stidham</v>
      </c>
      <c r="E1410">
        <v>2013</v>
      </c>
      <c r="F1410">
        <f>'[1]Processed Data'!F1410</f>
        <v>0</v>
      </c>
      <c r="G1410">
        <f>'[1]Processed Data'!G1410</f>
        <v>0</v>
      </c>
      <c r="H1410">
        <f>'[1]Processed Data'!H1410</f>
        <v>0</v>
      </c>
      <c r="I1410">
        <f>'[1]Processed Data'!I1410</f>
        <v>0</v>
      </c>
      <c r="J1410">
        <f>'[1]Processed Data'!J1410</f>
        <v>0</v>
      </c>
      <c r="K1410">
        <f>'[1]Processed Data'!K1410</f>
        <v>0</v>
      </c>
      <c r="L1410">
        <f>'[1]Processed Data'!L1410</f>
        <v>0</v>
      </c>
      <c r="M1410">
        <f>'[1]Processed Data'!M1410</f>
        <v>0</v>
      </c>
      <c r="N1410">
        <f>'[1]Processed Data'!N1410</f>
        <v>0</v>
      </c>
      <c r="O1410">
        <f>'[1]Processed Data'!O1410</f>
        <v>0</v>
      </c>
      <c r="P1410">
        <f>'[1]Processed Data'!P1410</f>
        <v>0</v>
      </c>
      <c r="Q1410">
        <f>'[1]Processed Data'!Q1410</f>
        <v>0</v>
      </c>
    </row>
    <row r="1411" spans="2:17" hidden="1">
      <c r="B1411">
        <f>'[1]Processed Data'!B1411</f>
        <v>2012</v>
      </c>
      <c r="C1411">
        <f>'[1]Processed Data'!C1411</f>
        <v>56</v>
      </c>
      <c r="D1411" t="str">
        <f>'[1]Processed Data'!D1411</f>
        <v>Steven Montez</v>
      </c>
      <c r="E1411">
        <v>2013</v>
      </c>
      <c r="F1411">
        <f>'[1]Processed Data'!F1411</f>
        <v>0</v>
      </c>
      <c r="G1411">
        <f>'[1]Processed Data'!G1411</f>
        <v>0</v>
      </c>
      <c r="H1411">
        <f>'[1]Processed Data'!H1411</f>
        <v>0</v>
      </c>
      <c r="I1411">
        <f>'[1]Processed Data'!I1411</f>
        <v>0</v>
      </c>
      <c r="J1411">
        <f>'[1]Processed Data'!J1411</f>
        <v>0</v>
      </c>
      <c r="K1411">
        <f>'[1]Processed Data'!K1411</f>
        <v>0</v>
      </c>
      <c r="L1411">
        <f>'[1]Processed Data'!L1411</f>
        <v>0</v>
      </c>
      <c r="M1411">
        <f>'[1]Processed Data'!M1411</f>
        <v>0</v>
      </c>
      <c r="N1411">
        <f>'[1]Processed Data'!N1411</f>
        <v>0</v>
      </c>
      <c r="O1411">
        <f>'[1]Processed Data'!O1411</f>
        <v>0</v>
      </c>
      <c r="P1411">
        <f>'[1]Processed Data'!P1411</f>
        <v>0</v>
      </c>
      <c r="Q1411">
        <f>'[1]Processed Data'!Q1411</f>
        <v>0</v>
      </c>
    </row>
    <row r="1412" spans="2:17" hidden="1">
      <c r="B1412">
        <f>'[1]Processed Data'!B1412</f>
        <v>2012</v>
      </c>
      <c r="C1412">
        <f>'[1]Processed Data'!C1412</f>
        <v>57</v>
      </c>
      <c r="D1412" t="str">
        <f>'[1]Processed Data'!D1412</f>
        <v>Shane Buechele</v>
      </c>
      <c r="E1412">
        <v>2013</v>
      </c>
      <c r="F1412">
        <f>'[1]Processed Data'!F1412</f>
        <v>0</v>
      </c>
      <c r="G1412">
        <f>'[1]Processed Data'!G1412</f>
        <v>0</v>
      </c>
      <c r="H1412">
        <f>'[1]Processed Data'!H1412</f>
        <v>0</v>
      </c>
      <c r="I1412">
        <f>'[1]Processed Data'!I1412</f>
        <v>0</v>
      </c>
      <c r="J1412">
        <f>'[1]Processed Data'!J1412</f>
        <v>0</v>
      </c>
      <c r="K1412">
        <f>'[1]Processed Data'!K1412</f>
        <v>0</v>
      </c>
      <c r="L1412">
        <f>'[1]Processed Data'!L1412</f>
        <v>0</v>
      </c>
      <c r="M1412">
        <f>'[1]Processed Data'!M1412</f>
        <v>0</v>
      </c>
      <c r="N1412">
        <f>'[1]Processed Data'!N1412</f>
        <v>0</v>
      </c>
      <c r="O1412">
        <f>'[1]Processed Data'!O1412</f>
        <v>0</v>
      </c>
      <c r="P1412">
        <f>'[1]Processed Data'!P1412</f>
        <v>0</v>
      </c>
      <c r="Q1412">
        <f>'[1]Processed Data'!Q1412</f>
        <v>0</v>
      </c>
    </row>
    <row r="1413" spans="2:17" hidden="1">
      <c r="B1413">
        <f>'[1]Processed Data'!B1413</f>
        <v>2012</v>
      </c>
      <c r="C1413">
        <f>'[1]Processed Data'!C1413</f>
        <v>58</v>
      </c>
      <c r="D1413" t="str">
        <f>'[1]Processed Data'!D1413</f>
        <v>Kellen Mond</v>
      </c>
      <c r="E1413">
        <v>2013</v>
      </c>
      <c r="F1413">
        <f>'[1]Processed Data'!F1413</f>
        <v>0</v>
      </c>
      <c r="G1413">
        <f>'[1]Processed Data'!G1413</f>
        <v>0</v>
      </c>
      <c r="H1413">
        <f>'[1]Processed Data'!H1413</f>
        <v>0</v>
      </c>
      <c r="I1413">
        <f>'[1]Processed Data'!I1413</f>
        <v>0</v>
      </c>
      <c r="J1413">
        <f>'[1]Processed Data'!J1413</f>
        <v>0</v>
      </c>
      <c r="K1413">
        <f>'[1]Processed Data'!K1413</f>
        <v>0</v>
      </c>
      <c r="L1413">
        <f>'[1]Processed Data'!L1413</f>
        <v>0</v>
      </c>
      <c r="M1413">
        <f>'[1]Processed Data'!M1413</f>
        <v>0</v>
      </c>
      <c r="N1413">
        <f>'[1]Processed Data'!N1413</f>
        <v>0</v>
      </c>
      <c r="O1413">
        <f>'[1]Processed Data'!O1413</f>
        <v>0</v>
      </c>
      <c r="P1413">
        <f>'[1]Processed Data'!P1413</f>
        <v>0</v>
      </c>
      <c r="Q1413">
        <f>'[1]Processed Data'!Q1413</f>
        <v>0</v>
      </c>
    </row>
    <row r="1414" spans="2:17" hidden="1">
      <c r="B1414">
        <f>'[1]Processed Data'!B1414</f>
        <v>2012</v>
      </c>
      <c r="C1414">
        <f>'[1]Processed Data'!C1414</f>
        <v>59</v>
      </c>
      <c r="D1414" t="str">
        <f>'[1]Processed Data'!D1414</f>
        <v>Bryce Perkins</v>
      </c>
      <c r="E1414">
        <v>2013</v>
      </c>
      <c r="F1414">
        <f>'[1]Processed Data'!F1414</f>
        <v>0</v>
      </c>
      <c r="G1414">
        <f>'[1]Processed Data'!G1414</f>
        <v>0</v>
      </c>
      <c r="H1414">
        <f>'[1]Processed Data'!H1414</f>
        <v>0</v>
      </c>
      <c r="I1414">
        <f>'[1]Processed Data'!I1414</f>
        <v>0</v>
      </c>
      <c r="J1414">
        <f>'[1]Processed Data'!J1414</f>
        <v>0</v>
      </c>
      <c r="K1414">
        <f>'[1]Processed Data'!K1414</f>
        <v>0</v>
      </c>
      <c r="L1414">
        <f>'[1]Processed Data'!L1414</f>
        <v>0</v>
      </c>
      <c r="M1414">
        <f>'[1]Processed Data'!M1414</f>
        <v>0</v>
      </c>
      <c r="N1414">
        <f>'[1]Processed Data'!N1414</f>
        <v>0</v>
      </c>
      <c r="O1414">
        <f>'[1]Processed Data'!O1414</f>
        <v>0</v>
      </c>
      <c r="P1414">
        <f>'[1]Processed Data'!P1414</f>
        <v>0</v>
      </c>
      <c r="Q1414">
        <f>'[1]Processed Data'!Q1414</f>
        <v>0</v>
      </c>
    </row>
    <row r="1415" spans="2:17" hidden="1">
      <c r="B1415">
        <f>'[1]Processed Data'!B1415</f>
        <v>2012</v>
      </c>
      <c r="C1415">
        <f>'[1]Processed Data'!C1415</f>
        <v>60</v>
      </c>
      <c r="D1415" t="str">
        <f>'[1]Processed Data'!D1415</f>
        <v>Jalen Hurts</v>
      </c>
      <c r="E1415">
        <v>2013</v>
      </c>
      <c r="F1415">
        <f>'[1]Processed Data'!F1415</f>
        <v>0</v>
      </c>
      <c r="G1415">
        <f>'[1]Processed Data'!G1415</f>
        <v>0</v>
      </c>
      <c r="H1415">
        <f>'[1]Processed Data'!H1415</f>
        <v>0</v>
      </c>
      <c r="I1415">
        <f>'[1]Processed Data'!I1415</f>
        <v>0</v>
      </c>
      <c r="J1415">
        <f>'[1]Processed Data'!J1415</f>
        <v>0</v>
      </c>
      <c r="K1415">
        <f>'[1]Processed Data'!K1415</f>
        <v>0</v>
      </c>
      <c r="L1415">
        <f>'[1]Processed Data'!L1415</f>
        <v>0</v>
      </c>
      <c r="M1415">
        <f>'[1]Processed Data'!M1415</f>
        <v>0</v>
      </c>
      <c r="N1415">
        <f>'[1]Processed Data'!N1415</f>
        <v>0</v>
      </c>
      <c r="O1415">
        <f>'[1]Processed Data'!O1415</f>
        <v>0</v>
      </c>
      <c r="P1415">
        <f>'[1]Processed Data'!P1415</f>
        <v>0</v>
      </c>
      <c r="Q1415">
        <f>'[1]Processed Data'!Q1415</f>
        <v>0</v>
      </c>
    </row>
    <row r="1416" spans="2:17" hidden="1">
      <c r="B1416">
        <f>'[1]Processed Data'!B1416</f>
        <v>2012</v>
      </c>
      <c r="C1416">
        <f>'[1]Processed Data'!C1416</f>
        <v>61</v>
      </c>
      <c r="D1416" t="str">
        <f>'[1]Processed Data'!D1416</f>
        <v>Jake Luton</v>
      </c>
      <c r="E1416">
        <v>2013</v>
      </c>
      <c r="F1416">
        <f>'[1]Processed Data'!F1416</f>
        <v>0</v>
      </c>
      <c r="G1416">
        <f>'[1]Processed Data'!G1416</f>
        <v>0</v>
      </c>
      <c r="H1416">
        <f>'[1]Processed Data'!H1416</f>
        <v>0</v>
      </c>
      <c r="I1416">
        <f>'[1]Processed Data'!I1416</f>
        <v>0</v>
      </c>
      <c r="J1416">
        <f>'[1]Processed Data'!J1416</f>
        <v>0</v>
      </c>
      <c r="K1416">
        <f>'[1]Processed Data'!K1416</f>
        <v>0</v>
      </c>
      <c r="L1416">
        <f>'[1]Processed Data'!L1416</f>
        <v>0</v>
      </c>
      <c r="M1416">
        <f>'[1]Processed Data'!M1416</f>
        <v>0</v>
      </c>
      <c r="N1416">
        <f>'[1]Processed Data'!N1416</f>
        <v>0</v>
      </c>
      <c r="O1416">
        <f>'[1]Processed Data'!O1416</f>
        <v>0</v>
      </c>
      <c r="P1416">
        <f>'[1]Processed Data'!P1416</f>
        <v>0</v>
      </c>
      <c r="Q1416">
        <f>'[1]Processed Data'!Q1416</f>
        <v>0</v>
      </c>
    </row>
    <row r="1417" spans="2:17" hidden="1">
      <c r="B1417">
        <f>'[1]Processed Data'!B1417</f>
        <v>2012</v>
      </c>
      <c r="C1417">
        <f>'[1]Processed Data'!C1417</f>
        <v>62</v>
      </c>
      <c r="D1417" t="str">
        <f>'[1]Processed Data'!D1417</f>
        <v>Brian Lewerke</v>
      </c>
      <c r="E1417">
        <v>2013</v>
      </c>
      <c r="F1417">
        <f>'[1]Processed Data'!F1417</f>
        <v>0</v>
      </c>
      <c r="G1417">
        <f>'[1]Processed Data'!G1417</f>
        <v>0</v>
      </c>
      <c r="H1417">
        <f>'[1]Processed Data'!H1417</f>
        <v>0</v>
      </c>
      <c r="I1417">
        <f>'[1]Processed Data'!I1417</f>
        <v>0</v>
      </c>
      <c r="J1417">
        <f>'[1]Processed Data'!J1417</f>
        <v>0</v>
      </c>
      <c r="K1417">
        <f>'[1]Processed Data'!K1417</f>
        <v>0</v>
      </c>
      <c r="L1417">
        <f>'[1]Processed Data'!L1417</f>
        <v>0</v>
      </c>
      <c r="M1417">
        <f>'[1]Processed Data'!M1417</f>
        <v>0</v>
      </c>
      <c r="N1417">
        <f>'[1]Processed Data'!N1417</f>
        <v>0</v>
      </c>
      <c r="O1417">
        <f>'[1]Processed Data'!O1417</f>
        <v>0</v>
      </c>
      <c r="P1417">
        <f>'[1]Processed Data'!P1417</f>
        <v>0</v>
      </c>
      <c r="Q1417">
        <f>'[1]Processed Data'!Q1417</f>
        <v>0</v>
      </c>
    </row>
    <row r="1418" spans="2:17" hidden="1">
      <c r="B1418">
        <f>'[1]Processed Data'!B1418</f>
        <v>2012</v>
      </c>
      <c r="C1418">
        <f>'[1]Processed Data'!C1418</f>
        <v>63</v>
      </c>
      <c r="D1418" t="str">
        <f>'[1]Processed Data'!D1418</f>
        <v>Tyler Huntley</v>
      </c>
      <c r="E1418">
        <v>2013</v>
      </c>
      <c r="F1418">
        <f>'[1]Processed Data'!F1418</f>
        <v>0</v>
      </c>
      <c r="G1418">
        <f>'[1]Processed Data'!G1418</f>
        <v>0</v>
      </c>
      <c r="H1418">
        <f>'[1]Processed Data'!H1418</f>
        <v>0</v>
      </c>
      <c r="I1418">
        <f>'[1]Processed Data'!I1418</f>
        <v>0</v>
      </c>
      <c r="J1418">
        <f>'[1]Processed Data'!J1418</f>
        <v>0</v>
      </c>
      <c r="K1418">
        <f>'[1]Processed Data'!K1418</f>
        <v>0</v>
      </c>
      <c r="L1418">
        <f>'[1]Processed Data'!L1418</f>
        <v>0</v>
      </c>
      <c r="M1418">
        <f>'[1]Processed Data'!M1418</f>
        <v>0</v>
      </c>
      <c r="N1418">
        <f>'[1]Processed Data'!N1418</f>
        <v>0</v>
      </c>
      <c r="O1418">
        <f>'[1]Processed Data'!O1418</f>
        <v>0</v>
      </c>
      <c r="P1418">
        <f>'[1]Processed Data'!P1418</f>
        <v>0</v>
      </c>
      <c r="Q1418">
        <f>'[1]Processed Data'!Q1418</f>
        <v>0</v>
      </c>
    </row>
    <row r="1419" spans="2:17" hidden="1">
      <c r="B1419">
        <f>'[1]Processed Data'!B1419</f>
        <v>2012</v>
      </c>
      <c r="C1419">
        <f>'[1]Processed Data'!C1419</f>
        <v>64</v>
      </c>
      <c r="D1419" t="str">
        <f>'[1]Processed Data'!D1419</f>
        <v>Jordan Love</v>
      </c>
      <c r="E1419">
        <v>2013</v>
      </c>
      <c r="F1419">
        <f>'[1]Processed Data'!F1419</f>
        <v>0</v>
      </c>
      <c r="G1419">
        <f>'[1]Processed Data'!G1419</f>
        <v>0</v>
      </c>
      <c r="H1419">
        <f>'[1]Processed Data'!H1419</f>
        <v>0</v>
      </c>
      <c r="I1419">
        <f>'[1]Processed Data'!I1419</f>
        <v>0</v>
      </c>
      <c r="J1419">
        <f>'[1]Processed Data'!J1419</f>
        <v>0</v>
      </c>
      <c r="K1419">
        <f>'[1]Processed Data'!K1419</f>
        <v>0</v>
      </c>
      <c r="L1419">
        <f>'[1]Processed Data'!L1419</f>
        <v>0</v>
      </c>
      <c r="M1419">
        <f>'[1]Processed Data'!M1419</f>
        <v>0</v>
      </c>
      <c r="N1419">
        <f>'[1]Processed Data'!N1419</f>
        <v>0</v>
      </c>
      <c r="O1419">
        <f>'[1]Processed Data'!O1419</f>
        <v>0</v>
      </c>
      <c r="P1419">
        <f>'[1]Processed Data'!P1419</f>
        <v>0</v>
      </c>
      <c r="Q1419">
        <f>'[1]Processed Data'!Q1419</f>
        <v>0</v>
      </c>
    </row>
    <row r="1420" spans="2:17" hidden="1">
      <c r="B1420">
        <f>'[1]Processed Data'!B1420</f>
        <v>2012</v>
      </c>
      <c r="C1420">
        <f>'[1]Processed Data'!C1420</f>
        <v>65</v>
      </c>
      <c r="D1420" t="str">
        <f>'[1]Processed Data'!D1420</f>
        <v>Justin Herbert</v>
      </c>
      <c r="E1420">
        <v>2013</v>
      </c>
      <c r="F1420">
        <f>'[1]Processed Data'!F1420</f>
        <v>0</v>
      </c>
      <c r="G1420">
        <f>'[1]Processed Data'!G1420</f>
        <v>0</v>
      </c>
      <c r="H1420">
        <f>'[1]Processed Data'!H1420</f>
        <v>0</v>
      </c>
      <c r="I1420">
        <f>'[1]Processed Data'!I1420</f>
        <v>0</v>
      </c>
      <c r="J1420">
        <f>'[1]Processed Data'!J1420</f>
        <v>0</v>
      </c>
      <c r="K1420">
        <f>'[1]Processed Data'!K1420</f>
        <v>0</v>
      </c>
      <c r="L1420">
        <f>'[1]Processed Data'!L1420</f>
        <v>0</v>
      </c>
      <c r="M1420">
        <f>'[1]Processed Data'!M1420</f>
        <v>0</v>
      </c>
      <c r="N1420">
        <f>'[1]Processed Data'!N1420</f>
        <v>0</v>
      </c>
      <c r="O1420">
        <f>'[1]Processed Data'!O1420</f>
        <v>0</v>
      </c>
      <c r="P1420">
        <f>'[1]Processed Data'!P1420</f>
        <v>0</v>
      </c>
      <c r="Q1420">
        <f>'[1]Processed Data'!Q1420</f>
        <v>0</v>
      </c>
    </row>
    <row r="1421" spans="2:17" hidden="1">
      <c r="B1421">
        <f>'[1]Processed Data'!B1421</f>
        <v>2012</v>
      </c>
      <c r="C1421">
        <f>'[1]Processed Data'!C1421</f>
        <v>66</v>
      </c>
      <c r="D1421" t="str">
        <f>'[1]Processed Data'!D1421</f>
        <v>David Blough</v>
      </c>
      <c r="E1421">
        <v>2013</v>
      </c>
      <c r="F1421">
        <f>'[1]Processed Data'!F1421</f>
        <v>0</v>
      </c>
      <c r="G1421">
        <f>'[1]Processed Data'!G1421</f>
        <v>0</v>
      </c>
      <c r="H1421">
        <f>'[1]Processed Data'!H1421</f>
        <v>0</v>
      </c>
      <c r="I1421">
        <f>'[1]Processed Data'!I1421</f>
        <v>0</v>
      </c>
      <c r="J1421">
        <f>'[1]Processed Data'!J1421</f>
        <v>0</v>
      </c>
      <c r="K1421">
        <f>'[1]Processed Data'!K1421</f>
        <v>0</v>
      </c>
      <c r="L1421">
        <f>'[1]Processed Data'!L1421</f>
        <v>0</v>
      </c>
      <c r="M1421">
        <f>'[1]Processed Data'!M1421</f>
        <v>0</v>
      </c>
      <c r="N1421">
        <f>'[1]Processed Data'!N1421</f>
        <v>0</v>
      </c>
      <c r="O1421">
        <f>'[1]Processed Data'!O1421</f>
        <v>0</v>
      </c>
      <c r="P1421">
        <f>'[1]Processed Data'!P1421</f>
        <v>0</v>
      </c>
      <c r="Q1421">
        <f>'[1]Processed Data'!Q1421</f>
        <v>0</v>
      </c>
    </row>
    <row r="1422" spans="2:17" hidden="1">
      <c r="B1422">
        <f>'[1]Processed Data'!B1422</f>
        <v>2012</v>
      </c>
      <c r="C1422">
        <f>'[1]Processed Data'!C1422</f>
        <v>67</v>
      </c>
      <c r="D1422" t="str">
        <f>'[1]Processed Data'!D1422</f>
        <v>John Lovett</v>
      </c>
      <c r="E1422">
        <v>2013</v>
      </c>
      <c r="F1422">
        <f>'[1]Processed Data'!F1422</f>
        <v>0</v>
      </c>
      <c r="G1422">
        <f>'[1]Processed Data'!G1422</f>
        <v>0</v>
      </c>
      <c r="H1422">
        <f>'[1]Processed Data'!H1422</f>
        <v>0</v>
      </c>
      <c r="I1422">
        <f>'[1]Processed Data'!I1422</f>
        <v>0</v>
      </c>
      <c r="J1422">
        <f>'[1]Processed Data'!J1422</f>
        <v>0</v>
      </c>
      <c r="K1422">
        <f>'[1]Processed Data'!K1422</f>
        <v>0</v>
      </c>
      <c r="L1422">
        <f>'[1]Processed Data'!L1422</f>
        <v>0</v>
      </c>
      <c r="M1422">
        <f>'[1]Processed Data'!M1422</f>
        <v>0</v>
      </c>
      <c r="N1422">
        <f>'[1]Processed Data'!N1422</f>
        <v>0</v>
      </c>
      <c r="O1422">
        <f>'[1]Processed Data'!O1422</f>
        <v>0</v>
      </c>
      <c r="P1422">
        <f>'[1]Processed Data'!P1422</f>
        <v>0</v>
      </c>
      <c r="Q1422">
        <f>'[1]Processed Data'!Q1422</f>
        <v>0</v>
      </c>
    </row>
    <row r="1423" spans="2:17" hidden="1">
      <c r="B1423">
        <f>'[1]Processed Data'!B1423</f>
        <v>2012</v>
      </c>
      <c r="C1423">
        <f>'[1]Processed Data'!C1423</f>
        <v>68</v>
      </c>
      <c r="D1423" t="str">
        <f>'[1]Processed Data'!D1423</f>
        <v>Jake Fromm</v>
      </c>
      <c r="E1423">
        <v>2013</v>
      </c>
      <c r="F1423">
        <f>'[1]Processed Data'!F1423</f>
        <v>0</v>
      </c>
      <c r="G1423">
        <f>'[1]Processed Data'!G1423</f>
        <v>0</v>
      </c>
      <c r="H1423">
        <f>'[1]Processed Data'!H1423</f>
        <v>0</v>
      </c>
      <c r="I1423">
        <f>'[1]Processed Data'!I1423</f>
        <v>0</v>
      </c>
      <c r="J1423">
        <f>'[1]Processed Data'!J1423</f>
        <v>0</v>
      </c>
      <c r="K1423">
        <f>'[1]Processed Data'!K1423</f>
        <v>0</v>
      </c>
      <c r="L1423">
        <f>'[1]Processed Data'!L1423</f>
        <v>0</v>
      </c>
      <c r="M1423">
        <f>'[1]Processed Data'!M1423</f>
        <v>0</v>
      </c>
      <c r="N1423">
        <f>'[1]Processed Data'!N1423</f>
        <v>0</v>
      </c>
      <c r="O1423">
        <f>'[1]Processed Data'!O1423</f>
        <v>0</v>
      </c>
      <c r="P1423">
        <f>'[1]Processed Data'!P1423</f>
        <v>0</v>
      </c>
      <c r="Q1423">
        <f>'[1]Processed Data'!Q1423</f>
        <v>0</v>
      </c>
    </row>
    <row r="1424" spans="2:17" hidden="1">
      <c r="B1424">
        <f>'[1]Processed Data'!B1424</f>
        <v>2012</v>
      </c>
      <c r="C1424">
        <f>'[1]Processed Data'!C1424</f>
        <v>69</v>
      </c>
      <c r="D1424" t="str">
        <f>'[1]Processed Data'!D1424</f>
        <v>Joe Burrow</v>
      </c>
      <c r="E1424">
        <v>2013</v>
      </c>
      <c r="F1424">
        <f>'[1]Processed Data'!F1424</f>
        <v>0</v>
      </c>
      <c r="G1424">
        <f>'[1]Processed Data'!G1424</f>
        <v>0</v>
      </c>
      <c r="H1424">
        <f>'[1]Processed Data'!H1424</f>
        <v>0</v>
      </c>
      <c r="I1424">
        <f>'[1]Processed Data'!I1424</f>
        <v>0</v>
      </c>
      <c r="J1424">
        <f>'[1]Processed Data'!J1424</f>
        <v>0</v>
      </c>
      <c r="K1424">
        <f>'[1]Processed Data'!K1424</f>
        <v>0</v>
      </c>
      <c r="L1424">
        <f>'[1]Processed Data'!L1424</f>
        <v>0</v>
      </c>
      <c r="M1424">
        <f>'[1]Processed Data'!M1424</f>
        <v>0</v>
      </c>
      <c r="N1424">
        <f>'[1]Processed Data'!N1424</f>
        <v>0</v>
      </c>
      <c r="O1424">
        <f>'[1]Processed Data'!O1424</f>
        <v>0</v>
      </c>
      <c r="P1424">
        <f>'[1]Processed Data'!P1424</f>
        <v>0</v>
      </c>
      <c r="Q1424">
        <f>'[1]Processed Data'!Q1424</f>
        <v>0</v>
      </c>
    </row>
    <row r="1425" spans="2:17" hidden="1">
      <c r="B1425">
        <f>'[1]Processed Data'!B1425</f>
        <v>2012</v>
      </c>
      <c r="C1425">
        <f>'[1]Processed Data'!C1425</f>
        <v>70</v>
      </c>
      <c r="D1425" t="str">
        <f>'[1]Processed Data'!D1425</f>
        <v>Tua Tagovailoa</v>
      </c>
      <c r="E1425">
        <v>2013</v>
      </c>
      <c r="F1425">
        <f>'[1]Processed Data'!F1425</f>
        <v>0</v>
      </c>
      <c r="G1425">
        <f>'[1]Processed Data'!G1425</f>
        <v>0</v>
      </c>
      <c r="H1425">
        <f>'[1]Processed Data'!H1425</f>
        <v>0</v>
      </c>
      <c r="I1425">
        <f>'[1]Processed Data'!I1425</f>
        <v>0</v>
      </c>
      <c r="J1425">
        <f>'[1]Processed Data'!J1425</f>
        <v>0</v>
      </c>
      <c r="K1425">
        <f>'[1]Processed Data'!K1425</f>
        <v>0</v>
      </c>
      <c r="L1425">
        <f>'[1]Processed Data'!L1425</f>
        <v>0</v>
      </c>
      <c r="M1425">
        <f>'[1]Processed Data'!M1425</f>
        <v>0</v>
      </c>
      <c r="N1425">
        <f>'[1]Processed Data'!N1425</f>
        <v>0</v>
      </c>
      <c r="O1425">
        <f>'[1]Processed Data'!O1425</f>
        <v>0</v>
      </c>
      <c r="P1425">
        <f>'[1]Processed Data'!P1425</f>
        <v>0</v>
      </c>
      <c r="Q1425">
        <f>'[1]Processed Data'!Q1425</f>
        <v>0</v>
      </c>
    </row>
    <row r="1426" spans="2:17" hidden="1">
      <c r="B1426">
        <f>'[1]Processed Data'!B1426</f>
        <v>2012</v>
      </c>
      <c r="C1426">
        <f>'[1]Processed Data'!C1426</f>
        <v>71</v>
      </c>
      <c r="D1426" t="str">
        <f>'[1]Processed Data'!D1426</f>
        <v>Jacob Eason</v>
      </c>
      <c r="E1426">
        <v>2013</v>
      </c>
      <c r="F1426">
        <f>'[1]Processed Data'!F1426</f>
        <v>0</v>
      </c>
      <c r="G1426">
        <f>'[1]Processed Data'!G1426</f>
        <v>0</v>
      </c>
      <c r="H1426">
        <f>'[1]Processed Data'!H1426</f>
        <v>0</v>
      </c>
      <c r="I1426">
        <f>'[1]Processed Data'!I1426</f>
        <v>0</v>
      </c>
      <c r="J1426">
        <f>'[1]Processed Data'!J1426</f>
        <v>0</v>
      </c>
      <c r="K1426">
        <f>'[1]Processed Data'!K1426</f>
        <v>0</v>
      </c>
      <c r="L1426">
        <f>'[1]Processed Data'!L1426</f>
        <v>0</v>
      </c>
      <c r="M1426">
        <f>'[1]Processed Data'!M1426</f>
        <v>0</v>
      </c>
      <c r="N1426">
        <f>'[1]Processed Data'!N1426</f>
        <v>0</v>
      </c>
      <c r="O1426">
        <f>'[1]Processed Data'!O1426</f>
        <v>0</v>
      </c>
      <c r="P1426">
        <f>'[1]Processed Data'!P1426</f>
        <v>0</v>
      </c>
      <c r="Q1426">
        <f>'[1]Processed Data'!Q1426</f>
        <v>0</v>
      </c>
    </row>
    <row r="1427" spans="2:17" hidden="1">
      <c r="B1427">
        <f>'[1]Processed Data'!B1427</f>
        <v>2012</v>
      </c>
      <c r="C1427">
        <f>'[1]Processed Data'!C1427</f>
        <v>72</v>
      </c>
      <c r="D1427" t="str">
        <f>'[1]Processed Data'!D1427</f>
        <v>Ryan Willis</v>
      </c>
      <c r="E1427">
        <v>2013</v>
      </c>
      <c r="F1427">
        <f>'[1]Processed Data'!F1427</f>
        <v>0</v>
      </c>
      <c r="G1427">
        <f>'[1]Processed Data'!G1427</f>
        <v>0</v>
      </c>
      <c r="H1427">
        <f>'[1]Processed Data'!H1427</f>
        <v>0</v>
      </c>
      <c r="I1427">
        <f>'[1]Processed Data'!I1427</f>
        <v>0</v>
      </c>
      <c r="J1427">
        <f>'[1]Processed Data'!J1427</f>
        <v>0</v>
      </c>
      <c r="K1427">
        <f>'[1]Processed Data'!K1427</f>
        <v>0</v>
      </c>
      <c r="L1427">
        <f>'[1]Processed Data'!L1427</f>
        <v>0</v>
      </c>
      <c r="M1427">
        <f>'[1]Processed Data'!M1427</f>
        <v>0</v>
      </c>
      <c r="N1427">
        <f>'[1]Processed Data'!N1427</f>
        <v>0</v>
      </c>
      <c r="O1427">
        <f>'[1]Processed Data'!O1427</f>
        <v>0</v>
      </c>
      <c r="P1427">
        <f>'[1]Processed Data'!P1427</f>
        <v>0</v>
      </c>
      <c r="Q1427">
        <f>'[1]Processed Data'!Q1427</f>
        <v>0</v>
      </c>
    </row>
    <row r="1428" spans="2:17" hidden="1">
      <c r="B1428">
        <f>'[1]Processed Data'!B1428</f>
        <v>2012</v>
      </c>
      <c r="C1428">
        <f>'[1]Processed Data'!C1428</f>
        <v>73</v>
      </c>
      <c r="D1428" t="str">
        <f>'[1]Processed Data'!D1428</f>
        <v>Mike White</v>
      </c>
      <c r="E1428">
        <v>2013</v>
      </c>
      <c r="F1428">
        <f>'[1]Processed Data'!F1428</f>
        <v>0</v>
      </c>
      <c r="G1428">
        <f>'[1]Processed Data'!G1428</f>
        <v>0</v>
      </c>
      <c r="H1428">
        <f>'[1]Processed Data'!H1428</f>
        <v>0</v>
      </c>
      <c r="I1428">
        <f>'[1]Processed Data'!I1428</f>
        <v>0</v>
      </c>
      <c r="J1428">
        <f>'[1]Processed Data'!J1428</f>
        <v>0</v>
      </c>
      <c r="K1428">
        <f>'[1]Processed Data'!K1428</f>
        <v>0</v>
      </c>
      <c r="L1428">
        <f>'[1]Processed Data'!L1428</f>
        <v>0</v>
      </c>
      <c r="M1428">
        <f>'[1]Processed Data'!M1428</f>
        <v>0</v>
      </c>
      <c r="N1428">
        <f>'[1]Processed Data'!N1428</f>
        <v>0</v>
      </c>
      <c r="O1428">
        <f>'[1]Processed Data'!O1428</f>
        <v>0</v>
      </c>
      <c r="P1428">
        <f>'[1]Processed Data'!P1428</f>
        <v>0</v>
      </c>
      <c r="Q1428">
        <f>'[1]Processed Data'!Q1428</f>
        <v>0</v>
      </c>
    </row>
    <row r="1429" spans="2:17" hidden="1">
      <c r="B1429">
        <f>'[1]Processed Data'!B1429</f>
        <v>2012</v>
      </c>
      <c r="C1429">
        <f>'[1]Processed Data'!C1429</f>
        <v>74</v>
      </c>
      <c r="D1429" t="str">
        <f>'[1]Processed Data'!D1429</f>
        <v>Zach Wilson</v>
      </c>
      <c r="E1429">
        <v>2013</v>
      </c>
      <c r="F1429">
        <f>'[1]Processed Data'!F1429</f>
        <v>0</v>
      </c>
      <c r="G1429">
        <f>'[1]Processed Data'!G1429</f>
        <v>0</v>
      </c>
      <c r="H1429">
        <f>'[1]Processed Data'!H1429</f>
        <v>0</v>
      </c>
      <c r="I1429">
        <f>'[1]Processed Data'!I1429</f>
        <v>0</v>
      </c>
      <c r="J1429">
        <f>'[1]Processed Data'!J1429</f>
        <v>0</v>
      </c>
      <c r="K1429">
        <f>'[1]Processed Data'!K1429</f>
        <v>0</v>
      </c>
      <c r="L1429">
        <f>'[1]Processed Data'!L1429</f>
        <v>0</v>
      </c>
      <c r="M1429">
        <f>'[1]Processed Data'!M1429</f>
        <v>0</v>
      </c>
      <c r="N1429">
        <f>'[1]Processed Data'!N1429</f>
        <v>0</v>
      </c>
      <c r="O1429">
        <f>'[1]Processed Data'!O1429</f>
        <v>0</v>
      </c>
      <c r="P1429">
        <f>'[1]Processed Data'!P1429</f>
        <v>0</v>
      </c>
      <c r="Q1429">
        <f>'[1]Processed Data'!Q1429</f>
        <v>0</v>
      </c>
    </row>
    <row r="1430" spans="2:17" hidden="1">
      <c r="B1430">
        <f>'[1]Processed Data'!B1430</f>
        <v>2012</v>
      </c>
      <c r="C1430">
        <f>'[1]Processed Data'!C1430</f>
        <v>75</v>
      </c>
      <c r="D1430" t="str">
        <f>'[1]Processed Data'!D1430</f>
        <v>Davis Mills</v>
      </c>
      <c r="E1430">
        <v>2013</v>
      </c>
      <c r="F1430">
        <f>'[1]Processed Data'!F1430</f>
        <v>0</v>
      </c>
      <c r="G1430">
        <f>'[1]Processed Data'!G1430</f>
        <v>0</v>
      </c>
      <c r="H1430">
        <f>'[1]Processed Data'!H1430</f>
        <v>0</v>
      </c>
      <c r="I1430">
        <f>'[1]Processed Data'!I1430</f>
        <v>0</v>
      </c>
      <c r="J1430">
        <f>'[1]Processed Data'!J1430</f>
        <v>0</v>
      </c>
      <c r="K1430">
        <f>'[1]Processed Data'!K1430</f>
        <v>0</v>
      </c>
      <c r="L1430">
        <f>'[1]Processed Data'!L1430</f>
        <v>0</v>
      </c>
      <c r="M1430">
        <f>'[1]Processed Data'!M1430</f>
        <v>0</v>
      </c>
      <c r="N1430">
        <f>'[1]Processed Data'!N1430</f>
        <v>0</v>
      </c>
      <c r="O1430">
        <f>'[1]Processed Data'!O1430</f>
        <v>0</v>
      </c>
      <c r="P1430">
        <f>'[1]Processed Data'!P1430</f>
        <v>0</v>
      </c>
      <c r="Q1430">
        <f>'[1]Processed Data'!Q1430</f>
        <v>0</v>
      </c>
    </row>
    <row r="1431" spans="2:17" hidden="1">
      <c r="B1431">
        <f>'[1]Processed Data'!B1431</f>
        <v>2012</v>
      </c>
      <c r="C1431">
        <f>'[1]Processed Data'!C1431</f>
        <v>76</v>
      </c>
      <c r="D1431" t="str">
        <f>'[1]Processed Data'!D1431</f>
        <v>Lamar Jackson</v>
      </c>
      <c r="E1431">
        <v>2013</v>
      </c>
      <c r="F1431">
        <f>'[1]Processed Data'!F1431</f>
        <v>0</v>
      </c>
      <c r="G1431">
        <f>'[1]Processed Data'!G1431</f>
        <v>0</v>
      </c>
      <c r="H1431">
        <f>'[1]Processed Data'!H1431</f>
        <v>0</v>
      </c>
      <c r="I1431">
        <f>'[1]Processed Data'!I1431</f>
        <v>0</v>
      </c>
      <c r="J1431">
        <f>'[1]Processed Data'!J1431</f>
        <v>0</v>
      </c>
      <c r="K1431">
        <f>'[1]Processed Data'!K1431</f>
        <v>0</v>
      </c>
      <c r="L1431">
        <f>'[1]Processed Data'!L1431</f>
        <v>0</v>
      </c>
      <c r="M1431">
        <f>'[1]Processed Data'!M1431</f>
        <v>0</v>
      </c>
      <c r="N1431">
        <f>'[1]Processed Data'!N1431</f>
        <v>0</v>
      </c>
      <c r="O1431">
        <f>'[1]Processed Data'!O1431</f>
        <v>0</v>
      </c>
      <c r="P1431">
        <f>'[1]Processed Data'!P1431</f>
        <v>0</v>
      </c>
      <c r="Q1431">
        <f>'[1]Processed Data'!Q1431</f>
        <v>0</v>
      </c>
    </row>
    <row r="1432" spans="2:17" hidden="1">
      <c r="B1432">
        <f>'[1]Processed Data'!B1432</f>
        <v>2012</v>
      </c>
      <c r="C1432">
        <f>'[1]Processed Data'!C1432</f>
        <v>77</v>
      </c>
      <c r="D1432" t="str">
        <f>'[1]Processed Data'!D1432</f>
        <v>Christian Ponder</v>
      </c>
      <c r="E1432">
        <v>2013</v>
      </c>
      <c r="F1432">
        <f>'[1]Processed Data'!F1432</f>
        <v>300</v>
      </c>
      <c r="G1432">
        <f>'[1]Processed Data'!G1432</f>
        <v>483</v>
      </c>
      <c r="H1432">
        <f>'[1]Processed Data'!H1432</f>
        <v>62.1</v>
      </c>
      <c r="I1432">
        <f>'[1]Processed Data'!I1432</f>
        <v>18</v>
      </c>
      <c r="J1432">
        <f>'[1]Processed Data'!J1432</f>
        <v>12</v>
      </c>
      <c r="K1432">
        <f>'[1]Processed Data'!K1432</f>
        <v>32</v>
      </c>
      <c r="L1432">
        <f>'[1]Processed Data'!L1432</f>
        <v>60</v>
      </c>
      <c r="M1432">
        <f>'[1]Processed Data'!M1432</f>
        <v>253</v>
      </c>
      <c r="N1432">
        <f>'[1]Processed Data'!N1432</f>
        <v>2</v>
      </c>
      <c r="O1432">
        <f>'[1]Processed Data'!O1432</f>
        <v>5</v>
      </c>
      <c r="P1432">
        <f>'[1]Processed Data'!P1432</f>
        <v>0</v>
      </c>
      <c r="Q1432">
        <f>'[1]Processed Data'!Q1432</f>
        <v>16</v>
      </c>
    </row>
    <row r="1433" spans="2:17" hidden="1">
      <c r="B1433">
        <f>'[1]Processed Data'!B1433</f>
        <v>2012</v>
      </c>
      <c r="C1433">
        <f>'[1]Processed Data'!C1433</f>
        <v>78</v>
      </c>
      <c r="D1433" t="str">
        <f>'[1]Processed Data'!D1433</f>
        <v>Rusty Smith</v>
      </c>
      <c r="E1433">
        <v>2013</v>
      </c>
      <c r="F1433">
        <f>'[1]Processed Data'!F1433</f>
        <v>3</v>
      </c>
      <c r="G1433">
        <f>'[1]Processed Data'!G1433</f>
        <v>5</v>
      </c>
      <c r="H1433">
        <f>'[1]Processed Data'!H1433</f>
        <v>60</v>
      </c>
      <c r="I1433">
        <f>'[1]Processed Data'!I1433</f>
        <v>0</v>
      </c>
      <c r="J1433">
        <f>'[1]Processed Data'!J1433</f>
        <v>0</v>
      </c>
      <c r="K1433">
        <f>'[1]Processed Data'!K1433</f>
        <v>0</v>
      </c>
      <c r="L1433">
        <f>'[1]Processed Data'!L1433</f>
        <v>0</v>
      </c>
      <c r="M1433">
        <f>'[1]Processed Data'!M1433</f>
        <v>0</v>
      </c>
      <c r="N1433">
        <f>'[1]Processed Data'!N1433</f>
        <v>0</v>
      </c>
      <c r="O1433">
        <f>'[1]Processed Data'!O1433</f>
        <v>0</v>
      </c>
      <c r="P1433">
        <f>'[1]Processed Data'!P1433</f>
        <v>0</v>
      </c>
      <c r="Q1433">
        <f>'[1]Processed Data'!Q1433</f>
        <v>1</v>
      </c>
    </row>
    <row r="1434" spans="2:17" hidden="1">
      <c r="B1434">
        <f>'[1]Processed Data'!B1434</f>
        <v>2012</v>
      </c>
      <c r="C1434">
        <f>'[1]Processed Data'!C1434</f>
        <v>79</v>
      </c>
      <c r="D1434" t="str">
        <f>'[1]Processed Data'!D1434</f>
        <v>Ryan Mallett</v>
      </c>
      <c r="E1434">
        <v>2013</v>
      </c>
      <c r="F1434">
        <f>'[1]Processed Data'!F1434</f>
        <v>1</v>
      </c>
      <c r="G1434">
        <f>'[1]Processed Data'!G1434</f>
        <v>4</v>
      </c>
      <c r="H1434">
        <f>'[1]Processed Data'!H1434</f>
        <v>25</v>
      </c>
      <c r="I1434">
        <f>'[1]Processed Data'!I1434</f>
        <v>0</v>
      </c>
      <c r="J1434">
        <f>'[1]Processed Data'!J1434</f>
        <v>1</v>
      </c>
      <c r="K1434">
        <f>'[1]Processed Data'!K1434</f>
        <v>0</v>
      </c>
      <c r="L1434">
        <f>'[1]Processed Data'!L1434</f>
        <v>8</v>
      </c>
      <c r="M1434">
        <f>'[1]Processed Data'!M1434</f>
        <v>-9</v>
      </c>
      <c r="N1434">
        <f>'[1]Processed Data'!N1434</f>
        <v>0</v>
      </c>
      <c r="O1434">
        <f>'[1]Processed Data'!O1434</f>
        <v>0</v>
      </c>
      <c r="P1434">
        <f>'[1]Processed Data'!P1434</f>
        <v>0</v>
      </c>
      <c r="Q1434">
        <f>'[1]Processed Data'!Q1434</f>
        <v>4</v>
      </c>
    </row>
    <row r="1435" spans="2:17" hidden="1">
      <c r="B1435">
        <f>'[1]Processed Data'!B1435</f>
        <v>2012</v>
      </c>
      <c r="C1435">
        <f>'[1]Processed Data'!C1435</f>
        <v>80</v>
      </c>
      <c r="D1435" t="str">
        <f>'[1]Processed Data'!D1435</f>
        <v>Jake Locker</v>
      </c>
      <c r="E1435">
        <v>2013</v>
      </c>
      <c r="F1435">
        <f>'[1]Processed Data'!F1435</f>
        <v>177</v>
      </c>
      <c r="G1435">
        <f>'[1]Processed Data'!G1435</f>
        <v>314</v>
      </c>
      <c r="H1435">
        <f>'[1]Processed Data'!H1435</f>
        <v>56.4</v>
      </c>
      <c r="I1435">
        <f>'[1]Processed Data'!I1435</f>
        <v>10</v>
      </c>
      <c r="J1435">
        <f>'[1]Processed Data'!J1435</f>
        <v>11</v>
      </c>
      <c r="K1435">
        <f>'[1]Processed Data'!K1435</f>
        <v>25</v>
      </c>
      <c r="L1435">
        <f>'[1]Processed Data'!L1435</f>
        <v>41</v>
      </c>
      <c r="M1435">
        <f>'[1]Processed Data'!M1435</f>
        <v>291</v>
      </c>
      <c r="N1435">
        <f>'[1]Processed Data'!N1435</f>
        <v>1</v>
      </c>
      <c r="O1435">
        <f>'[1]Processed Data'!O1435</f>
        <v>4</v>
      </c>
      <c r="P1435">
        <f>'[1]Processed Data'!P1435</f>
        <v>0</v>
      </c>
      <c r="Q1435">
        <f>'[1]Processed Data'!Q1435</f>
        <v>11</v>
      </c>
    </row>
    <row r="1436" spans="2:17" hidden="1">
      <c r="B1436">
        <f>'[1]Processed Data'!B1436</f>
        <v>2012</v>
      </c>
      <c r="C1436">
        <f>'[1]Processed Data'!C1436</f>
        <v>81</v>
      </c>
      <c r="D1436" t="str">
        <f>'[1]Processed Data'!D1436</f>
        <v>Colin Kaepernick</v>
      </c>
      <c r="E1436">
        <v>2013</v>
      </c>
      <c r="F1436">
        <f>'[1]Processed Data'!F1436</f>
        <v>136</v>
      </c>
      <c r="G1436">
        <f>'[1]Processed Data'!G1436</f>
        <v>218</v>
      </c>
      <c r="H1436">
        <f>'[1]Processed Data'!H1436</f>
        <v>62.4</v>
      </c>
      <c r="I1436">
        <f>'[1]Processed Data'!I1436</f>
        <v>10</v>
      </c>
      <c r="J1436">
        <f>'[1]Processed Data'!J1436</f>
        <v>3</v>
      </c>
      <c r="K1436">
        <f>'[1]Processed Data'!K1436</f>
        <v>16</v>
      </c>
      <c r="L1436">
        <f>'[1]Processed Data'!L1436</f>
        <v>63</v>
      </c>
      <c r="M1436">
        <f>'[1]Processed Data'!M1436</f>
        <v>415</v>
      </c>
      <c r="N1436">
        <f>'[1]Processed Data'!N1436</f>
        <v>5</v>
      </c>
      <c r="O1436">
        <f>'[1]Processed Data'!O1436</f>
        <v>2</v>
      </c>
      <c r="P1436">
        <f>'[1]Processed Data'!P1436</f>
        <v>0</v>
      </c>
      <c r="Q1436">
        <f>'[1]Processed Data'!Q1436</f>
        <v>13</v>
      </c>
    </row>
    <row r="1437" spans="2:17" hidden="1">
      <c r="B1437">
        <f>'[1]Processed Data'!B1437</f>
        <v>2012</v>
      </c>
      <c r="C1437">
        <f>'[1]Processed Data'!C1437</f>
        <v>82</v>
      </c>
      <c r="D1437" t="str">
        <f>'[1]Processed Data'!D1437</f>
        <v>Graham Harrell</v>
      </c>
      <c r="E1437">
        <v>2013</v>
      </c>
      <c r="F1437">
        <f>'[1]Processed Data'!F1437</f>
        <v>2</v>
      </c>
      <c r="G1437">
        <f>'[1]Processed Data'!G1437</f>
        <v>4</v>
      </c>
      <c r="H1437">
        <f>'[1]Processed Data'!H1437</f>
        <v>50</v>
      </c>
      <c r="I1437">
        <f>'[1]Processed Data'!I1437</f>
        <v>0</v>
      </c>
      <c r="J1437">
        <f>'[1]Processed Data'!J1437</f>
        <v>0</v>
      </c>
      <c r="K1437">
        <f>'[1]Processed Data'!K1437</f>
        <v>0</v>
      </c>
      <c r="L1437">
        <f>'[1]Processed Data'!L1437</f>
        <v>4</v>
      </c>
      <c r="M1437">
        <f>'[1]Processed Data'!M1437</f>
        <v>-3</v>
      </c>
      <c r="N1437">
        <f>'[1]Processed Data'!N1437</f>
        <v>0</v>
      </c>
      <c r="O1437">
        <f>'[1]Processed Data'!O1437</f>
        <v>1</v>
      </c>
      <c r="P1437">
        <f>'[1]Processed Data'!P1437</f>
        <v>0</v>
      </c>
      <c r="Q1437">
        <f>'[1]Processed Data'!Q1437</f>
        <v>4</v>
      </c>
    </row>
    <row r="1438" spans="2:17" hidden="1">
      <c r="B1438">
        <f>'[1]Processed Data'!B1438</f>
        <v>2012</v>
      </c>
      <c r="C1438">
        <f>'[1]Processed Data'!C1438</f>
        <v>83</v>
      </c>
      <c r="D1438" t="str">
        <f>'[1]Processed Data'!D1438</f>
        <v>T.J. Yates</v>
      </c>
      <c r="E1438">
        <v>2013</v>
      </c>
      <c r="F1438">
        <f>'[1]Processed Data'!F1438</f>
        <v>4</v>
      </c>
      <c r="G1438">
        <f>'[1]Processed Data'!G1438</f>
        <v>10</v>
      </c>
      <c r="H1438">
        <f>'[1]Processed Data'!H1438</f>
        <v>40</v>
      </c>
      <c r="I1438">
        <f>'[1]Processed Data'!I1438</f>
        <v>0</v>
      </c>
      <c r="J1438">
        <f>'[1]Processed Data'!J1438</f>
        <v>1</v>
      </c>
      <c r="K1438">
        <f>'[1]Processed Data'!K1438</f>
        <v>1</v>
      </c>
      <c r="L1438">
        <f>'[1]Processed Data'!L1438</f>
        <v>2</v>
      </c>
      <c r="M1438">
        <f>'[1]Processed Data'!M1438</f>
        <v>-1</v>
      </c>
      <c r="N1438">
        <f>'[1]Processed Data'!N1438</f>
        <v>1</v>
      </c>
      <c r="O1438">
        <f>'[1]Processed Data'!O1438</f>
        <v>1</v>
      </c>
      <c r="P1438">
        <f>'[1]Processed Data'!P1438</f>
        <v>0</v>
      </c>
      <c r="Q1438">
        <f>'[1]Processed Data'!Q1438</f>
        <v>4</v>
      </c>
    </row>
    <row r="1439" spans="2:17" hidden="1">
      <c r="B1439">
        <f>'[1]Processed Data'!B1439</f>
        <v>2012</v>
      </c>
      <c r="C1439">
        <f>'[1]Processed Data'!C1439</f>
        <v>84</v>
      </c>
      <c r="D1439" t="str">
        <f>'[1]Processed Data'!D1439</f>
        <v>Greg McElroy</v>
      </c>
      <c r="E1439">
        <v>2013</v>
      </c>
      <c r="F1439">
        <f>'[1]Processed Data'!F1439</f>
        <v>19</v>
      </c>
      <c r="G1439">
        <f>'[1]Processed Data'!G1439</f>
        <v>31</v>
      </c>
      <c r="H1439">
        <f>'[1]Processed Data'!H1439</f>
        <v>61.3</v>
      </c>
      <c r="I1439">
        <f>'[1]Processed Data'!I1439</f>
        <v>1</v>
      </c>
      <c r="J1439">
        <f>'[1]Processed Data'!J1439</f>
        <v>1</v>
      </c>
      <c r="K1439">
        <f>'[1]Processed Data'!K1439</f>
        <v>11</v>
      </c>
      <c r="L1439">
        <f>'[1]Processed Data'!L1439</f>
        <v>8</v>
      </c>
      <c r="M1439">
        <f>'[1]Processed Data'!M1439</f>
        <v>30</v>
      </c>
      <c r="N1439">
        <f>'[1]Processed Data'!N1439</f>
        <v>0</v>
      </c>
      <c r="O1439">
        <f>'[1]Processed Data'!O1439</f>
        <v>1</v>
      </c>
      <c r="P1439">
        <f>'[1]Processed Data'!P1439</f>
        <v>0</v>
      </c>
      <c r="Q1439">
        <f>'[1]Processed Data'!Q1439</f>
        <v>2</v>
      </c>
    </row>
    <row r="1440" spans="2:17" hidden="1">
      <c r="B1440">
        <f>'[1]Processed Data'!B1440</f>
        <v>2012</v>
      </c>
      <c r="C1440">
        <f>'[1]Processed Data'!C1440</f>
        <v>85</v>
      </c>
      <c r="D1440" t="str">
        <f>'[1]Processed Data'!D1440</f>
        <v>Ben Chappell</v>
      </c>
      <c r="E1440">
        <v>2013</v>
      </c>
      <c r="F1440">
        <f>'[1]Processed Data'!F1440</f>
        <v>0</v>
      </c>
      <c r="G1440">
        <f>'[1]Processed Data'!G1440</f>
        <v>0</v>
      </c>
      <c r="H1440">
        <f>'[1]Processed Data'!H1440</f>
        <v>0</v>
      </c>
      <c r="I1440">
        <f>'[1]Processed Data'!I1440</f>
        <v>0</v>
      </c>
      <c r="J1440">
        <f>'[1]Processed Data'!J1440</f>
        <v>0</v>
      </c>
      <c r="K1440">
        <f>'[1]Processed Data'!K1440</f>
        <v>0</v>
      </c>
      <c r="L1440">
        <f>'[1]Processed Data'!L1440</f>
        <v>0</v>
      </c>
      <c r="M1440">
        <f>'[1]Processed Data'!M1440</f>
        <v>0</v>
      </c>
      <c r="N1440">
        <f>'[1]Processed Data'!N1440</f>
        <v>0</v>
      </c>
      <c r="O1440">
        <f>'[1]Processed Data'!O1440</f>
        <v>0</v>
      </c>
      <c r="P1440">
        <f>'[1]Processed Data'!P1440</f>
        <v>0</v>
      </c>
      <c r="Q1440">
        <f>'[1]Processed Data'!Q1440</f>
        <v>0</v>
      </c>
    </row>
    <row r="1441" spans="2:17" hidden="1">
      <c r="B1441">
        <f>'[1]Processed Data'!B1441</f>
        <v>2012</v>
      </c>
      <c r="C1441">
        <f>'[1]Processed Data'!C1441</f>
        <v>86</v>
      </c>
      <c r="D1441" t="str">
        <f>'[1]Processed Data'!D1441</f>
        <v>Adam Froman</v>
      </c>
      <c r="E1441">
        <v>2013</v>
      </c>
      <c r="F1441">
        <f>'[1]Processed Data'!F1441</f>
        <v>0</v>
      </c>
      <c r="G1441">
        <f>'[1]Processed Data'!G1441</f>
        <v>0</v>
      </c>
      <c r="H1441">
        <f>'[1]Processed Data'!H1441</f>
        <v>0</v>
      </c>
      <c r="I1441">
        <f>'[1]Processed Data'!I1441</f>
        <v>0</v>
      </c>
      <c r="J1441">
        <f>'[1]Processed Data'!J1441</f>
        <v>0</v>
      </c>
      <c r="K1441">
        <f>'[1]Processed Data'!K1441</f>
        <v>0</v>
      </c>
      <c r="L1441">
        <f>'[1]Processed Data'!L1441</f>
        <v>0</v>
      </c>
      <c r="M1441">
        <f>'[1]Processed Data'!M1441</f>
        <v>0</v>
      </c>
      <c r="N1441">
        <f>'[1]Processed Data'!N1441</f>
        <v>0</v>
      </c>
      <c r="O1441">
        <f>'[1]Processed Data'!O1441</f>
        <v>0</v>
      </c>
      <c r="P1441">
        <f>'[1]Processed Data'!P1441</f>
        <v>0</v>
      </c>
      <c r="Q1441">
        <f>'[1]Processed Data'!Q1441</f>
        <v>0</v>
      </c>
    </row>
    <row r="1442" spans="2:17" hidden="1">
      <c r="B1442">
        <f>'[1]Processed Data'!B1442</f>
        <v>2012</v>
      </c>
      <c r="C1442">
        <f>'[1]Processed Data'!C1442</f>
        <v>87</v>
      </c>
      <c r="D1442" t="str">
        <f>'[1]Processed Data'!D1442</f>
        <v>John David Booty</v>
      </c>
      <c r="E1442">
        <v>2013</v>
      </c>
      <c r="F1442">
        <f>'[1]Processed Data'!F1442</f>
        <v>0</v>
      </c>
      <c r="G1442">
        <f>'[1]Processed Data'!G1442</f>
        <v>0</v>
      </c>
      <c r="H1442">
        <f>'[1]Processed Data'!H1442</f>
        <v>0</v>
      </c>
      <c r="I1442">
        <f>'[1]Processed Data'!I1442</f>
        <v>0</v>
      </c>
      <c r="J1442">
        <f>'[1]Processed Data'!J1442</f>
        <v>0</v>
      </c>
      <c r="K1442">
        <f>'[1]Processed Data'!K1442</f>
        <v>0</v>
      </c>
      <c r="L1442">
        <f>'[1]Processed Data'!L1442</f>
        <v>0</v>
      </c>
      <c r="M1442">
        <f>'[1]Processed Data'!M1442</f>
        <v>0</v>
      </c>
      <c r="N1442">
        <f>'[1]Processed Data'!N1442</f>
        <v>0</v>
      </c>
      <c r="O1442">
        <f>'[1]Processed Data'!O1442</f>
        <v>0</v>
      </c>
      <c r="P1442">
        <f>'[1]Processed Data'!P1442</f>
        <v>0</v>
      </c>
      <c r="Q1442">
        <f>'[1]Processed Data'!Q1442</f>
        <v>0</v>
      </c>
    </row>
    <row r="1443" spans="2:17" hidden="1">
      <c r="B1443">
        <f>'[1]Processed Data'!B1443</f>
        <v>2012</v>
      </c>
      <c r="C1443">
        <f>'[1]Processed Data'!C1443</f>
        <v>88</v>
      </c>
      <c r="D1443" t="str">
        <f>'[1]Processed Data'!D1443</f>
        <v>Erik Ainge</v>
      </c>
      <c r="E1443">
        <v>2013</v>
      </c>
      <c r="F1443">
        <f>'[1]Processed Data'!F1443</f>
        <v>0</v>
      </c>
      <c r="G1443">
        <f>'[1]Processed Data'!G1443</f>
        <v>0</v>
      </c>
      <c r="H1443">
        <f>'[1]Processed Data'!H1443</f>
        <v>0</v>
      </c>
      <c r="I1443">
        <f>'[1]Processed Data'!I1443</f>
        <v>0</v>
      </c>
      <c r="J1443">
        <f>'[1]Processed Data'!J1443</f>
        <v>0</v>
      </c>
      <c r="K1443">
        <f>'[1]Processed Data'!K1443</f>
        <v>0</v>
      </c>
      <c r="L1443">
        <f>'[1]Processed Data'!L1443</f>
        <v>0</v>
      </c>
      <c r="M1443">
        <f>'[1]Processed Data'!M1443</f>
        <v>0</v>
      </c>
      <c r="N1443">
        <f>'[1]Processed Data'!N1443</f>
        <v>0</v>
      </c>
      <c r="O1443">
        <f>'[1]Processed Data'!O1443</f>
        <v>0</v>
      </c>
      <c r="P1443">
        <f>'[1]Processed Data'!P1443</f>
        <v>0</v>
      </c>
      <c r="Q1443">
        <f>'[1]Processed Data'!Q1443</f>
        <v>0</v>
      </c>
    </row>
    <row r="1444" spans="2:17" hidden="1">
      <c r="B1444">
        <f>'[1]Processed Data'!B1444</f>
        <v>2012</v>
      </c>
      <c r="C1444">
        <f>'[1]Processed Data'!C1444</f>
        <v>89</v>
      </c>
      <c r="D1444" t="str">
        <f>'[1]Processed Data'!D1444</f>
        <v>Hunter Cantwell</v>
      </c>
      <c r="E1444">
        <v>2013</v>
      </c>
      <c r="F1444">
        <f>'[1]Processed Data'!F1444</f>
        <v>0</v>
      </c>
      <c r="G1444">
        <f>'[1]Processed Data'!G1444</f>
        <v>0</v>
      </c>
      <c r="H1444">
        <f>'[1]Processed Data'!H1444</f>
        <v>0</v>
      </c>
      <c r="I1444">
        <f>'[1]Processed Data'!I1444</f>
        <v>0</v>
      </c>
      <c r="J1444">
        <f>'[1]Processed Data'!J1444</f>
        <v>0</v>
      </c>
      <c r="K1444">
        <f>'[1]Processed Data'!K1444</f>
        <v>0</v>
      </c>
      <c r="L1444">
        <f>'[1]Processed Data'!L1444</f>
        <v>0</v>
      </c>
      <c r="M1444">
        <f>'[1]Processed Data'!M1444</f>
        <v>0</v>
      </c>
      <c r="N1444">
        <f>'[1]Processed Data'!N1444</f>
        <v>0</v>
      </c>
      <c r="O1444">
        <f>'[1]Processed Data'!O1444</f>
        <v>0</v>
      </c>
      <c r="P1444">
        <f>'[1]Processed Data'!P1444</f>
        <v>0</v>
      </c>
      <c r="Q1444">
        <f>'[1]Processed Data'!Q1444</f>
        <v>0</v>
      </c>
    </row>
    <row r="1445" spans="2:17" hidden="1">
      <c r="B1445">
        <f>'[1]Processed Data'!B1445</f>
        <v>2012</v>
      </c>
      <c r="C1445">
        <f>'[1]Processed Data'!C1445</f>
        <v>90</v>
      </c>
      <c r="D1445" t="str">
        <f>'[1]Processed Data'!D1445</f>
        <v>Brandon Weeden</v>
      </c>
      <c r="E1445">
        <v>2013</v>
      </c>
      <c r="F1445">
        <f>'[1]Processed Data'!F1445</f>
        <v>297</v>
      </c>
      <c r="G1445">
        <f>'[1]Processed Data'!G1445</f>
        <v>517</v>
      </c>
      <c r="H1445">
        <f>'[1]Processed Data'!H1445</f>
        <v>57.4</v>
      </c>
      <c r="I1445">
        <f>'[1]Processed Data'!I1445</f>
        <v>14</v>
      </c>
      <c r="J1445">
        <f>'[1]Processed Data'!J1445</f>
        <v>17</v>
      </c>
      <c r="K1445">
        <f>'[1]Processed Data'!K1445</f>
        <v>28</v>
      </c>
      <c r="L1445">
        <f>'[1]Processed Data'!L1445</f>
        <v>27</v>
      </c>
      <c r="M1445">
        <f>'[1]Processed Data'!M1445</f>
        <v>111</v>
      </c>
      <c r="N1445">
        <f>'[1]Processed Data'!N1445</f>
        <v>0</v>
      </c>
      <c r="O1445">
        <f>'[1]Processed Data'!O1445</f>
        <v>1</v>
      </c>
      <c r="P1445">
        <f>'[1]Processed Data'!P1445</f>
        <v>0</v>
      </c>
      <c r="Q1445">
        <f>'[1]Processed Data'!Q1445</f>
        <v>15</v>
      </c>
    </row>
    <row r="1446" spans="2:17" hidden="1">
      <c r="B1446">
        <f>'[1]Processed Data'!B1446</f>
        <v>2012</v>
      </c>
      <c r="C1446">
        <f>'[1]Processed Data'!C1446</f>
        <v>91</v>
      </c>
      <c r="D1446" t="str">
        <f>'[1]Processed Data'!D1446</f>
        <v>Thaddeus Lewis</v>
      </c>
      <c r="E1446">
        <v>2013</v>
      </c>
      <c r="F1446">
        <f>'[1]Processed Data'!F1446</f>
        <v>22</v>
      </c>
      <c r="G1446">
        <f>'[1]Processed Data'!G1446</f>
        <v>32</v>
      </c>
      <c r="H1446">
        <f>'[1]Processed Data'!H1446</f>
        <v>68.8</v>
      </c>
      <c r="I1446">
        <f>'[1]Processed Data'!I1446</f>
        <v>1</v>
      </c>
      <c r="J1446">
        <f>'[1]Processed Data'!J1446</f>
        <v>1</v>
      </c>
      <c r="K1446">
        <f>'[1]Processed Data'!K1446</f>
        <v>3</v>
      </c>
      <c r="L1446">
        <f>'[1]Processed Data'!L1446</f>
        <v>1</v>
      </c>
      <c r="M1446">
        <f>'[1]Processed Data'!M1446</f>
        <v>3</v>
      </c>
      <c r="N1446">
        <f>'[1]Processed Data'!N1446</f>
        <v>0</v>
      </c>
      <c r="O1446">
        <f>'[1]Processed Data'!O1446</f>
        <v>0</v>
      </c>
      <c r="P1446">
        <f>'[1]Processed Data'!P1446</f>
        <v>0</v>
      </c>
      <c r="Q1446">
        <f>'[1]Processed Data'!Q1446</f>
        <v>1</v>
      </c>
    </row>
    <row r="1447" spans="2:17" hidden="1">
      <c r="B1447">
        <f>'[1]Processed Data'!B1447</f>
        <v>2012</v>
      </c>
      <c r="C1447">
        <f>'[1]Processed Data'!C1447</f>
        <v>92</v>
      </c>
      <c r="D1447" t="str">
        <f>'[1]Processed Data'!D1447</f>
        <v>Andrew Luck</v>
      </c>
      <c r="E1447">
        <v>2013</v>
      </c>
      <c r="F1447">
        <f>'[1]Processed Data'!F1447</f>
        <v>339</v>
      </c>
      <c r="G1447">
        <f>'[1]Processed Data'!G1447</f>
        <v>627</v>
      </c>
      <c r="H1447">
        <f>'[1]Processed Data'!H1447</f>
        <v>54.1</v>
      </c>
      <c r="I1447">
        <f>'[1]Processed Data'!I1447</f>
        <v>23</v>
      </c>
      <c r="J1447">
        <f>'[1]Processed Data'!J1447</f>
        <v>18</v>
      </c>
      <c r="K1447">
        <f>'[1]Processed Data'!K1447</f>
        <v>41</v>
      </c>
      <c r="L1447">
        <f>'[1]Processed Data'!L1447</f>
        <v>62</v>
      </c>
      <c r="M1447">
        <f>'[1]Processed Data'!M1447</f>
        <v>255</v>
      </c>
      <c r="N1447">
        <f>'[1]Processed Data'!N1447</f>
        <v>5</v>
      </c>
      <c r="O1447">
        <f>'[1]Processed Data'!O1447</f>
        <v>5</v>
      </c>
      <c r="P1447">
        <f>'[1]Processed Data'!P1447</f>
        <v>0</v>
      </c>
      <c r="Q1447">
        <f>'[1]Processed Data'!Q1447</f>
        <v>16</v>
      </c>
    </row>
    <row r="1448" spans="2:17" hidden="1">
      <c r="B1448">
        <f>'[1]Processed Data'!B1448</f>
        <v>2012</v>
      </c>
      <c r="C1448">
        <f>'[1]Processed Data'!C1448</f>
        <v>93</v>
      </c>
      <c r="D1448" t="str">
        <f>'[1]Processed Data'!D1448</f>
        <v>Brock Osweiler</v>
      </c>
      <c r="E1448">
        <v>2013</v>
      </c>
      <c r="F1448">
        <f>'[1]Processed Data'!F1448</f>
        <v>2</v>
      </c>
      <c r="G1448">
        <f>'[1]Processed Data'!G1448</f>
        <v>4</v>
      </c>
      <c r="H1448">
        <f>'[1]Processed Data'!H1448</f>
        <v>50</v>
      </c>
      <c r="I1448">
        <f>'[1]Processed Data'!I1448</f>
        <v>0</v>
      </c>
      <c r="J1448">
        <f>'[1]Processed Data'!J1448</f>
        <v>0</v>
      </c>
      <c r="K1448">
        <f>'[1]Processed Data'!K1448</f>
        <v>0</v>
      </c>
      <c r="L1448">
        <f>'[1]Processed Data'!L1448</f>
        <v>8</v>
      </c>
      <c r="M1448">
        <f>'[1]Processed Data'!M1448</f>
        <v>-13</v>
      </c>
      <c r="N1448">
        <f>'[1]Processed Data'!N1448</f>
        <v>0</v>
      </c>
      <c r="O1448">
        <f>'[1]Processed Data'!O1448</f>
        <v>0</v>
      </c>
      <c r="P1448">
        <f>'[1]Processed Data'!P1448</f>
        <v>0</v>
      </c>
      <c r="Q1448">
        <f>'[1]Processed Data'!Q1448</f>
        <v>5</v>
      </c>
    </row>
    <row r="1449" spans="2:17" hidden="1">
      <c r="B1449">
        <f>'[1]Processed Data'!B1449</f>
        <v>2012</v>
      </c>
      <c r="C1449">
        <f>'[1]Processed Data'!C1449</f>
        <v>94</v>
      </c>
      <c r="D1449" t="str">
        <f>'[1]Processed Data'!D1449</f>
        <v>Ryan Lindley</v>
      </c>
      <c r="E1449">
        <v>2013</v>
      </c>
      <c r="F1449">
        <f>'[1]Processed Data'!F1449</f>
        <v>89</v>
      </c>
      <c r="G1449">
        <f>'[1]Processed Data'!G1449</f>
        <v>171</v>
      </c>
      <c r="H1449">
        <f>'[1]Processed Data'!H1449</f>
        <v>52</v>
      </c>
      <c r="I1449">
        <f>'[1]Processed Data'!I1449</f>
        <v>0</v>
      </c>
      <c r="J1449">
        <f>'[1]Processed Data'!J1449</f>
        <v>7</v>
      </c>
      <c r="K1449">
        <f>'[1]Processed Data'!K1449</f>
        <v>12</v>
      </c>
      <c r="L1449">
        <f>'[1]Processed Data'!L1449</f>
        <v>4</v>
      </c>
      <c r="M1449">
        <f>'[1]Processed Data'!M1449</f>
        <v>7</v>
      </c>
      <c r="N1449">
        <f>'[1]Processed Data'!N1449</f>
        <v>0</v>
      </c>
      <c r="O1449">
        <f>'[1]Processed Data'!O1449</f>
        <v>2</v>
      </c>
      <c r="P1449">
        <f>'[1]Processed Data'!P1449</f>
        <v>0</v>
      </c>
      <c r="Q1449">
        <f>'[1]Processed Data'!Q1449</f>
        <v>6</v>
      </c>
    </row>
    <row r="1450" spans="2:17" hidden="1">
      <c r="B1450">
        <f>'[1]Processed Data'!B1450</f>
        <v>2012</v>
      </c>
      <c r="C1450">
        <f>'[1]Processed Data'!C1450</f>
        <v>95</v>
      </c>
      <c r="D1450" t="str">
        <f>'[1]Processed Data'!D1450</f>
        <v>Case Keenum</v>
      </c>
      <c r="E1450">
        <v>2013</v>
      </c>
      <c r="F1450">
        <f>'[1]Processed Data'!F1450</f>
        <v>0</v>
      </c>
      <c r="G1450">
        <f>'[1]Processed Data'!G1450</f>
        <v>0</v>
      </c>
      <c r="H1450">
        <f>'[1]Processed Data'!H1450</f>
        <v>0</v>
      </c>
      <c r="I1450">
        <f>'[1]Processed Data'!I1450</f>
        <v>0</v>
      </c>
      <c r="J1450">
        <f>'[1]Processed Data'!J1450</f>
        <v>0</v>
      </c>
      <c r="K1450">
        <f>'[1]Processed Data'!K1450</f>
        <v>0</v>
      </c>
      <c r="L1450">
        <f>'[1]Processed Data'!L1450</f>
        <v>0</v>
      </c>
      <c r="M1450">
        <f>'[1]Processed Data'!M1450</f>
        <v>0</v>
      </c>
      <c r="N1450">
        <f>'[1]Processed Data'!N1450</f>
        <v>0</v>
      </c>
      <c r="O1450">
        <f>'[1]Processed Data'!O1450</f>
        <v>0</v>
      </c>
      <c r="P1450">
        <f>'[1]Processed Data'!P1450</f>
        <v>0</v>
      </c>
      <c r="Q1450">
        <f>'[1]Processed Data'!Q1450</f>
        <v>0</v>
      </c>
    </row>
    <row r="1451" spans="2:17" hidden="1">
      <c r="B1451">
        <f>'[1]Processed Data'!B1451</f>
        <v>2012</v>
      </c>
      <c r="C1451">
        <f>'[1]Processed Data'!C1451</f>
        <v>96</v>
      </c>
      <c r="D1451" t="str">
        <f>'[1]Processed Data'!D1451</f>
        <v>Eli Manning</v>
      </c>
      <c r="E1451">
        <v>2013</v>
      </c>
      <c r="F1451">
        <f>'[1]Processed Data'!F1451</f>
        <v>321</v>
      </c>
      <c r="G1451">
        <f>'[1]Processed Data'!G1451</f>
        <v>536</v>
      </c>
      <c r="H1451">
        <f>'[1]Processed Data'!H1451</f>
        <v>59.9</v>
      </c>
      <c r="I1451">
        <f>'[1]Processed Data'!I1451</f>
        <v>26</v>
      </c>
      <c r="J1451">
        <f>'[1]Processed Data'!J1451</f>
        <v>15</v>
      </c>
      <c r="K1451">
        <f>'[1]Processed Data'!K1451</f>
        <v>19</v>
      </c>
      <c r="L1451">
        <f>'[1]Processed Data'!L1451</f>
        <v>20</v>
      </c>
      <c r="M1451">
        <f>'[1]Processed Data'!M1451</f>
        <v>30</v>
      </c>
      <c r="N1451">
        <f>'[1]Processed Data'!N1451</f>
        <v>0</v>
      </c>
      <c r="O1451">
        <f>'[1]Processed Data'!O1451</f>
        <v>1</v>
      </c>
      <c r="P1451">
        <f>'[1]Processed Data'!P1451</f>
        <v>0</v>
      </c>
      <c r="Q1451">
        <f>'[1]Processed Data'!Q1451</f>
        <v>16</v>
      </c>
    </row>
    <row r="1452" spans="2:17" hidden="1">
      <c r="B1452">
        <f>'[1]Processed Data'!B1452</f>
        <v>2012</v>
      </c>
      <c r="C1452">
        <f>'[1]Processed Data'!C1452</f>
        <v>97</v>
      </c>
      <c r="D1452" t="str">
        <f>'[1]Processed Data'!D1452</f>
        <v>David Carr</v>
      </c>
      <c r="E1452">
        <v>2013</v>
      </c>
      <c r="F1452">
        <f>'[1]Processed Data'!F1452</f>
        <v>2</v>
      </c>
      <c r="G1452">
        <f>'[1]Processed Data'!G1452</f>
        <v>3</v>
      </c>
      <c r="H1452">
        <f>'[1]Processed Data'!H1452</f>
        <v>66.7</v>
      </c>
      <c r="I1452">
        <f>'[1]Processed Data'!I1452</f>
        <v>0</v>
      </c>
      <c r="J1452">
        <f>'[1]Processed Data'!J1452</f>
        <v>0</v>
      </c>
      <c r="K1452">
        <f>'[1]Processed Data'!K1452</f>
        <v>1</v>
      </c>
      <c r="L1452">
        <f>'[1]Processed Data'!L1452</f>
        <v>3</v>
      </c>
      <c r="M1452">
        <f>'[1]Processed Data'!M1452</f>
        <v>-3</v>
      </c>
      <c r="N1452">
        <f>'[1]Processed Data'!N1452</f>
        <v>0</v>
      </c>
      <c r="O1452">
        <f>'[1]Processed Data'!O1452</f>
        <v>0</v>
      </c>
      <c r="P1452">
        <f>'[1]Processed Data'!P1452</f>
        <v>0</v>
      </c>
      <c r="Q1452">
        <f>'[1]Processed Data'!Q1452</f>
        <v>2</v>
      </c>
    </row>
    <row r="1453" spans="2:17" hidden="1">
      <c r="B1453">
        <f>'[1]Processed Data'!B1453</f>
        <v>2012</v>
      </c>
      <c r="C1453">
        <f>'[1]Processed Data'!C1453</f>
        <v>98</v>
      </c>
      <c r="D1453" t="str">
        <f>'[1]Processed Data'!D1453</f>
        <v>Derek Anderson</v>
      </c>
      <c r="E1453">
        <v>2012</v>
      </c>
      <c r="F1453">
        <f>'[1]Processed Data'!F1453</f>
        <v>4</v>
      </c>
      <c r="G1453">
        <f>'[1]Processed Data'!G1453</f>
        <v>4</v>
      </c>
      <c r="H1453">
        <f>'[1]Processed Data'!H1453</f>
        <v>100</v>
      </c>
      <c r="I1453">
        <f>'[1]Processed Data'!I1453</f>
        <v>0</v>
      </c>
      <c r="J1453">
        <f>'[1]Processed Data'!J1453</f>
        <v>0</v>
      </c>
      <c r="K1453">
        <f>'[1]Processed Data'!K1453</f>
        <v>0</v>
      </c>
      <c r="L1453">
        <f>'[1]Processed Data'!L1453</f>
        <v>0</v>
      </c>
      <c r="M1453">
        <f>'[1]Processed Data'!M1453</f>
        <v>0</v>
      </c>
      <c r="N1453">
        <f>'[1]Processed Data'!N1453</f>
        <v>0</v>
      </c>
      <c r="O1453">
        <f>'[1]Processed Data'!O1453</f>
        <v>0</v>
      </c>
      <c r="P1453">
        <f>'[1]Processed Data'!P1453</f>
        <v>0</v>
      </c>
      <c r="Q1453">
        <f>'[1]Processed Data'!Q1453</f>
        <v>2</v>
      </c>
    </row>
    <row r="1454" spans="2:17" hidden="1">
      <c r="B1454">
        <f>'[1]Processed Data'!B1454</f>
        <v>2012</v>
      </c>
      <c r="C1454">
        <f>'[1]Processed Data'!C1454</f>
        <v>99</v>
      </c>
      <c r="D1454" t="str">
        <f>'[1]Processed Data'!D1454</f>
        <v>Jason Campbell</v>
      </c>
      <c r="E1454">
        <v>2012</v>
      </c>
      <c r="F1454">
        <f>'[1]Processed Data'!F1454</f>
        <v>32</v>
      </c>
      <c r="G1454">
        <f>'[1]Processed Data'!G1454</f>
        <v>51</v>
      </c>
      <c r="H1454">
        <f>'[1]Processed Data'!H1454</f>
        <v>62.7</v>
      </c>
      <c r="I1454">
        <f>'[1]Processed Data'!I1454</f>
        <v>2</v>
      </c>
      <c r="J1454">
        <f>'[1]Processed Data'!J1454</f>
        <v>2</v>
      </c>
      <c r="K1454">
        <f>'[1]Processed Data'!K1454</f>
        <v>6</v>
      </c>
      <c r="L1454">
        <f>'[1]Processed Data'!L1454</f>
        <v>7</v>
      </c>
      <c r="M1454">
        <f>'[1]Processed Data'!M1454</f>
        <v>28</v>
      </c>
      <c r="N1454">
        <f>'[1]Processed Data'!N1454</f>
        <v>0</v>
      </c>
      <c r="O1454">
        <f>'[1]Processed Data'!O1454</f>
        <v>0</v>
      </c>
      <c r="P1454">
        <f>'[1]Processed Data'!P1454</f>
        <v>0</v>
      </c>
      <c r="Q1454">
        <f>'[1]Processed Data'!Q1454</f>
        <v>6</v>
      </c>
    </row>
    <row r="1455" spans="2:17" hidden="1">
      <c r="B1455">
        <f>'[1]Processed Data'!B1455</f>
        <v>2012</v>
      </c>
      <c r="C1455">
        <f>'[1]Processed Data'!C1455</f>
        <v>100</v>
      </c>
      <c r="D1455" t="str">
        <f>'[1]Processed Data'!D1455</f>
        <v>Jay Cutler</v>
      </c>
      <c r="E1455">
        <v>2012</v>
      </c>
      <c r="F1455">
        <f>'[1]Processed Data'!F1455</f>
        <v>255</v>
      </c>
      <c r="G1455">
        <f>'[1]Processed Data'!G1455</f>
        <v>434</v>
      </c>
      <c r="H1455">
        <f>'[1]Processed Data'!H1455</f>
        <v>58.8</v>
      </c>
      <c r="I1455">
        <f>'[1]Processed Data'!I1455</f>
        <v>19</v>
      </c>
      <c r="J1455">
        <f>'[1]Processed Data'!J1455</f>
        <v>14</v>
      </c>
      <c r="K1455">
        <f>'[1]Processed Data'!K1455</f>
        <v>38</v>
      </c>
      <c r="L1455">
        <f>'[1]Processed Data'!L1455</f>
        <v>41</v>
      </c>
      <c r="M1455">
        <f>'[1]Processed Data'!M1455</f>
        <v>233</v>
      </c>
      <c r="N1455">
        <f>'[1]Processed Data'!N1455</f>
        <v>0</v>
      </c>
      <c r="O1455">
        <f>'[1]Processed Data'!O1455</f>
        <v>4</v>
      </c>
      <c r="P1455">
        <f>'[1]Processed Data'!P1455</f>
        <v>0</v>
      </c>
      <c r="Q1455">
        <f>'[1]Processed Data'!Q1455</f>
        <v>15</v>
      </c>
    </row>
    <row r="1456" spans="2:17" hidden="1">
      <c r="B1456">
        <f>'[1]Processed Data'!B1456</f>
        <v>2012</v>
      </c>
      <c r="C1456">
        <f>'[1]Processed Data'!C1456</f>
        <v>101</v>
      </c>
      <c r="D1456" t="str">
        <f>'[1]Processed Data'!D1456</f>
        <v>Brady Quinn</v>
      </c>
      <c r="E1456">
        <v>2012</v>
      </c>
      <c r="F1456">
        <f>'[1]Processed Data'!F1456</f>
        <v>112</v>
      </c>
      <c r="G1456">
        <f>'[1]Processed Data'!G1456</f>
        <v>197</v>
      </c>
      <c r="H1456">
        <f>'[1]Processed Data'!H1456</f>
        <v>56.9</v>
      </c>
      <c r="I1456">
        <f>'[1]Processed Data'!I1456</f>
        <v>2</v>
      </c>
      <c r="J1456">
        <f>'[1]Processed Data'!J1456</f>
        <v>8</v>
      </c>
      <c r="K1456">
        <f>'[1]Processed Data'!K1456</f>
        <v>21</v>
      </c>
      <c r="L1456">
        <f>'[1]Processed Data'!L1456</f>
        <v>19</v>
      </c>
      <c r="M1456">
        <f>'[1]Processed Data'!M1456</f>
        <v>66</v>
      </c>
      <c r="N1456">
        <f>'[1]Processed Data'!N1456</f>
        <v>0</v>
      </c>
      <c r="O1456">
        <f>'[1]Processed Data'!O1456</f>
        <v>0</v>
      </c>
      <c r="P1456">
        <f>'[1]Processed Data'!P1456</f>
        <v>0</v>
      </c>
      <c r="Q1456">
        <f>'[1]Processed Data'!Q1456</f>
        <v>10</v>
      </c>
    </row>
    <row r="1457" spans="2:17" hidden="1">
      <c r="B1457">
        <f>'[1]Processed Data'!B1457</f>
        <v>2012</v>
      </c>
      <c r="C1457">
        <f>'[1]Processed Data'!C1457</f>
        <v>102</v>
      </c>
      <c r="D1457" t="str">
        <f>'[1]Processed Data'!D1457</f>
        <v>Brett Ratliff</v>
      </c>
      <c r="E1457">
        <v>2012</v>
      </c>
      <c r="F1457">
        <f>'[1]Processed Data'!F1457</f>
        <v>0</v>
      </c>
      <c r="G1457">
        <f>'[1]Processed Data'!G1457</f>
        <v>0</v>
      </c>
      <c r="H1457">
        <f>'[1]Processed Data'!H1457</f>
        <v>0</v>
      </c>
      <c r="I1457">
        <f>'[1]Processed Data'!I1457</f>
        <v>0</v>
      </c>
      <c r="J1457">
        <f>'[1]Processed Data'!J1457</f>
        <v>0</v>
      </c>
      <c r="K1457">
        <f>'[1]Processed Data'!K1457</f>
        <v>0</v>
      </c>
      <c r="L1457">
        <f>'[1]Processed Data'!L1457</f>
        <v>0</v>
      </c>
      <c r="M1457">
        <f>'[1]Processed Data'!M1457</f>
        <v>0</v>
      </c>
      <c r="N1457">
        <f>'[1]Processed Data'!N1457</f>
        <v>0</v>
      </c>
      <c r="O1457">
        <f>'[1]Processed Data'!O1457</f>
        <v>0</v>
      </c>
      <c r="P1457">
        <f>'[1]Processed Data'!P1457</f>
        <v>0</v>
      </c>
      <c r="Q1457">
        <f>'[1]Processed Data'!Q1457</f>
        <v>0</v>
      </c>
    </row>
    <row r="1458" spans="2:17" hidden="1">
      <c r="B1458">
        <f>'[1]Processed Data'!B1458</f>
        <v>2012</v>
      </c>
      <c r="C1458">
        <f>'[1]Processed Data'!C1458</f>
        <v>103</v>
      </c>
      <c r="D1458" t="str">
        <f>'[1]Processed Data'!D1458</f>
        <v>Brian Brohm</v>
      </c>
      <c r="E1458">
        <v>2012</v>
      </c>
      <c r="F1458">
        <f>'[1]Processed Data'!F1458</f>
        <v>0</v>
      </c>
      <c r="G1458">
        <f>'[1]Processed Data'!G1458</f>
        <v>0</v>
      </c>
      <c r="H1458">
        <f>'[1]Processed Data'!H1458</f>
        <v>0</v>
      </c>
      <c r="I1458">
        <f>'[1]Processed Data'!I1458</f>
        <v>0</v>
      </c>
      <c r="J1458">
        <f>'[1]Processed Data'!J1458</f>
        <v>0</v>
      </c>
      <c r="K1458">
        <f>'[1]Processed Data'!K1458</f>
        <v>0</v>
      </c>
      <c r="L1458">
        <f>'[1]Processed Data'!L1458</f>
        <v>0</v>
      </c>
      <c r="M1458">
        <f>'[1]Processed Data'!M1458</f>
        <v>0</v>
      </c>
      <c r="N1458">
        <f>'[1]Processed Data'!N1458</f>
        <v>0</v>
      </c>
      <c r="O1458">
        <f>'[1]Processed Data'!O1458</f>
        <v>0</v>
      </c>
      <c r="P1458">
        <f>'[1]Processed Data'!P1458</f>
        <v>0</v>
      </c>
      <c r="Q1458">
        <f>'[1]Processed Data'!Q1458</f>
        <v>0</v>
      </c>
    </row>
    <row r="1459" spans="2:17" hidden="1">
      <c r="B1459">
        <f>'[1]Processed Data'!B1459</f>
        <v>2012</v>
      </c>
      <c r="C1459">
        <f>'[1]Processed Data'!C1459</f>
        <v>104</v>
      </c>
      <c r="D1459" t="str">
        <f>'[1]Processed Data'!D1459</f>
        <v>Bruce Gradkowski</v>
      </c>
      <c r="E1459">
        <v>2012</v>
      </c>
      <c r="F1459">
        <f>'[1]Processed Data'!F1459</f>
        <v>5</v>
      </c>
      <c r="G1459">
        <f>'[1]Processed Data'!G1459</f>
        <v>11</v>
      </c>
      <c r="H1459">
        <f>'[1]Processed Data'!H1459</f>
        <v>45.5</v>
      </c>
      <c r="I1459">
        <f>'[1]Processed Data'!I1459</f>
        <v>0</v>
      </c>
      <c r="J1459">
        <f>'[1]Processed Data'!J1459</f>
        <v>0</v>
      </c>
      <c r="K1459">
        <f>'[1]Processed Data'!K1459</f>
        <v>0</v>
      </c>
      <c r="L1459">
        <f>'[1]Processed Data'!L1459</f>
        <v>4</v>
      </c>
      <c r="M1459">
        <f>'[1]Processed Data'!M1459</f>
        <v>-2</v>
      </c>
      <c r="N1459">
        <f>'[1]Processed Data'!N1459</f>
        <v>0</v>
      </c>
      <c r="O1459">
        <f>'[1]Processed Data'!O1459</f>
        <v>0</v>
      </c>
      <c r="P1459">
        <f>'[1]Processed Data'!P1459</f>
        <v>0</v>
      </c>
      <c r="Q1459">
        <f>'[1]Processed Data'!Q1459</f>
        <v>2</v>
      </c>
    </row>
    <row r="1460" spans="2:17" hidden="1">
      <c r="B1460">
        <f>'[1]Processed Data'!B1460</f>
        <v>2012</v>
      </c>
      <c r="C1460">
        <f>'[1]Processed Data'!C1460</f>
        <v>105</v>
      </c>
      <c r="D1460" t="str">
        <f>'[1]Processed Data'!D1460</f>
        <v>Carson Palmer</v>
      </c>
      <c r="E1460">
        <v>2012</v>
      </c>
      <c r="F1460">
        <f>'[1]Processed Data'!F1460</f>
        <v>345</v>
      </c>
      <c r="G1460">
        <f>'[1]Processed Data'!G1460</f>
        <v>565</v>
      </c>
      <c r="H1460">
        <f>'[1]Processed Data'!H1460</f>
        <v>61.1</v>
      </c>
      <c r="I1460">
        <f>'[1]Processed Data'!I1460</f>
        <v>22</v>
      </c>
      <c r="J1460">
        <f>'[1]Processed Data'!J1460</f>
        <v>14</v>
      </c>
      <c r="K1460">
        <f>'[1]Processed Data'!K1460</f>
        <v>26</v>
      </c>
      <c r="L1460">
        <f>'[1]Processed Data'!L1460</f>
        <v>18</v>
      </c>
      <c r="M1460">
        <f>'[1]Processed Data'!M1460</f>
        <v>36</v>
      </c>
      <c r="N1460">
        <f>'[1]Processed Data'!N1460</f>
        <v>1</v>
      </c>
      <c r="O1460">
        <f>'[1]Processed Data'!O1460</f>
        <v>5</v>
      </c>
      <c r="P1460">
        <f>'[1]Processed Data'!P1460</f>
        <v>0</v>
      </c>
      <c r="Q1460">
        <f>'[1]Processed Data'!Q1460</f>
        <v>15</v>
      </c>
    </row>
    <row r="1461" spans="2:17" hidden="1">
      <c r="B1461">
        <f>'[1]Processed Data'!B1461</f>
        <v>2012</v>
      </c>
      <c r="C1461">
        <f>'[1]Processed Data'!C1461</f>
        <v>106</v>
      </c>
      <c r="D1461" t="str">
        <f>'[1]Processed Data'!D1461</f>
        <v>Josh Freeman</v>
      </c>
      <c r="E1461">
        <v>2012</v>
      </c>
      <c r="F1461">
        <f>'[1]Processed Data'!F1461</f>
        <v>306</v>
      </c>
      <c r="G1461">
        <f>'[1]Processed Data'!G1461</f>
        <v>558</v>
      </c>
      <c r="H1461">
        <f>'[1]Processed Data'!H1461</f>
        <v>54.8</v>
      </c>
      <c r="I1461">
        <f>'[1]Processed Data'!I1461</f>
        <v>27</v>
      </c>
      <c r="J1461">
        <f>'[1]Processed Data'!J1461</f>
        <v>17</v>
      </c>
      <c r="K1461">
        <f>'[1]Processed Data'!K1461</f>
        <v>26</v>
      </c>
      <c r="L1461">
        <f>'[1]Processed Data'!L1461</f>
        <v>39</v>
      </c>
      <c r="M1461">
        <f>'[1]Processed Data'!M1461</f>
        <v>139</v>
      </c>
      <c r="N1461">
        <f>'[1]Processed Data'!N1461</f>
        <v>0</v>
      </c>
      <c r="O1461">
        <f>'[1]Processed Data'!O1461</f>
        <v>2</v>
      </c>
      <c r="P1461">
        <f>'[1]Processed Data'!P1461</f>
        <v>0</v>
      </c>
      <c r="Q1461">
        <f>'[1]Processed Data'!Q1461</f>
        <v>16</v>
      </c>
    </row>
    <row r="1462" spans="2:17" hidden="1">
      <c r="B1462">
        <f>'[1]Processed Data'!B1462</f>
        <v>2012</v>
      </c>
      <c r="C1462">
        <f>'[1]Processed Data'!C1462</f>
        <v>107</v>
      </c>
      <c r="D1462" t="str">
        <f>'[1]Processed Data'!D1462</f>
        <v>Keith Null</v>
      </c>
      <c r="E1462">
        <v>2012</v>
      </c>
      <c r="F1462">
        <f>'[1]Processed Data'!F1462</f>
        <v>0</v>
      </c>
      <c r="G1462">
        <f>'[1]Processed Data'!G1462</f>
        <v>0</v>
      </c>
      <c r="H1462">
        <f>'[1]Processed Data'!H1462</f>
        <v>0</v>
      </c>
      <c r="I1462">
        <f>'[1]Processed Data'!I1462</f>
        <v>0</v>
      </c>
      <c r="J1462">
        <f>'[1]Processed Data'!J1462</f>
        <v>0</v>
      </c>
      <c r="K1462">
        <f>'[1]Processed Data'!K1462</f>
        <v>0</v>
      </c>
      <c r="L1462">
        <f>'[1]Processed Data'!L1462</f>
        <v>0</v>
      </c>
      <c r="M1462">
        <f>'[1]Processed Data'!M1462</f>
        <v>0</v>
      </c>
      <c r="N1462">
        <f>'[1]Processed Data'!N1462</f>
        <v>0</v>
      </c>
      <c r="O1462">
        <f>'[1]Processed Data'!O1462</f>
        <v>0</v>
      </c>
      <c r="P1462">
        <f>'[1]Processed Data'!P1462</f>
        <v>0</v>
      </c>
      <c r="Q1462">
        <f>'[1]Processed Data'!Q1462</f>
        <v>0</v>
      </c>
    </row>
    <row r="1463" spans="2:17" hidden="1">
      <c r="B1463">
        <f>'[1]Processed Data'!B1463</f>
        <v>2012</v>
      </c>
      <c r="C1463">
        <f>'[1]Processed Data'!C1463</f>
        <v>108</v>
      </c>
      <c r="D1463" t="str">
        <f>'[1]Processed Data'!D1463</f>
        <v>Dan Orlovsky</v>
      </c>
      <c r="E1463">
        <v>2012</v>
      </c>
      <c r="F1463">
        <f>'[1]Processed Data'!F1463</f>
        <v>4</v>
      </c>
      <c r="G1463">
        <f>'[1]Processed Data'!G1463</f>
        <v>7</v>
      </c>
      <c r="H1463">
        <f>'[1]Processed Data'!H1463</f>
        <v>57.1</v>
      </c>
      <c r="I1463">
        <f>'[1]Processed Data'!I1463</f>
        <v>0</v>
      </c>
      <c r="J1463">
        <f>'[1]Processed Data'!J1463</f>
        <v>0</v>
      </c>
      <c r="K1463">
        <f>'[1]Processed Data'!K1463</f>
        <v>0</v>
      </c>
      <c r="L1463">
        <f>'[1]Processed Data'!L1463</f>
        <v>0</v>
      </c>
      <c r="M1463">
        <f>'[1]Processed Data'!M1463</f>
        <v>0</v>
      </c>
      <c r="N1463">
        <f>'[1]Processed Data'!N1463</f>
        <v>0</v>
      </c>
      <c r="O1463">
        <f>'[1]Processed Data'!O1463</f>
        <v>0</v>
      </c>
      <c r="P1463">
        <f>'[1]Processed Data'!P1463</f>
        <v>0</v>
      </c>
      <c r="Q1463">
        <f>'[1]Processed Data'!Q1463</f>
        <v>1</v>
      </c>
    </row>
    <row r="1464" spans="2:17" hidden="1">
      <c r="B1464">
        <f>'[1]Processed Data'!B1464</f>
        <v>2012</v>
      </c>
      <c r="C1464">
        <f>'[1]Processed Data'!C1464</f>
        <v>109</v>
      </c>
      <c r="D1464" t="str">
        <f>'[1]Processed Data'!D1464</f>
        <v>Tyler Thigpen</v>
      </c>
      <c r="E1464">
        <v>2012</v>
      </c>
      <c r="F1464">
        <f>'[1]Processed Data'!F1464</f>
        <v>3</v>
      </c>
      <c r="G1464">
        <f>'[1]Processed Data'!G1464</f>
        <v>5</v>
      </c>
      <c r="H1464">
        <f>'[1]Processed Data'!H1464</f>
        <v>60</v>
      </c>
      <c r="I1464">
        <f>'[1]Processed Data'!I1464</f>
        <v>0</v>
      </c>
      <c r="J1464">
        <f>'[1]Processed Data'!J1464</f>
        <v>0</v>
      </c>
      <c r="K1464">
        <f>'[1]Processed Data'!K1464</f>
        <v>0</v>
      </c>
      <c r="L1464">
        <f>'[1]Processed Data'!L1464</f>
        <v>1</v>
      </c>
      <c r="M1464">
        <f>'[1]Processed Data'!M1464</f>
        <v>-1</v>
      </c>
      <c r="N1464">
        <f>'[1]Processed Data'!N1464</f>
        <v>0</v>
      </c>
      <c r="O1464">
        <f>'[1]Processed Data'!O1464</f>
        <v>0</v>
      </c>
      <c r="P1464">
        <f>'[1]Processed Data'!P1464</f>
        <v>0</v>
      </c>
      <c r="Q1464">
        <f>'[1]Processed Data'!Q1464</f>
        <v>4</v>
      </c>
    </row>
    <row r="1465" spans="2:17" hidden="1">
      <c r="B1465">
        <f>'[1]Processed Data'!B1465</f>
        <v>2012</v>
      </c>
      <c r="C1465">
        <f>'[1]Processed Data'!C1465</f>
        <v>110</v>
      </c>
      <c r="D1465" t="str">
        <f>'[1]Processed Data'!D1465</f>
        <v>Shaun Hill</v>
      </c>
      <c r="E1465">
        <v>2012</v>
      </c>
      <c r="F1465">
        <f>'[1]Processed Data'!F1465</f>
        <v>10</v>
      </c>
      <c r="G1465">
        <f>'[1]Processed Data'!G1465</f>
        <v>13</v>
      </c>
      <c r="H1465">
        <f>'[1]Processed Data'!H1465</f>
        <v>76.900000000000006</v>
      </c>
      <c r="I1465">
        <f>'[1]Processed Data'!I1465</f>
        <v>2</v>
      </c>
      <c r="J1465">
        <f>'[1]Processed Data'!J1465</f>
        <v>0</v>
      </c>
      <c r="K1465">
        <f>'[1]Processed Data'!K1465</f>
        <v>0</v>
      </c>
      <c r="L1465">
        <f>'[1]Processed Data'!L1465</f>
        <v>1</v>
      </c>
      <c r="M1465">
        <f>'[1]Processed Data'!M1465</f>
        <v>-1</v>
      </c>
      <c r="N1465">
        <f>'[1]Processed Data'!N1465</f>
        <v>0</v>
      </c>
      <c r="O1465">
        <f>'[1]Processed Data'!O1465</f>
        <v>0</v>
      </c>
      <c r="P1465">
        <f>'[1]Processed Data'!P1465</f>
        <v>0</v>
      </c>
      <c r="Q1465">
        <f>'[1]Processed Data'!Q1465</f>
        <v>1</v>
      </c>
    </row>
    <row r="1466" spans="2:17" hidden="1">
      <c r="B1466">
        <f>'[1]Processed Data'!B1466</f>
        <v>2012</v>
      </c>
      <c r="C1466">
        <f>'[1]Processed Data'!C1466</f>
        <v>111</v>
      </c>
      <c r="D1466" t="str">
        <f>'[1]Processed Data'!D1466</f>
        <v>Tony Romo</v>
      </c>
      <c r="E1466">
        <v>2012</v>
      </c>
      <c r="F1466">
        <f>'[1]Processed Data'!F1466</f>
        <v>425</v>
      </c>
      <c r="G1466">
        <f>'[1]Processed Data'!G1466</f>
        <v>648</v>
      </c>
      <c r="H1466">
        <f>'[1]Processed Data'!H1466</f>
        <v>65.599999999999994</v>
      </c>
      <c r="I1466">
        <f>'[1]Processed Data'!I1466</f>
        <v>28</v>
      </c>
      <c r="J1466">
        <f>'[1]Processed Data'!J1466</f>
        <v>19</v>
      </c>
      <c r="K1466">
        <f>'[1]Processed Data'!K1466</f>
        <v>36</v>
      </c>
      <c r="L1466">
        <f>'[1]Processed Data'!L1466</f>
        <v>30</v>
      </c>
      <c r="M1466">
        <f>'[1]Processed Data'!M1466</f>
        <v>49</v>
      </c>
      <c r="N1466">
        <f>'[1]Processed Data'!N1466</f>
        <v>1</v>
      </c>
      <c r="O1466">
        <f>'[1]Processed Data'!O1466</f>
        <v>3</v>
      </c>
      <c r="P1466">
        <f>'[1]Processed Data'!P1466</f>
        <v>0</v>
      </c>
      <c r="Q1466">
        <f>'[1]Processed Data'!Q1466</f>
        <v>16</v>
      </c>
    </row>
    <row r="1467" spans="2:17" hidden="1">
      <c r="B1467">
        <f>'[1]Processed Data'!B1467</f>
        <v>2012</v>
      </c>
      <c r="C1467">
        <f>'[1]Processed Data'!C1467</f>
        <v>112</v>
      </c>
      <c r="D1467" t="str">
        <f>'[1]Processed Data'!D1467</f>
        <v>Trent Edwards</v>
      </c>
      <c r="E1467">
        <v>2012</v>
      </c>
      <c r="F1467">
        <f>'[1]Processed Data'!F1467</f>
        <v>2</v>
      </c>
      <c r="G1467">
        <f>'[1]Processed Data'!G1467</f>
        <v>2</v>
      </c>
      <c r="H1467">
        <f>'[1]Processed Data'!H1467</f>
        <v>100</v>
      </c>
      <c r="I1467">
        <f>'[1]Processed Data'!I1467</f>
        <v>0</v>
      </c>
      <c r="J1467">
        <f>'[1]Processed Data'!J1467</f>
        <v>0</v>
      </c>
      <c r="K1467">
        <f>'[1]Processed Data'!K1467</f>
        <v>0</v>
      </c>
      <c r="L1467">
        <f>'[1]Processed Data'!L1467</f>
        <v>0</v>
      </c>
      <c r="M1467">
        <f>'[1]Processed Data'!M1467</f>
        <v>0</v>
      </c>
      <c r="N1467">
        <f>'[1]Processed Data'!N1467</f>
        <v>0</v>
      </c>
      <c r="O1467">
        <f>'[1]Processed Data'!O1467</f>
        <v>0</v>
      </c>
      <c r="P1467">
        <f>'[1]Processed Data'!P1467</f>
        <v>0</v>
      </c>
      <c r="Q1467">
        <f>'[1]Processed Data'!Q1467</f>
        <v>1</v>
      </c>
    </row>
    <row r="1468" spans="2:17" hidden="1">
      <c r="B1468">
        <f>'[1]Processed Data'!B1468</f>
        <v>2012</v>
      </c>
      <c r="C1468">
        <f>'[1]Processed Data'!C1468</f>
        <v>113</v>
      </c>
      <c r="D1468" t="str">
        <f>'[1]Processed Data'!D1468</f>
        <v>Sam Bradford</v>
      </c>
      <c r="E1468">
        <v>2012</v>
      </c>
      <c r="F1468">
        <f>'[1]Processed Data'!F1468</f>
        <v>328</v>
      </c>
      <c r="G1468">
        <f>'[1]Processed Data'!G1468</f>
        <v>551</v>
      </c>
      <c r="H1468">
        <f>'[1]Processed Data'!H1468</f>
        <v>59.5</v>
      </c>
      <c r="I1468">
        <f>'[1]Processed Data'!I1468</f>
        <v>21</v>
      </c>
      <c r="J1468">
        <f>'[1]Processed Data'!J1468</f>
        <v>13</v>
      </c>
      <c r="K1468">
        <f>'[1]Processed Data'!K1468</f>
        <v>35</v>
      </c>
      <c r="L1468">
        <f>'[1]Processed Data'!L1468</f>
        <v>36</v>
      </c>
      <c r="M1468">
        <f>'[1]Processed Data'!M1468</f>
        <v>124</v>
      </c>
      <c r="N1468">
        <f>'[1]Processed Data'!N1468</f>
        <v>1</v>
      </c>
      <c r="O1468">
        <f>'[1]Processed Data'!O1468</f>
        <v>1</v>
      </c>
      <c r="P1468">
        <f>'[1]Processed Data'!P1468</f>
        <v>0</v>
      </c>
      <c r="Q1468">
        <f>'[1]Processed Data'!Q1468</f>
        <v>16</v>
      </c>
    </row>
    <row r="1469" spans="2:17" hidden="1">
      <c r="B1469">
        <f>'[1]Processed Data'!B1469</f>
        <v>2012</v>
      </c>
      <c r="C1469">
        <f>'[1]Processed Data'!C1469</f>
        <v>114</v>
      </c>
      <c r="D1469" t="str">
        <f>'[1]Processed Data'!D1469</f>
        <v>John Skelton</v>
      </c>
      <c r="E1469">
        <v>2012</v>
      </c>
      <c r="F1469">
        <f>'[1]Processed Data'!F1469</f>
        <v>109</v>
      </c>
      <c r="G1469">
        <f>'[1]Processed Data'!G1469</f>
        <v>201</v>
      </c>
      <c r="H1469">
        <f>'[1]Processed Data'!H1469</f>
        <v>54.2</v>
      </c>
      <c r="I1469">
        <f>'[1]Processed Data'!I1469</f>
        <v>2</v>
      </c>
      <c r="J1469">
        <f>'[1]Processed Data'!J1469</f>
        <v>9</v>
      </c>
      <c r="K1469">
        <f>'[1]Processed Data'!K1469</f>
        <v>15</v>
      </c>
      <c r="L1469">
        <f>'[1]Processed Data'!L1469</f>
        <v>4</v>
      </c>
      <c r="M1469">
        <f>'[1]Processed Data'!M1469</f>
        <v>5</v>
      </c>
      <c r="N1469">
        <f>'[1]Processed Data'!N1469</f>
        <v>0</v>
      </c>
      <c r="O1469">
        <f>'[1]Processed Data'!O1469</f>
        <v>2</v>
      </c>
      <c r="P1469">
        <f>'[1]Processed Data'!P1469</f>
        <v>0</v>
      </c>
      <c r="Q1469">
        <f>'[1]Processed Data'!Q1469</f>
        <v>7</v>
      </c>
    </row>
    <row r="1470" spans="2:17" hidden="1">
      <c r="B1470">
        <f>'[1]Processed Data'!B1470</f>
        <v>2012</v>
      </c>
      <c r="C1470">
        <f>'[1]Processed Data'!C1470</f>
        <v>115</v>
      </c>
      <c r="D1470" t="str">
        <f>'[1]Processed Data'!D1470</f>
        <v>Philip Rivers</v>
      </c>
      <c r="E1470">
        <v>2012</v>
      </c>
      <c r="F1470">
        <f>'[1]Processed Data'!F1470</f>
        <v>338</v>
      </c>
      <c r="G1470">
        <f>'[1]Processed Data'!G1470</f>
        <v>527</v>
      </c>
      <c r="H1470">
        <f>'[1]Processed Data'!H1470</f>
        <v>64.099999999999994</v>
      </c>
      <c r="I1470">
        <f>'[1]Processed Data'!I1470</f>
        <v>26</v>
      </c>
      <c r="J1470">
        <f>'[1]Processed Data'!J1470</f>
        <v>15</v>
      </c>
      <c r="K1470">
        <f>'[1]Processed Data'!K1470</f>
        <v>49</v>
      </c>
      <c r="L1470">
        <f>'[1]Processed Data'!L1470</f>
        <v>27</v>
      </c>
      <c r="M1470">
        <f>'[1]Processed Data'!M1470</f>
        <v>40</v>
      </c>
      <c r="N1470">
        <f>'[1]Processed Data'!N1470</f>
        <v>0</v>
      </c>
      <c r="O1470">
        <f>'[1]Processed Data'!O1470</f>
        <v>7</v>
      </c>
      <c r="P1470">
        <f>'[1]Processed Data'!P1470</f>
        <v>0</v>
      </c>
      <c r="Q1470">
        <f>'[1]Processed Data'!Q1470</f>
        <v>16</v>
      </c>
    </row>
    <row r="1471" spans="2:17" hidden="1">
      <c r="B1471">
        <f>'[1]Processed Data'!B1471</f>
        <v>2012</v>
      </c>
      <c r="C1471">
        <f>'[1]Processed Data'!C1471</f>
        <v>116</v>
      </c>
      <c r="D1471" t="str">
        <f>'[1]Processed Data'!D1471</f>
        <v>Kellen Clemens</v>
      </c>
      <c r="E1471">
        <v>2012</v>
      </c>
      <c r="F1471">
        <f>'[1]Processed Data'!F1471</f>
        <v>1</v>
      </c>
      <c r="G1471">
        <f>'[1]Processed Data'!G1471</f>
        <v>3</v>
      </c>
      <c r="H1471">
        <f>'[1]Processed Data'!H1471</f>
        <v>33.299999999999997</v>
      </c>
      <c r="I1471">
        <f>'[1]Processed Data'!I1471</f>
        <v>0</v>
      </c>
      <c r="J1471">
        <f>'[1]Processed Data'!J1471</f>
        <v>1</v>
      </c>
      <c r="K1471">
        <f>'[1]Processed Data'!K1471</f>
        <v>0</v>
      </c>
      <c r="L1471">
        <f>'[1]Processed Data'!L1471</f>
        <v>2</v>
      </c>
      <c r="M1471">
        <f>'[1]Processed Data'!M1471</f>
        <v>5</v>
      </c>
      <c r="N1471">
        <f>'[1]Processed Data'!N1471</f>
        <v>0</v>
      </c>
      <c r="O1471">
        <f>'[1]Processed Data'!O1471</f>
        <v>0</v>
      </c>
      <c r="P1471">
        <f>'[1]Processed Data'!P1471</f>
        <v>0</v>
      </c>
      <c r="Q1471">
        <f>'[1]Processed Data'!Q1471</f>
        <v>2</v>
      </c>
    </row>
    <row r="1472" spans="2:17" hidden="1">
      <c r="B1472">
        <f>'[1]Processed Data'!B1472</f>
        <v>2012</v>
      </c>
      <c r="C1472">
        <f>'[1]Processed Data'!C1472</f>
        <v>117</v>
      </c>
      <c r="D1472" t="str">
        <f>'[1]Processed Data'!D1472</f>
        <v>Kevin Kolb</v>
      </c>
      <c r="E1472">
        <v>2012</v>
      </c>
      <c r="F1472">
        <f>'[1]Processed Data'!F1472</f>
        <v>109</v>
      </c>
      <c r="G1472">
        <f>'[1]Processed Data'!G1472</f>
        <v>183</v>
      </c>
      <c r="H1472">
        <f>'[1]Processed Data'!H1472</f>
        <v>59.6</v>
      </c>
      <c r="I1472">
        <f>'[1]Processed Data'!I1472</f>
        <v>8</v>
      </c>
      <c r="J1472">
        <f>'[1]Processed Data'!J1472</f>
        <v>3</v>
      </c>
      <c r="K1472">
        <f>'[1]Processed Data'!K1472</f>
        <v>27</v>
      </c>
      <c r="L1472">
        <f>'[1]Processed Data'!L1472</f>
        <v>16</v>
      </c>
      <c r="M1472">
        <f>'[1]Processed Data'!M1472</f>
        <v>100</v>
      </c>
      <c r="N1472">
        <f>'[1]Processed Data'!N1472</f>
        <v>1</v>
      </c>
      <c r="O1472">
        <f>'[1]Processed Data'!O1472</f>
        <v>2</v>
      </c>
      <c r="P1472">
        <f>'[1]Processed Data'!P1472</f>
        <v>0</v>
      </c>
      <c r="Q1472">
        <f>'[1]Processed Data'!Q1472</f>
        <v>6</v>
      </c>
    </row>
    <row r="1473" spans="2:17" hidden="1">
      <c r="B1473">
        <f>'[1]Processed Data'!B1473</f>
        <v>2012</v>
      </c>
      <c r="C1473">
        <f>'[1]Processed Data'!C1473</f>
        <v>118</v>
      </c>
      <c r="D1473" t="str">
        <f>'[1]Processed Data'!D1473</f>
        <v>Kyle Orton</v>
      </c>
      <c r="E1473">
        <v>2012</v>
      </c>
      <c r="F1473">
        <f>'[1]Processed Data'!F1473</f>
        <v>9</v>
      </c>
      <c r="G1473">
        <f>'[1]Processed Data'!G1473</f>
        <v>10</v>
      </c>
      <c r="H1473">
        <f>'[1]Processed Data'!H1473</f>
        <v>90</v>
      </c>
      <c r="I1473">
        <f>'[1]Processed Data'!I1473</f>
        <v>1</v>
      </c>
      <c r="J1473">
        <f>'[1]Processed Data'!J1473</f>
        <v>0</v>
      </c>
      <c r="K1473">
        <f>'[1]Processed Data'!K1473</f>
        <v>0</v>
      </c>
      <c r="L1473">
        <f>'[1]Processed Data'!L1473</f>
        <v>0</v>
      </c>
      <c r="M1473">
        <f>'[1]Processed Data'!M1473</f>
        <v>0</v>
      </c>
      <c r="N1473">
        <f>'[1]Processed Data'!N1473</f>
        <v>0</v>
      </c>
      <c r="O1473">
        <f>'[1]Processed Data'!O1473</f>
        <v>0</v>
      </c>
      <c r="P1473">
        <f>'[1]Processed Data'!P1473</f>
        <v>0</v>
      </c>
      <c r="Q1473">
        <f>'[1]Processed Data'!Q1473</f>
        <v>1</v>
      </c>
    </row>
    <row r="1474" spans="2:17" hidden="1">
      <c r="B1474">
        <f>'[1]Processed Data'!B1474</f>
        <v>2012</v>
      </c>
      <c r="C1474">
        <f>'[1]Processed Data'!C1474</f>
        <v>119</v>
      </c>
      <c r="D1474" t="str">
        <f>'[1]Processed Data'!D1474</f>
        <v>Mark Sanchez</v>
      </c>
      <c r="E1474">
        <v>2012</v>
      </c>
      <c r="F1474">
        <f>'[1]Processed Data'!F1474</f>
        <v>246</v>
      </c>
      <c r="G1474">
        <f>'[1]Processed Data'!G1474</f>
        <v>453</v>
      </c>
      <c r="H1474">
        <f>'[1]Processed Data'!H1474</f>
        <v>54.3</v>
      </c>
      <c r="I1474">
        <f>'[1]Processed Data'!I1474</f>
        <v>13</v>
      </c>
      <c r="J1474">
        <f>'[1]Processed Data'!J1474</f>
        <v>18</v>
      </c>
      <c r="K1474">
        <f>'[1]Processed Data'!K1474</f>
        <v>34</v>
      </c>
      <c r="L1474">
        <f>'[1]Processed Data'!L1474</f>
        <v>22</v>
      </c>
      <c r="M1474">
        <f>'[1]Processed Data'!M1474</f>
        <v>28</v>
      </c>
      <c r="N1474">
        <f>'[1]Processed Data'!N1474</f>
        <v>0</v>
      </c>
      <c r="O1474">
        <f>'[1]Processed Data'!O1474</f>
        <v>8</v>
      </c>
      <c r="P1474">
        <f>'[1]Processed Data'!P1474</f>
        <v>0</v>
      </c>
      <c r="Q1474">
        <f>'[1]Processed Data'!Q1474</f>
        <v>15</v>
      </c>
    </row>
    <row r="1475" spans="2:17" hidden="1">
      <c r="B1475">
        <f>'[1]Processed Data'!B1475</f>
        <v>2012</v>
      </c>
      <c r="C1475">
        <f>'[1]Processed Data'!C1475</f>
        <v>120</v>
      </c>
      <c r="D1475" t="str">
        <f>'[1]Processed Data'!D1475</f>
        <v>Peyton Manning</v>
      </c>
      <c r="E1475">
        <v>2012</v>
      </c>
      <c r="F1475">
        <f>'[1]Processed Data'!F1475</f>
        <v>400</v>
      </c>
      <c r="G1475">
        <f>'[1]Processed Data'!G1475</f>
        <v>583</v>
      </c>
      <c r="H1475">
        <f>'[1]Processed Data'!H1475</f>
        <v>68.599999999999994</v>
      </c>
      <c r="I1475">
        <f>'[1]Processed Data'!I1475</f>
        <v>37</v>
      </c>
      <c r="J1475">
        <f>'[1]Processed Data'!J1475</f>
        <v>11</v>
      </c>
      <c r="K1475">
        <f>'[1]Processed Data'!K1475</f>
        <v>21</v>
      </c>
      <c r="L1475">
        <f>'[1]Processed Data'!L1475</f>
        <v>23</v>
      </c>
      <c r="M1475">
        <f>'[1]Processed Data'!M1475</f>
        <v>6</v>
      </c>
      <c r="N1475">
        <f>'[1]Processed Data'!N1475</f>
        <v>0</v>
      </c>
      <c r="O1475">
        <f>'[1]Processed Data'!O1475</f>
        <v>2</v>
      </c>
      <c r="P1475">
        <f>'[1]Processed Data'!P1475</f>
        <v>0</v>
      </c>
      <c r="Q1475">
        <f>'[1]Processed Data'!Q1475</f>
        <v>16</v>
      </c>
    </row>
    <row r="1476" spans="2:17" hidden="1">
      <c r="B1476">
        <f>'[1]Processed Data'!B1476</f>
        <v>2012</v>
      </c>
      <c r="C1476">
        <f>'[1]Processed Data'!C1476</f>
        <v>121</v>
      </c>
      <c r="D1476" t="str">
        <f>'[1]Processed Data'!D1476</f>
        <v>Matt Cassel</v>
      </c>
      <c r="E1476">
        <v>2012</v>
      </c>
      <c r="F1476">
        <f>'[1]Processed Data'!F1476</f>
        <v>161</v>
      </c>
      <c r="G1476">
        <f>'[1]Processed Data'!G1476</f>
        <v>277</v>
      </c>
      <c r="H1476">
        <f>'[1]Processed Data'!H1476</f>
        <v>58.1</v>
      </c>
      <c r="I1476">
        <f>'[1]Processed Data'!I1476</f>
        <v>6</v>
      </c>
      <c r="J1476">
        <f>'[1]Processed Data'!J1476</f>
        <v>12</v>
      </c>
      <c r="K1476">
        <f>'[1]Processed Data'!K1476</f>
        <v>19</v>
      </c>
      <c r="L1476">
        <f>'[1]Processed Data'!L1476</f>
        <v>27</v>
      </c>
      <c r="M1476">
        <f>'[1]Processed Data'!M1476</f>
        <v>145</v>
      </c>
      <c r="N1476">
        <f>'[1]Processed Data'!N1476</f>
        <v>1</v>
      </c>
      <c r="O1476">
        <f>'[1]Processed Data'!O1476</f>
        <v>7</v>
      </c>
      <c r="P1476">
        <f>'[1]Processed Data'!P1476</f>
        <v>0</v>
      </c>
      <c r="Q1476">
        <f>'[1]Processed Data'!Q1476</f>
        <v>9</v>
      </c>
    </row>
    <row r="1477" spans="2:17" hidden="1">
      <c r="B1477">
        <f>'[1]Processed Data'!B1477</f>
        <v>2012</v>
      </c>
      <c r="C1477">
        <f>'[1]Processed Data'!C1477</f>
        <v>122</v>
      </c>
      <c r="D1477" t="str">
        <f>'[1]Processed Data'!D1477</f>
        <v>Matt Flynn</v>
      </c>
      <c r="E1477">
        <v>2012</v>
      </c>
      <c r="F1477">
        <f>'[1]Processed Data'!F1477</f>
        <v>5</v>
      </c>
      <c r="G1477">
        <f>'[1]Processed Data'!G1477</f>
        <v>9</v>
      </c>
      <c r="H1477">
        <f>'[1]Processed Data'!H1477</f>
        <v>55.6</v>
      </c>
      <c r="I1477">
        <f>'[1]Processed Data'!I1477</f>
        <v>0</v>
      </c>
      <c r="J1477">
        <f>'[1]Processed Data'!J1477</f>
        <v>0</v>
      </c>
      <c r="K1477">
        <f>'[1]Processed Data'!K1477</f>
        <v>0</v>
      </c>
      <c r="L1477">
        <f>'[1]Processed Data'!L1477</f>
        <v>4</v>
      </c>
      <c r="M1477">
        <f>'[1]Processed Data'!M1477</f>
        <v>-5</v>
      </c>
      <c r="N1477">
        <f>'[1]Processed Data'!N1477</f>
        <v>0</v>
      </c>
      <c r="O1477">
        <f>'[1]Processed Data'!O1477</f>
        <v>0</v>
      </c>
      <c r="P1477">
        <f>'[1]Processed Data'!P1477</f>
        <v>0</v>
      </c>
      <c r="Q1477">
        <f>'[1]Processed Data'!Q1477</f>
        <v>3</v>
      </c>
    </row>
    <row r="1478" spans="2:17" hidden="1">
      <c r="B1478">
        <f>'[1]Processed Data'!B1478</f>
        <v>2012</v>
      </c>
      <c r="C1478">
        <f>'[1]Processed Data'!C1478</f>
        <v>123</v>
      </c>
      <c r="D1478" t="str">
        <f>'[1]Processed Data'!D1478</f>
        <v>Matt Hasselbeck</v>
      </c>
      <c r="E1478">
        <v>2012</v>
      </c>
      <c r="F1478">
        <f>'[1]Processed Data'!F1478</f>
        <v>138</v>
      </c>
      <c r="G1478">
        <f>'[1]Processed Data'!G1478</f>
        <v>221</v>
      </c>
      <c r="H1478">
        <f>'[1]Processed Data'!H1478</f>
        <v>62.4</v>
      </c>
      <c r="I1478">
        <f>'[1]Processed Data'!I1478</f>
        <v>7</v>
      </c>
      <c r="J1478">
        <f>'[1]Processed Data'!J1478</f>
        <v>5</v>
      </c>
      <c r="K1478">
        <f>'[1]Processed Data'!K1478</f>
        <v>14</v>
      </c>
      <c r="L1478">
        <f>'[1]Processed Data'!L1478</f>
        <v>13</v>
      </c>
      <c r="M1478">
        <f>'[1]Processed Data'!M1478</f>
        <v>38</v>
      </c>
      <c r="N1478">
        <f>'[1]Processed Data'!N1478</f>
        <v>0</v>
      </c>
      <c r="O1478">
        <f>'[1]Processed Data'!O1478</f>
        <v>1</v>
      </c>
      <c r="P1478">
        <f>'[1]Processed Data'!P1478</f>
        <v>0</v>
      </c>
      <c r="Q1478">
        <f>'[1]Processed Data'!Q1478</f>
        <v>8</v>
      </c>
    </row>
    <row r="1479" spans="2:17" hidden="1">
      <c r="B1479">
        <f>'[1]Processed Data'!B1479</f>
        <v>2012</v>
      </c>
      <c r="C1479">
        <f>'[1]Processed Data'!C1479</f>
        <v>124</v>
      </c>
      <c r="D1479" t="str">
        <f>'[1]Processed Data'!D1479</f>
        <v>Michael Vick</v>
      </c>
      <c r="E1479">
        <v>2012</v>
      </c>
      <c r="F1479">
        <f>'[1]Processed Data'!F1479</f>
        <v>204</v>
      </c>
      <c r="G1479">
        <f>'[1]Processed Data'!G1479</f>
        <v>351</v>
      </c>
      <c r="H1479">
        <f>'[1]Processed Data'!H1479</f>
        <v>58.1</v>
      </c>
      <c r="I1479">
        <f>'[1]Processed Data'!I1479</f>
        <v>12</v>
      </c>
      <c r="J1479">
        <f>'[1]Processed Data'!J1479</f>
        <v>10</v>
      </c>
      <c r="K1479">
        <f>'[1]Processed Data'!K1479</f>
        <v>28</v>
      </c>
      <c r="L1479">
        <f>'[1]Processed Data'!L1479</f>
        <v>62</v>
      </c>
      <c r="M1479">
        <f>'[1]Processed Data'!M1479</f>
        <v>332</v>
      </c>
      <c r="N1479">
        <f>'[1]Processed Data'!N1479</f>
        <v>1</v>
      </c>
      <c r="O1479">
        <f>'[1]Processed Data'!O1479</f>
        <v>5</v>
      </c>
      <c r="P1479">
        <f>'[1]Processed Data'!P1479</f>
        <v>0</v>
      </c>
      <c r="Q1479">
        <f>'[1]Processed Data'!Q1479</f>
        <v>10</v>
      </c>
    </row>
    <row r="1480" spans="2:17" hidden="1">
      <c r="B1480">
        <f>'[1]Processed Data'!B1480</f>
        <v>2012</v>
      </c>
      <c r="C1480">
        <f>'[1]Processed Data'!C1480</f>
        <v>125</v>
      </c>
      <c r="D1480" t="str">
        <f>'[1]Processed Data'!D1480</f>
        <v>Mitchell Trubisky</v>
      </c>
      <c r="E1480">
        <v>2012</v>
      </c>
      <c r="F1480">
        <f>'[1]Processed Data'!F1480</f>
        <v>0</v>
      </c>
      <c r="G1480">
        <f>'[1]Processed Data'!G1480</f>
        <v>0</v>
      </c>
      <c r="H1480">
        <f>'[1]Processed Data'!H1480</f>
        <v>0</v>
      </c>
      <c r="I1480">
        <f>'[1]Processed Data'!I1480</f>
        <v>0</v>
      </c>
      <c r="J1480">
        <f>'[1]Processed Data'!J1480</f>
        <v>0</v>
      </c>
      <c r="K1480">
        <f>'[1]Processed Data'!K1480</f>
        <v>0</v>
      </c>
      <c r="L1480">
        <f>'[1]Processed Data'!L1480</f>
        <v>0</v>
      </c>
      <c r="M1480">
        <f>'[1]Processed Data'!M1480</f>
        <v>0</v>
      </c>
      <c r="N1480">
        <f>'[1]Processed Data'!N1480</f>
        <v>0</v>
      </c>
      <c r="O1480">
        <f>'[1]Processed Data'!O1480</f>
        <v>0</v>
      </c>
      <c r="P1480">
        <f>'[1]Processed Data'!P1480</f>
        <v>0</v>
      </c>
      <c r="Q1480">
        <f>'[1]Processed Data'!Q1480</f>
        <v>0</v>
      </c>
    </row>
    <row r="1481" spans="2:17" hidden="1">
      <c r="B1481">
        <f>'[1]Processed Data'!B1481</f>
        <v>2012</v>
      </c>
      <c r="C1481">
        <f>'[1]Processed Data'!C1481</f>
        <v>126</v>
      </c>
      <c r="D1481" t="str">
        <f>'[1]Processed Data'!D1481</f>
        <v>Nate Sudfeld</v>
      </c>
      <c r="E1481">
        <v>2012</v>
      </c>
      <c r="F1481">
        <f>'[1]Processed Data'!F1481</f>
        <v>0</v>
      </c>
      <c r="G1481">
        <f>'[1]Processed Data'!G1481</f>
        <v>0</v>
      </c>
      <c r="H1481">
        <f>'[1]Processed Data'!H1481</f>
        <v>0</v>
      </c>
      <c r="I1481">
        <f>'[1]Processed Data'!I1481</f>
        <v>0</v>
      </c>
      <c r="J1481">
        <f>'[1]Processed Data'!J1481</f>
        <v>0</v>
      </c>
      <c r="K1481">
        <f>'[1]Processed Data'!K1481</f>
        <v>0</v>
      </c>
      <c r="L1481">
        <f>'[1]Processed Data'!L1481</f>
        <v>0</v>
      </c>
      <c r="M1481">
        <f>'[1]Processed Data'!M1481</f>
        <v>0</v>
      </c>
      <c r="N1481">
        <f>'[1]Processed Data'!N1481</f>
        <v>0</v>
      </c>
      <c r="O1481">
        <f>'[1]Processed Data'!O1481</f>
        <v>0</v>
      </c>
      <c r="P1481">
        <f>'[1]Processed Data'!P1481</f>
        <v>0</v>
      </c>
      <c r="Q1481">
        <f>'[1]Processed Data'!Q1481</f>
        <v>0</v>
      </c>
    </row>
    <row r="1482" spans="2:17" hidden="1">
      <c r="B1482">
        <f>'[1]Processed Data'!B1482</f>
        <v>2012</v>
      </c>
      <c r="C1482">
        <f>'[1]Processed Data'!C1482</f>
        <v>127</v>
      </c>
      <c r="D1482" t="str">
        <f>'[1]Processed Data'!D1482</f>
        <v>Kevin Hogan</v>
      </c>
      <c r="E1482">
        <v>2012</v>
      </c>
      <c r="F1482">
        <f>'[1]Processed Data'!F1482</f>
        <v>0</v>
      </c>
      <c r="G1482">
        <f>'[1]Processed Data'!G1482</f>
        <v>0</v>
      </c>
      <c r="H1482">
        <f>'[1]Processed Data'!H1482</f>
        <v>0</v>
      </c>
      <c r="I1482">
        <f>'[1]Processed Data'!I1482</f>
        <v>0</v>
      </c>
      <c r="J1482">
        <f>'[1]Processed Data'!J1482</f>
        <v>0</v>
      </c>
      <c r="K1482">
        <f>'[1]Processed Data'!K1482</f>
        <v>0</v>
      </c>
      <c r="L1482">
        <f>'[1]Processed Data'!L1482</f>
        <v>0</v>
      </c>
      <c r="M1482">
        <f>'[1]Processed Data'!M1482</f>
        <v>0</v>
      </c>
      <c r="N1482">
        <f>'[1]Processed Data'!N1482</f>
        <v>0</v>
      </c>
      <c r="O1482">
        <f>'[1]Processed Data'!O1482</f>
        <v>0</v>
      </c>
      <c r="P1482">
        <f>'[1]Processed Data'!P1482</f>
        <v>0</v>
      </c>
      <c r="Q1482">
        <f>'[1]Processed Data'!Q1482</f>
        <v>0</v>
      </c>
    </row>
    <row r="1483" spans="2:17" hidden="1">
      <c r="B1483">
        <f>'[1]Processed Data'!B1483</f>
        <v>2012</v>
      </c>
      <c r="C1483">
        <f>'[1]Processed Data'!C1483</f>
        <v>128</v>
      </c>
      <c r="D1483" t="str">
        <f>'[1]Processed Data'!D1483</f>
        <v>Deshaun Watson</v>
      </c>
      <c r="E1483">
        <v>2012</v>
      </c>
      <c r="F1483">
        <f>'[1]Processed Data'!F1483</f>
        <v>0</v>
      </c>
      <c r="G1483">
        <f>'[1]Processed Data'!G1483</f>
        <v>0</v>
      </c>
      <c r="H1483">
        <f>'[1]Processed Data'!H1483</f>
        <v>0</v>
      </c>
      <c r="I1483">
        <f>'[1]Processed Data'!I1483</f>
        <v>0</v>
      </c>
      <c r="J1483">
        <f>'[1]Processed Data'!J1483</f>
        <v>0</v>
      </c>
      <c r="K1483">
        <f>'[1]Processed Data'!K1483</f>
        <v>0</v>
      </c>
      <c r="L1483">
        <f>'[1]Processed Data'!L1483</f>
        <v>0</v>
      </c>
      <c r="M1483">
        <f>'[1]Processed Data'!M1483</f>
        <v>0</v>
      </c>
      <c r="N1483">
        <f>'[1]Processed Data'!N1483</f>
        <v>0</v>
      </c>
      <c r="O1483">
        <f>'[1]Processed Data'!O1483</f>
        <v>0</v>
      </c>
      <c r="P1483">
        <f>'[1]Processed Data'!P1483</f>
        <v>0</v>
      </c>
      <c r="Q1483">
        <f>'[1]Processed Data'!Q1483</f>
        <v>0</v>
      </c>
    </row>
    <row r="1484" spans="2:17" hidden="1">
      <c r="B1484">
        <f>'[1]Processed Data'!B1484</f>
        <v>2012</v>
      </c>
      <c r="C1484">
        <f>'[1]Processed Data'!C1484</f>
        <v>129</v>
      </c>
      <c r="D1484" t="str">
        <f>'[1]Processed Data'!D1484</f>
        <v>Jared Goff</v>
      </c>
      <c r="E1484">
        <v>2012</v>
      </c>
      <c r="F1484">
        <f>'[1]Processed Data'!F1484</f>
        <v>0</v>
      </c>
      <c r="G1484">
        <f>'[1]Processed Data'!G1484</f>
        <v>0</v>
      </c>
      <c r="H1484">
        <f>'[1]Processed Data'!H1484</f>
        <v>0</v>
      </c>
      <c r="I1484">
        <f>'[1]Processed Data'!I1484</f>
        <v>0</v>
      </c>
      <c r="J1484">
        <f>'[1]Processed Data'!J1484</f>
        <v>0</v>
      </c>
      <c r="K1484">
        <f>'[1]Processed Data'!K1484</f>
        <v>0</v>
      </c>
      <c r="L1484">
        <f>'[1]Processed Data'!L1484</f>
        <v>0</v>
      </c>
      <c r="M1484">
        <f>'[1]Processed Data'!M1484</f>
        <v>0</v>
      </c>
      <c r="N1484">
        <f>'[1]Processed Data'!N1484</f>
        <v>0</v>
      </c>
      <c r="O1484">
        <f>'[1]Processed Data'!O1484</f>
        <v>0</v>
      </c>
      <c r="P1484">
        <f>'[1]Processed Data'!P1484</f>
        <v>0</v>
      </c>
      <c r="Q1484">
        <f>'[1]Processed Data'!Q1484</f>
        <v>0</v>
      </c>
    </row>
    <row r="1485" spans="2:17" hidden="1">
      <c r="B1485">
        <f>'[1]Processed Data'!B1485</f>
        <v>2012</v>
      </c>
      <c r="C1485">
        <f>'[1]Processed Data'!C1485</f>
        <v>130</v>
      </c>
      <c r="D1485" t="str">
        <f>'[1]Processed Data'!D1485</f>
        <v>Carson Wentz</v>
      </c>
      <c r="E1485">
        <v>2012</v>
      </c>
      <c r="F1485">
        <f>'[1]Processed Data'!F1485</f>
        <v>0</v>
      </c>
      <c r="G1485">
        <f>'[1]Processed Data'!G1485</f>
        <v>0</v>
      </c>
      <c r="H1485">
        <f>'[1]Processed Data'!H1485</f>
        <v>0</v>
      </c>
      <c r="I1485">
        <f>'[1]Processed Data'!I1485</f>
        <v>0</v>
      </c>
      <c r="J1485">
        <f>'[1]Processed Data'!J1485</f>
        <v>0</v>
      </c>
      <c r="K1485">
        <f>'[1]Processed Data'!K1485</f>
        <v>0</v>
      </c>
      <c r="L1485">
        <f>'[1]Processed Data'!L1485</f>
        <v>0</v>
      </c>
      <c r="M1485">
        <f>'[1]Processed Data'!M1485</f>
        <v>0</v>
      </c>
      <c r="N1485">
        <f>'[1]Processed Data'!N1485</f>
        <v>0</v>
      </c>
      <c r="O1485">
        <f>'[1]Processed Data'!O1485</f>
        <v>0</v>
      </c>
      <c r="P1485">
        <f>'[1]Processed Data'!P1485</f>
        <v>0</v>
      </c>
      <c r="Q1485">
        <f>'[1]Processed Data'!Q1485</f>
        <v>0</v>
      </c>
    </row>
    <row r="1486" spans="2:17" hidden="1">
      <c r="B1486">
        <f>'[1]Processed Data'!B1486</f>
        <v>2012</v>
      </c>
      <c r="C1486">
        <f>'[1]Processed Data'!C1486</f>
        <v>131</v>
      </c>
      <c r="D1486" t="str">
        <f>'[1]Processed Data'!D1486</f>
        <v>Dak Prescott</v>
      </c>
      <c r="E1486">
        <v>2012</v>
      </c>
      <c r="F1486">
        <f>'[1]Processed Data'!F1486</f>
        <v>0</v>
      </c>
      <c r="G1486">
        <f>'[1]Processed Data'!G1486</f>
        <v>0</v>
      </c>
      <c r="H1486">
        <f>'[1]Processed Data'!H1486</f>
        <v>0</v>
      </c>
      <c r="I1486">
        <f>'[1]Processed Data'!I1486</f>
        <v>0</v>
      </c>
      <c r="J1486">
        <f>'[1]Processed Data'!J1486</f>
        <v>0</v>
      </c>
      <c r="K1486">
        <f>'[1]Processed Data'!K1486</f>
        <v>0</v>
      </c>
      <c r="L1486">
        <f>'[1]Processed Data'!L1486</f>
        <v>0</v>
      </c>
      <c r="M1486">
        <f>'[1]Processed Data'!M1486</f>
        <v>0</v>
      </c>
      <c r="N1486">
        <f>'[1]Processed Data'!N1486</f>
        <v>0</v>
      </c>
      <c r="O1486">
        <f>'[1]Processed Data'!O1486</f>
        <v>0</v>
      </c>
      <c r="P1486">
        <f>'[1]Processed Data'!P1486</f>
        <v>0</v>
      </c>
      <c r="Q1486">
        <f>'[1]Processed Data'!Q1486</f>
        <v>0</v>
      </c>
    </row>
    <row r="1487" spans="2:17" hidden="1">
      <c r="B1487">
        <f>'[1]Processed Data'!B1487</f>
        <v>2012</v>
      </c>
      <c r="C1487">
        <f>'[1]Processed Data'!C1487</f>
        <v>132</v>
      </c>
      <c r="D1487" t="str">
        <f>'[1]Processed Data'!D1487</f>
        <v>Jeff Driskel</v>
      </c>
      <c r="E1487">
        <v>2012</v>
      </c>
      <c r="F1487">
        <f>'[1]Processed Data'!F1487</f>
        <v>0</v>
      </c>
      <c r="G1487">
        <f>'[1]Processed Data'!G1487</f>
        <v>0</v>
      </c>
      <c r="H1487">
        <f>'[1]Processed Data'!H1487</f>
        <v>0</v>
      </c>
      <c r="I1487">
        <f>'[1]Processed Data'!I1487</f>
        <v>0</v>
      </c>
      <c r="J1487">
        <f>'[1]Processed Data'!J1487</f>
        <v>0</v>
      </c>
      <c r="K1487">
        <f>'[1]Processed Data'!K1487</f>
        <v>0</v>
      </c>
      <c r="L1487">
        <f>'[1]Processed Data'!L1487</f>
        <v>0</v>
      </c>
      <c r="M1487">
        <f>'[1]Processed Data'!M1487</f>
        <v>0</v>
      </c>
      <c r="N1487">
        <f>'[1]Processed Data'!N1487</f>
        <v>0</v>
      </c>
      <c r="O1487">
        <f>'[1]Processed Data'!O1487</f>
        <v>0</v>
      </c>
      <c r="P1487">
        <f>'[1]Processed Data'!P1487</f>
        <v>0</v>
      </c>
      <c r="Q1487">
        <f>'[1]Processed Data'!Q1487</f>
        <v>0</v>
      </c>
    </row>
    <row r="1488" spans="2:17" hidden="1">
      <c r="B1488">
        <f>'[1]Processed Data'!B1488</f>
        <v>2012</v>
      </c>
      <c r="C1488">
        <f>'[1]Processed Data'!C1488</f>
        <v>133</v>
      </c>
      <c r="D1488" t="str">
        <f>'[1]Processed Data'!D1488</f>
        <v>Jacoby Brissett</v>
      </c>
      <c r="E1488">
        <v>2012</v>
      </c>
      <c r="F1488">
        <f>'[1]Processed Data'!F1488</f>
        <v>0</v>
      </c>
      <c r="G1488">
        <f>'[1]Processed Data'!G1488</f>
        <v>0</v>
      </c>
      <c r="H1488">
        <f>'[1]Processed Data'!H1488</f>
        <v>0</v>
      </c>
      <c r="I1488">
        <f>'[1]Processed Data'!I1488</f>
        <v>0</v>
      </c>
      <c r="J1488">
        <f>'[1]Processed Data'!J1488</f>
        <v>0</v>
      </c>
      <c r="K1488">
        <f>'[1]Processed Data'!K1488</f>
        <v>0</v>
      </c>
      <c r="L1488">
        <f>'[1]Processed Data'!L1488</f>
        <v>0</v>
      </c>
      <c r="M1488">
        <f>'[1]Processed Data'!M1488</f>
        <v>0</v>
      </c>
      <c r="N1488">
        <f>'[1]Processed Data'!N1488</f>
        <v>0</v>
      </c>
      <c r="O1488">
        <f>'[1]Processed Data'!O1488</f>
        <v>0</v>
      </c>
      <c r="P1488">
        <f>'[1]Processed Data'!P1488</f>
        <v>0</v>
      </c>
      <c r="Q1488">
        <f>'[1]Processed Data'!Q1488</f>
        <v>0</v>
      </c>
    </row>
    <row r="1489" spans="2:17" hidden="1">
      <c r="B1489">
        <f>'[1]Processed Data'!B1489</f>
        <v>2012</v>
      </c>
      <c r="C1489">
        <f>'[1]Processed Data'!C1489</f>
        <v>134</v>
      </c>
      <c r="D1489" t="str">
        <f>'[1]Processed Data'!D1489</f>
        <v>Brandon Allen</v>
      </c>
      <c r="E1489">
        <v>2012</v>
      </c>
      <c r="F1489">
        <f>'[1]Processed Data'!F1489</f>
        <v>0</v>
      </c>
      <c r="G1489">
        <f>'[1]Processed Data'!G1489</f>
        <v>0</v>
      </c>
      <c r="H1489">
        <f>'[1]Processed Data'!H1489</f>
        <v>0</v>
      </c>
      <c r="I1489">
        <f>'[1]Processed Data'!I1489</f>
        <v>0</v>
      </c>
      <c r="J1489">
        <f>'[1]Processed Data'!J1489</f>
        <v>0</v>
      </c>
      <c r="K1489">
        <f>'[1]Processed Data'!K1489</f>
        <v>0</v>
      </c>
      <c r="L1489">
        <f>'[1]Processed Data'!L1489</f>
        <v>0</v>
      </c>
      <c r="M1489">
        <f>'[1]Processed Data'!M1489</f>
        <v>0</v>
      </c>
      <c r="N1489">
        <f>'[1]Processed Data'!N1489</f>
        <v>0</v>
      </c>
      <c r="O1489">
        <f>'[1]Processed Data'!O1489</f>
        <v>0</v>
      </c>
      <c r="P1489">
        <f>'[1]Processed Data'!P1489</f>
        <v>0</v>
      </c>
      <c r="Q1489">
        <f>'[1]Processed Data'!Q1489</f>
        <v>0</v>
      </c>
    </row>
    <row r="1490" spans="2:17" hidden="1">
      <c r="B1490">
        <f>'[1]Processed Data'!B1490</f>
        <v>2012</v>
      </c>
      <c r="C1490">
        <f>'[1]Processed Data'!C1490</f>
        <v>135</v>
      </c>
      <c r="D1490" t="str">
        <f>'[1]Processed Data'!D1490</f>
        <v>Patrick Mahomes II</v>
      </c>
      <c r="E1490">
        <v>2012</v>
      </c>
      <c r="F1490">
        <f>'[1]Processed Data'!F1490</f>
        <v>0</v>
      </c>
      <c r="G1490">
        <f>'[1]Processed Data'!G1490</f>
        <v>0</v>
      </c>
      <c r="H1490">
        <f>'[1]Processed Data'!H1490</f>
        <v>0</v>
      </c>
      <c r="I1490">
        <f>'[1]Processed Data'!I1490</f>
        <v>0</v>
      </c>
      <c r="J1490">
        <f>'[1]Processed Data'!J1490</f>
        <v>0</v>
      </c>
      <c r="K1490">
        <f>'[1]Processed Data'!K1490</f>
        <v>0</v>
      </c>
      <c r="L1490">
        <f>'[1]Processed Data'!L1490</f>
        <v>0</v>
      </c>
      <c r="M1490">
        <f>'[1]Processed Data'!M1490</f>
        <v>0</v>
      </c>
      <c r="N1490">
        <f>'[1]Processed Data'!N1490</f>
        <v>0</v>
      </c>
      <c r="O1490">
        <f>'[1]Processed Data'!O1490</f>
        <v>0</v>
      </c>
      <c r="P1490">
        <f>'[1]Processed Data'!P1490</f>
        <v>0</v>
      </c>
      <c r="Q1490">
        <f>'[1]Processed Data'!Q1490</f>
        <v>0</v>
      </c>
    </row>
    <row r="1491" spans="2:17" hidden="1">
      <c r="B1491">
        <f>'[1]Processed Data'!B1491</f>
        <v>2012</v>
      </c>
      <c r="C1491">
        <f>'[1]Processed Data'!C1491</f>
        <v>136</v>
      </c>
      <c r="D1491" t="str">
        <f>'[1]Processed Data'!D1491</f>
        <v>Josh Rosen</v>
      </c>
      <c r="E1491">
        <v>2012</v>
      </c>
      <c r="F1491">
        <f>'[1]Processed Data'!F1491</f>
        <v>0</v>
      </c>
      <c r="G1491">
        <f>'[1]Processed Data'!G1491</f>
        <v>0</v>
      </c>
      <c r="H1491">
        <f>'[1]Processed Data'!H1491</f>
        <v>0</v>
      </c>
      <c r="I1491">
        <f>'[1]Processed Data'!I1491</f>
        <v>0</v>
      </c>
      <c r="J1491">
        <f>'[1]Processed Data'!J1491</f>
        <v>0</v>
      </c>
      <c r="K1491">
        <f>'[1]Processed Data'!K1491</f>
        <v>0</v>
      </c>
      <c r="L1491">
        <f>'[1]Processed Data'!L1491</f>
        <v>0</v>
      </c>
      <c r="M1491">
        <f>'[1]Processed Data'!M1491</f>
        <v>0</v>
      </c>
      <c r="N1491">
        <f>'[1]Processed Data'!N1491</f>
        <v>0</v>
      </c>
      <c r="O1491">
        <f>'[1]Processed Data'!O1491</f>
        <v>0</v>
      </c>
      <c r="P1491">
        <f>'[1]Processed Data'!P1491</f>
        <v>0</v>
      </c>
      <c r="Q1491">
        <f>'[1]Processed Data'!Q1491</f>
        <v>0</v>
      </c>
    </row>
    <row r="1492" spans="2:17" hidden="1">
      <c r="B1492">
        <f>'[1]Processed Data'!B1492</f>
        <v>2012</v>
      </c>
      <c r="C1492">
        <f>'[1]Processed Data'!C1492</f>
        <v>137</v>
      </c>
      <c r="D1492" t="str">
        <f>'[1]Processed Data'!D1492</f>
        <v>Taysom Hill</v>
      </c>
      <c r="E1492">
        <v>2012</v>
      </c>
      <c r="F1492">
        <f>'[1]Processed Data'!F1492</f>
        <v>0</v>
      </c>
      <c r="G1492">
        <f>'[1]Processed Data'!G1492</f>
        <v>0</v>
      </c>
      <c r="H1492">
        <f>'[1]Processed Data'!H1492</f>
        <v>0</v>
      </c>
      <c r="I1492">
        <f>'[1]Processed Data'!I1492</f>
        <v>0</v>
      </c>
      <c r="J1492">
        <f>'[1]Processed Data'!J1492</f>
        <v>0</v>
      </c>
      <c r="K1492">
        <f>'[1]Processed Data'!K1492</f>
        <v>0</v>
      </c>
      <c r="L1492">
        <f>'[1]Processed Data'!L1492</f>
        <v>0</v>
      </c>
      <c r="M1492">
        <f>'[1]Processed Data'!M1492</f>
        <v>0</v>
      </c>
      <c r="N1492">
        <f>'[1]Processed Data'!N1492</f>
        <v>0</v>
      </c>
      <c r="O1492">
        <f>'[1]Processed Data'!O1492</f>
        <v>0</v>
      </c>
      <c r="P1492">
        <f>'[1]Processed Data'!P1492</f>
        <v>0</v>
      </c>
      <c r="Q1492">
        <f>'[1]Processed Data'!Q1492</f>
        <v>0</v>
      </c>
    </row>
    <row r="1493" spans="2:17" hidden="1">
      <c r="B1493">
        <f>'[1]Processed Data'!B1493</f>
        <v>2012</v>
      </c>
      <c r="C1493">
        <f>'[1]Processed Data'!C1493</f>
        <v>138</v>
      </c>
      <c r="D1493" t="str">
        <f>'[1]Processed Data'!D1493</f>
        <v>Mason Rudolph</v>
      </c>
      <c r="E1493">
        <v>2012</v>
      </c>
      <c r="F1493">
        <f>'[1]Processed Data'!F1493</f>
        <v>0</v>
      </c>
      <c r="G1493">
        <f>'[1]Processed Data'!G1493</f>
        <v>0</v>
      </c>
      <c r="H1493">
        <f>'[1]Processed Data'!H1493</f>
        <v>0</v>
      </c>
      <c r="I1493">
        <f>'[1]Processed Data'!I1493</f>
        <v>0</v>
      </c>
      <c r="J1493">
        <f>'[1]Processed Data'!J1493</f>
        <v>0</v>
      </c>
      <c r="K1493">
        <f>'[1]Processed Data'!K1493</f>
        <v>0</v>
      </c>
      <c r="L1493">
        <f>'[1]Processed Data'!L1493</f>
        <v>0</v>
      </c>
      <c r="M1493">
        <f>'[1]Processed Data'!M1493</f>
        <v>0</v>
      </c>
      <c r="N1493">
        <f>'[1]Processed Data'!N1493</f>
        <v>0</v>
      </c>
      <c r="O1493">
        <f>'[1]Processed Data'!O1493</f>
        <v>0</v>
      </c>
      <c r="P1493">
        <f>'[1]Processed Data'!P1493</f>
        <v>0</v>
      </c>
      <c r="Q1493">
        <f>'[1]Processed Data'!Q1493</f>
        <v>0</v>
      </c>
    </row>
    <row r="1494" spans="2:17" hidden="1">
      <c r="B1494">
        <f>'[1]Processed Data'!B1494</f>
        <v>2012</v>
      </c>
      <c r="C1494">
        <f>'[1]Processed Data'!C1494</f>
        <v>139</v>
      </c>
      <c r="D1494" t="str">
        <f>'[1]Processed Data'!D1494</f>
        <v>Sam Darnold</v>
      </c>
      <c r="E1494">
        <v>2012</v>
      </c>
      <c r="F1494">
        <f>'[1]Processed Data'!F1494</f>
        <v>0</v>
      </c>
      <c r="G1494">
        <f>'[1]Processed Data'!G1494</f>
        <v>0</v>
      </c>
      <c r="H1494">
        <f>'[1]Processed Data'!H1494</f>
        <v>0</v>
      </c>
      <c r="I1494">
        <f>'[1]Processed Data'!I1494</f>
        <v>0</v>
      </c>
      <c r="J1494">
        <f>'[1]Processed Data'!J1494</f>
        <v>0</v>
      </c>
      <c r="K1494">
        <f>'[1]Processed Data'!K1494</f>
        <v>0</v>
      </c>
      <c r="L1494">
        <f>'[1]Processed Data'!L1494</f>
        <v>0</v>
      </c>
      <c r="M1494">
        <f>'[1]Processed Data'!M1494</f>
        <v>0</v>
      </c>
      <c r="N1494">
        <f>'[1]Processed Data'!N1494</f>
        <v>0</v>
      </c>
      <c r="O1494">
        <f>'[1]Processed Data'!O1494</f>
        <v>0</v>
      </c>
      <c r="P1494">
        <f>'[1]Processed Data'!P1494</f>
        <v>0</v>
      </c>
      <c r="Q1494">
        <f>'[1]Processed Data'!Q1494</f>
        <v>0</v>
      </c>
    </row>
    <row r="1495" spans="2:17" hidden="1">
      <c r="B1495">
        <f>'[1]Processed Data'!B1495</f>
        <v>2012</v>
      </c>
      <c r="C1495">
        <f>'[1]Processed Data'!C1495</f>
        <v>140</v>
      </c>
      <c r="D1495" t="str">
        <f>'[1]Processed Data'!D1495</f>
        <v>Baker Mayfield</v>
      </c>
      <c r="E1495">
        <v>2012</v>
      </c>
      <c r="F1495">
        <f>'[1]Processed Data'!F1495</f>
        <v>0</v>
      </c>
      <c r="G1495">
        <f>'[1]Processed Data'!G1495</f>
        <v>0</v>
      </c>
      <c r="H1495">
        <f>'[1]Processed Data'!H1495</f>
        <v>0</v>
      </c>
      <c r="I1495">
        <f>'[1]Processed Data'!I1495</f>
        <v>0</v>
      </c>
      <c r="J1495">
        <f>'[1]Processed Data'!J1495</f>
        <v>0</v>
      </c>
      <c r="K1495">
        <f>'[1]Processed Data'!K1495</f>
        <v>0</v>
      </c>
      <c r="L1495">
        <f>'[1]Processed Data'!L1495</f>
        <v>0</v>
      </c>
      <c r="M1495">
        <f>'[1]Processed Data'!M1495</f>
        <v>0</v>
      </c>
      <c r="N1495">
        <f>'[1]Processed Data'!N1495</f>
        <v>0</v>
      </c>
      <c r="O1495">
        <f>'[1]Processed Data'!O1495</f>
        <v>0</v>
      </c>
      <c r="P1495">
        <f>'[1]Processed Data'!P1495</f>
        <v>0</v>
      </c>
      <c r="Q1495">
        <f>'[1]Processed Data'!Q1495</f>
        <v>0</v>
      </c>
    </row>
    <row r="1496" spans="2:17" hidden="1">
      <c r="B1496">
        <f>'[1]Processed Data'!B1496</f>
        <v>2012</v>
      </c>
      <c r="C1496">
        <f>'[1]Processed Data'!C1496</f>
        <v>141</v>
      </c>
      <c r="D1496" t="str">
        <f>'[1]Processed Data'!D1496</f>
        <v>Logan Woodside</v>
      </c>
      <c r="E1496">
        <v>2012</v>
      </c>
      <c r="F1496">
        <f>'[1]Processed Data'!F1496</f>
        <v>0</v>
      </c>
      <c r="G1496">
        <f>'[1]Processed Data'!G1496</f>
        <v>0</v>
      </c>
      <c r="H1496">
        <f>'[1]Processed Data'!H1496</f>
        <v>0</v>
      </c>
      <c r="I1496">
        <f>'[1]Processed Data'!I1496</f>
        <v>0</v>
      </c>
      <c r="J1496">
        <f>'[1]Processed Data'!J1496</f>
        <v>0</v>
      </c>
      <c r="K1496">
        <f>'[1]Processed Data'!K1496</f>
        <v>0</v>
      </c>
      <c r="L1496">
        <f>'[1]Processed Data'!L1496</f>
        <v>0</v>
      </c>
      <c r="M1496">
        <f>'[1]Processed Data'!M1496</f>
        <v>0</v>
      </c>
      <c r="N1496">
        <f>'[1]Processed Data'!N1496</f>
        <v>0</v>
      </c>
      <c r="O1496">
        <f>'[1]Processed Data'!O1496</f>
        <v>0</v>
      </c>
      <c r="P1496">
        <f>'[1]Processed Data'!P1496</f>
        <v>0</v>
      </c>
      <c r="Q1496">
        <f>'[1]Processed Data'!Q1496</f>
        <v>0</v>
      </c>
    </row>
    <row r="1497" spans="2:17" hidden="1">
      <c r="B1497">
        <f>'[1]Processed Data'!B1497</f>
        <v>2012</v>
      </c>
      <c r="C1497">
        <f>'[1]Processed Data'!C1497</f>
        <v>142</v>
      </c>
      <c r="D1497" t="str">
        <f>'[1]Processed Data'!D1497</f>
        <v>Josh Allen</v>
      </c>
      <c r="E1497">
        <v>2012</v>
      </c>
      <c r="F1497">
        <f>'[1]Processed Data'!F1497</f>
        <v>0</v>
      </c>
      <c r="G1497">
        <f>'[1]Processed Data'!G1497</f>
        <v>0</v>
      </c>
      <c r="H1497">
        <f>'[1]Processed Data'!H1497</f>
        <v>0</v>
      </c>
      <c r="I1497">
        <f>'[1]Processed Data'!I1497</f>
        <v>0</v>
      </c>
      <c r="J1497">
        <f>'[1]Processed Data'!J1497</f>
        <v>0</v>
      </c>
      <c r="K1497">
        <f>'[1]Processed Data'!K1497</f>
        <v>0</v>
      </c>
      <c r="L1497">
        <f>'[1]Processed Data'!L1497</f>
        <v>0</v>
      </c>
      <c r="M1497">
        <f>'[1]Processed Data'!M1497</f>
        <v>0</v>
      </c>
      <c r="N1497">
        <f>'[1]Processed Data'!N1497</f>
        <v>0</v>
      </c>
      <c r="O1497">
        <f>'[1]Processed Data'!O1497</f>
        <v>0</v>
      </c>
      <c r="P1497">
        <f>'[1]Processed Data'!P1497</f>
        <v>0</v>
      </c>
      <c r="Q1497">
        <f>'[1]Processed Data'!Q1497</f>
        <v>0</v>
      </c>
    </row>
    <row r="1498" spans="2:17" hidden="1">
      <c r="B1498">
        <f>'[1]Processed Data'!B1498</f>
        <v>2012</v>
      </c>
      <c r="C1498">
        <f>'[1]Processed Data'!C1498</f>
        <v>143</v>
      </c>
      <c r="D1498" t="str">
        <f>'[1]Processed Data'!D1498</f>
        <v>Cooper Rush</v>
      </c>
      <c r="E1498">
        <v>2012</v>
      </c>
      <c r="F1498">
        <f>'[1]Processed Data'!F1498</f>
        <v>0</v>
      </c>
      <c r="G1498">
        <f>'[1]Processed Data'!G1498</f>
        <v>0</v>
      </c>
      <c r="H1498">
        <f>'[1]Processed Data'!H1498</f>
        <v>0</v>
      </c>
      <c r="I1498">
        <f>'[1]Processed Data'!I1498</f>
        <v>0</v>
      </c>
      <c r="J1498">
        <f>'[1]Processed Data'!J1498</f>
        <v>0</v>
      </c>
      <c r="K1498">
        <f>'[1]Processed Data'!K1498</f>
        <v>0</v>
      </c>
      <c r="L1498">
        <f>'[1]Processed Data'!L1498</f>
        <v>0</v>
      </c>
      <c r="M1498">
        <f>'[1]Processed Data'!M1498</f>
        <v>0</v>
      </c>
      <c r="N1498">
        <f>'[1]Processed Data'!N1498</f>
        <v>0</v>
      </c>
      <c r="O1498">
        <f>'[1]Processed Data'!O1498</f>
        <v>0</v>
      </c>
      <c r="P1498">
        <f>'[1]Processed Data'!P1498</f>
        <v>0</v>
      </c>
      <c r="Q1498">
        <f>'[1]Processed Data'!Q1498</f>
        <v>0</v>
      </c>
    </row>
    <row r="1499" spans="2:17" hidden="1">
      <c r="B1499">
        <f>'[1]Processed Data'!B1499</f>
        <v>2012</v>
      </c>
      <c r="C1499">
        <f>'[1]Processed Data'!C1499</f>
        <v>144</v>
      </c>
      <c r="D1499" t="str">
        <f>'[1]Processed Data'!D1499</f>
        <v>Joshua Dobbs</v>
      </c>
      <c r="E1499">
        <v>2012</v>
      </c>
      <c r="F1499">
        <f>'[1]Processed Data'!F1499</f>
        <v>0</v>
      </c>
      <c r="G1499">
        <f>'[1]Processed Data'!G1499</f>
        <v>0</v>
      </c>
      <c r="H1499">
        <f>'[1]Processed Data'!H1499</f>
        <v>0</v>
      </c>
      <c r="I1499">
        <f>'[1]Processed Data'!I1499</f>
        <v>0</v>
      </c>
      <c r="J1499">
        <f>'[1]Processed Data'!J1499</f>
        <v>0</v>
      </c>
      <c r="K1499">
        <f>'[1]Processed Data'!K1499</f>
        <v>0</v>
      </c>
      <c r="L1499">
        <f>'[1]Processed Data'!L1499</f>
        <v>0</v>
      </c>
      <c r="M1499">
        <f>'[1]Processed Data'!M1499</f>
        <v>0</v>
      </c>
      <c r="N1499">
        <f>'[1]Processed Data'!N1499</f>
        <v>0</v>
      </c>
      <c r="O1499">
        <f>'[1]Processed Data'!O1499</f>
        <v>0</v>
      </c>
      <c r="P1499">
        <f>'[1]Processed Data'!P1499</f>
        <v>0</v>
      </c>
      <c r="Q1499">
        <f>'[1]Processed Data'!Q1499</f>
        <v>0</v>
      </c>
    </row>
    <row r="1500" spans="2:17" hidden="1">
      <c r="B1500">
        <f>'[1]Processed Data'!B1500</f>
        <v>2012</v>
      </c>
      <c r="C1500">
        <f>'[1]Processed Data'!C1500</f>
        <v>145</v>
      </c>
      <c r="D1500" t="str">
        <f>'[1]Processed Data'!D1500</f>
        <v>Davis Webb</v>
      </c>
      <c r="E1500">
        <v>2012</v>
      </c>
      <c r="F1500">
        <f>'[1]Processed Data'!F1500</f>
        <v>0</v>
      </c>
      <c r="G1500">
        <f>'[1]Processed Data'!G1500</f>
        <v>0</v>
      </c>
      <c r="H1500">
        <f>'[1]Processed Data'!H1500</f>
        <v>0</v>
      </c>
      <c r="I1500">
        <f>'[1]Processed Data'!I1500</f>
        <v>0</v>
      </c>
      <c r="J1500">
        <f>'[1]Processed Data'!J1500</f>
        <v>0</v>
      </c>
      <c r="K1500">
        <f>'[1]Processed Data'!K1500</f>
        <v>0</v>
      </c>
      <c r="L1500">
        <f>'[1]Processed Data'!L1500</f>
        <v>0</v>
      </c>
      <c r="M1500">
        <f>'[1]Processed Data'!M1500</f>
        <v>0</v>
      </c>
      <c r="N1500">
        <f>'[1]Processed Data'!N1500</f>
        <v>0</v>
      </c>
      <c r="O1500">
        <f>'[1]Processed Data'!O1500</f>
        <v>0</v>
      </c>
      <c r="P1500">
        <f>'[1]Processed Data'!P1500</f>
        <v>0</v>
      </c>
      <c r="Q1500">
        <f>'[1]Processed Data'!Q1500</f>
        <v>0</v>
      </c>
    </row>
    <row r="1501" spans="2:17" hidden="1">
      <c r="B1501">
        <f>'[1]Processed Data'!B1501</f>
        <v>2012</v>
      </c>
      <c r="C1501">
        <f>'[1]Processed Data'!C1501</f>
        <v>146</v>
      </c>
      <c r="D1501" t="str">
        <f>'[1]Processed Data'!D1501</f>
        <v>C.J. Beathard</v>
      </c>
      <c r="E1501">
        <v>2012</v>
      </c>
      <c r="F1501">
        <f>'[1]Processed Data'!F1501</f>
        <v>0</v>
      </c>
      <c r="G1501">
        <f>'[1]Processed Data'!G1501</f>
        <v>0</v>
      </c>
      <c r="H1501">
        <f>'[1]Processed Data'!H1501</f>
        <v>0</v>
      </c>
      <c r="I1501">
        <f>'[1]Processed Data'!I1501</f>
        <v>0</v>
      </c>
      <c r="J1501">
        <f>'[1]Processed Data'!J1501</f>
        <v>0</v>
      </c>
      <c r="K1501">
        <f>'[1]Processed Data'!K1501</f>
        <v>0</v>
      </c>
      <c r="L1501">
        <f>'[1]Processed Data'!L1501</f>
        <v>0</v>
      </c>
      <c r="M1501">
        <f>'[1]Processed Data'!M1501</f>
        <v>0</v>
      </c>
      <c r="N1501">
        <f>'[1]Processed Data'!N1501</f>
        <v>0</v>
      </c>
      <c r="O1501">
        <f>'[1]Processed Data'!O1501</f>
        <v>0</v>
      </c>
      <c r="P1501">
        <f>'[1]Processed Data'!P1501</f>
        <v>0</v>
      </c>
      <c r="Q1501">
        <f>'[1]Processed Data'!Q1501</f>
        <v>0</v>
      </c>
    </row>
    <row r="1502" spans="2:17" hidden="1">
      <c r="B1502">
        <f>'[1]Processed Data'!B1502</f>
        <v>2012</v>
      </c>
      <c r="C1502">
        <f>'[1]Processed Data'!C1502</f>
        <v>147</v>
      </c>
      <c r="D1502" t="str">
        <f>'[1]Processed Data'!D1502</f>
        <v>Nick Mullens</v>
      </c>
      <c r="E1502">
        <v>2012</v>
      </c>
      <c r="F1502">
        <f>'[1]Processed Data'!F1502</f>
        <v>0</v>
      </c>
      <c r="G1502">
        <f>'[1]Processed Data'!G1502</f>
        <v>0</v>
      </c>
      <c r="H1502">
        <f>'[1]Processed Data'!H1502</f>
        <v>0</v>
      </c>
      <c r="I1502">
        <f>'[1]Processed Data'!I1502</f>
        <v>0</v>
      </c>
      <c r="J1502">
        <f>'[1]Processed Data'!J1502</f>
        <v>0</v>
      </c>
      <c r="K1502">
        <f>'[1]Processed Data'!K1502</f>
        <v>0</v>
      </c>
      <c r="L1502">
        <f>'[1]Processed Data'!L1502</f>
        <v>0</v>
      </c>
      <c r="M1502">
        <f>'[1]Processed Data'!M1502</f>
        <v>0</v>
      </c>
      <c r="N1502">
        <f>'[1]Processed Data'!N1502</f>
        <v>0</v>
      </c>
      <c r="O1502">
        <f>'[1]Processed Data'!O1502</f>
        <v>0</v>
      </c>
      <c r="P1502">
        <f>'[1]Processed Data'!P1502</f>
        <v>0</v>
      </c>
      <c r="Q1502">
        <f>'[1]Processed Data'!Q1502</f>
        <v>0</v>
      </c>
    </row>
    <row r="1503" spans="2:17" hidden="1">
      <c r="B1503">
        <f>'[1]Processed Data'!B1503</f>
        <v>2012</v>
      </c>
      <c r="C1503">
        <f>'[1]Processed Data'!C1503</f>
        <v>148</v>
      </c>
      <c r="D1503" t="str">
        <f>'[1]Processed Data'!D1503</f>
        <v>P.J. Walker</v>
      </c>
      <c r="E1503">
        <v>2012</v>
      </c>
      <c r="F1503">
        <f>'[1]Processed Data'!F1503</f>
        <v>0</v>
      </c>
      <c r="G1503">
        <f>'[1]Processed Data'!G1503</f>
        <v>0</v>
      </c>
      <c r="H1503">
        <f>'[1]Processed Data'!H1503</f>
        <v>0</v>
      </c>
      <c r="I1503">
        <f>'[1]Processed Data'!I1503</f>
        <v>0</v>
      </c>
      <c r="J1503">
        <f>'[1]Processed Data'!J1503</f>
        <v>0</v>
      </c>
      <c r="K1503">
        <f>'[1]Processed Data'!K1503</f>
        <v>0</v>
      </c>
      <c r="L1503">
        <f>'[1]Processed Data'!L1503</f>
        <v>0</v>
      </c>
      <c r="M1503">
        <f>'[1]Processed Data'!M1503</f>
        <v>0</v>
      </c>
      <c r="N1503">
        <f>'[1]Processed Data'!N1503</f>
        <v>0</v>
      </c>
      <c r="O1503">
        <f>'[1]Processed Data'!O1503</f>
        <v>0</v>
      </c>
      <c r="P1503">
        <f>'[1]Processed Data'!P1503</f>
        <v>0</v>
      </c>
      <c r="Q1503">
        <f>'[1]Processed Data'!Q1503</f>
        <v>0</v>
      </c>
    </row>
    <row r="1504" spans="2:17" hidden="1">
      <c r="B1504">
        <f>'[1]Processed Data'!B1504</f>
        <v>2012</v>
      </c>
      <c r="C1504">
        <f>'[1]Processed Data'!C1504</f>
        <v>149</v>
      </c>
      <c r="D1504" t="str">
        <f>'[1]Processed Data'!D1504</f>
        <v>David Fales</v>
      </c>
      <c r="E1504">
        <v>2012</v>
      </c>
      <c r="F1504">
        <f>'[1]Processed Data'!F1504</f>
        <v>0</v>
      </c>
      <c r="G1504">
        <f>'[1]Processed Data'!G1504</f>
        <v>0</v>
      </c>
      <c r="H1504">
        <f>'[1]Processed Data'!H1504</f>
        <v>0</v>
      </c>
      <c r="I1504">
        <f>'[1]Processed Data'!I1504</f>
        <v>0</v>
      </c>
      <c r="J1504">
        <f>'[1]Processed Data'!J1504</f>
        <v>0</v>
      </c>
      <c r="K1504">
        <f>'[1]Processed Data'!K1504</f>
        <v>0</v>
      </c>
      <c r="L1504">
        <f>'[1]Processed Data'!L1504</f>
        <v>0</v>
      </c>
      <c r="M1504">
        <f>'[1]Processed Data'!M1504</f>
        <v>0</v>
      </c>
      <c r="N1504">
        <f>'[1]Processed Data'!N1504</f>
        <v>0</v>
      </c>
      <c r="O1504">
        <f>'[1]Processed Data'!O1504</f>
        <v>0</v>
      </c>
      <c r="P1504">
        <f>'[1]Processed Data'!P1504</f>
        <v>0</v>
      </c>
      <c r="Q1504">
        <f>'[1]Processed Data'!Q1504</f>
        <v>0</v>
      </c>
    </row>
    <row r="1505" spans="2:17" hidden="1">
      <c r="B1505">
        <f>'[1]Processed Data'!B1505</f>
        <v>2012</v>
      </c>
      <c r="C1505">
        <f>'[1]Processed Data'!C1505</f>
        <v>150</v>
      </c>
      <c r="D1505" t="str">
        <f>'[1]Processed Data'!D1505</f>
        <v>Garrett Gilbert</v>
      </c>
      <c r="E1505">
        <v>2012</v>
      </c>
      <c r="F1505">
        <f>'[1]Processed Data'!F1505</f>
        <v>0</v>
      </c>
      <c r="G1505">
        <f>'[1]Processed Data'!G1505</f>
        <v>0</v>
      </c>
      <c r="H1505">
        <f>'[1]Processed Data'!H1505</f>
        <v>0</v>
      </c>
      <c r="I1505">
        <f>'[1]Processed Data'!I1505</f>
        <v>0</v>
      </c>
      <c r="J1505">
        <f>'[1]Processed Data'!J1505</f>
        <v>0</v>
      </c>
      <c r="K1505">
        <f>'[1]Processed Data'!K1505</f>
        <v>0</v>
      </c>
      <c r="L1505">
        <f>'[1]Processed Data'!L1505</f>
        <v>0</v>
      </c>
      <c r="M1505">
        <f>'[1]Processed Data'!M1505</f>
        <v>0</v>
      </c>
      <c r="N1505">
        <f>'[1]Processed Data'!N1505</f>
        <v>0</v>
      </c>
      <c r="O1505">
        <f>'[1]Processed Data'!O1505</f>
        <v>0</v>
      </c>
      <c r="P1505">
        <f>'[1]Processed Data'!P1505</f>
        <v>0</v>
      </c>
      <c r="Q1505">
        <f>'[1]Processed Data'!Q1505</f>
        <v>0</v>
      </c>
    </row>
    <row r="1506" spans="2:17" hidden="1">
      <c r="B1506">
        <f>'[1]Processed Data'!B1506</f>
        <v>2012</v>
      </c>
      <c r="C1506">
        <f>'[1]Processed Data'!C1506</f>
        <v>151</v>
      </c>
      <c r="D1506" t="str">
        <f>'[1]Processed Data'!D1506</f>
        <v>Jimmy Garoppolo</v>
      </c>
      <c r="E1506">
        <v>2012</v>
      </c>
      <c r="F1506">
        <f>'[1]Processed Data'!F1506</f>
        <v>0</v>
      </c>
      <c r="G1506">
        <f>'[1]Processed Data'!G1506</f>
        <v>0</v>
      </c>
      <c r="H1506">
        <f>'[1]Processed Data'!H1506</f>
        <v>0</v>
      </c>
      <c r="I1506">
        <f>'[1]Processed Data'!I1506</f>
        <v>0</v>
      </c>
      <c r="J1506">
        <f>'[1]Processed Data'!J1506</f>
        <v>0</v>
      </c>
      <c r="K1506">
        <f>'[1]Processed Data'!K1506</f>
        <v>0</v>
      </c>
      <c r="L1506">
        <f>'[1]Processed Data'!L1506</f>
        <v>0</v>
      </c>
      <c r="M1506">
        <f>'[1]Processed Data'!M1506</f>
        <v>0</v>
      </c>
      <c r="N1506">
        <f>'[1]Processed Data'!N1506</f>
        <v>0</v>
      </c>
      <c r="O1506">
        <f>'[1]Processed Data'!O1506</f>
        <v>0</v>
      </c>
      <c r="P1506">
        <f>'[1]Processed Data'!P1506</f>
        <v>0</v>
      </c>
      <c r="Q1506">
        <f>'[1]Processed Data'!Q1506</f>
        <v>0</v>
      </c>
    </row>
    <row r="1507" spans="2:17" hidden="1">
      <c r="B1507">
        <f>'[1]Processed Data'!B1507</f>
        <v>2012</v>
      </c>
      <c r="C1507">
        <f>'[1]Processed Data'!C1507</f>
        <v>152</v>
      </c>
      <c r="D1507" t="str">
        <f>'[1]Processed Data'!D1507</f>
        <v>Brett Smith</v>
      </c>
      <c r="E1507">
        <v>2012</v>
      </c>
      <c r="F1507">
        <f>'[1]Processed Data'!F1507</f>
        <v>0</v>
      </c>
      <c r="G1507">
        <f>'[1]Processed Data'!G1507</f>
        <v>0</v>
      </c>
      <c r="H1507">
        <f>'[1]Processed Data'!H1507</f>
        <v>0</v>
      </c>
      <c r="I1507">
        <f>'[1]Processed Data'!I1507</f>
        <v>0</v>
      </c>
      <c r="J1507">
        <f>'[1]Processed Data'!J1507</f>
        <v>0</v>
      </c>
      <c r="K1507">
        <f>'[1]Processed Data'!K1507</f>
        <v>0</v>
      </c>
      <c r="L1507">
        <f>'[1]Processed Data'!L1507</f>
        <v>0</v>
      </c>
      <c r="M1507">
        <f>'[1]Processed Data'!M1507</f>
        <v>0</v>
      </c>
      <c r="N1507">
        <f>'[1]Processed Data'!N1507</f>
        <v>0</v>
      </c>
      <c r="O1507">
        <f>'[1]Processed Data'!O1507</f>
        <v>0</v>
      </c>
      <c r="P1507">
        <f>'[1]Processed Data'!P1507</f>
        <v>0</v>
      </c>
      <c r="Q1507">
        <f>'[1]Processed Data'!Q1507</f>
        <v>0</v>
      </c>
    </row>
    <row r="1508" spans="2:17" hidden="1">
      <c r="B1508">
        <f>'[1]Processed Data'!B1508</f>
        <v>2012</v>
      </c>
      <c r="C1508">
        <f>'[1]Processed Data'!C1508</f>
        <v>153</v>
      </c>
      <c r="D1508" t="str">
        <f>'[1]Processed Data'!D1508</f>
        <v>Mike Glennon</v>
      </c>
      <c r="E1508">
        <v>2012</v>
      </c>
      <c r="F1508">
        <f>'[1]Processed Data'!F1508</f>
        <v>0</v>
      </c>
      <c r="G1508">
        <f>'[1]Processed Data'!G1508</f>
        <v>0</v>
      </c>
      <c r="H1508">
        <f>'[1]Processed Data'!H1508</f>
        <v>0</v>
      </c>
      <c r="I1508">
        <f>'[1]Processed Data'!I1508</f>
        <v>0</v>
      </c>
      <c r="J1508">
        <f>'[1]Processed Data'!J1508</f>
        <v>0</v>
      </c>
      <c r="K1508">
        <f>'[1]Processed Data'!K1508</f>
        <v>0</v>
      </c>
      <c r="L1508">
        <f>'[1]Processed Data'!L1508</f>
        <v>0</v>
      </c>
      <c r="M1508">
        <f>'[1]Processed Data'!M1508</f>
        <v>0</v>
      </c>
      <c r="N1508">
        <f>'[1]Processed Data'!N1508</f>
        <v>0</v>
      </c>
      <c r="O1508">
        <f>'[1]Processed Data'!O1508</f>
        <v>0</v>
      </c>
      <c r="P1508">
        <f>'[1]Processed Data'!P1508</f>
        <v>0</v>
      </c>
      <c r="Q1508">
        <f>'[1]Processed Data'!Q1508</f>
        <v>0</v>
      </c>
    </row>
    <row r="1509" spans="2:17" hidden="1">
      <c r="B1509">
        <f>'[1]Processed Data'!B1509</f>
        <v>2012</v>
      </c>
      <c r="C1509">
        <f>'[1]Processed Data'!C1509</f>
        <v>154</v>
      </c>
      <c r="D1509" t="str">
        <f>'[1]Processed Data'!D1509</f>
        <v>Geno Smith</v>
      </c>
      <c r="E1509">
        <v>2012</v>
      </c>
      <c r="F1509">
        <f>'[1]Processed Data'!F1509</f>
        <v>0</v>
      </c>
      <c r="G1509">
        <f>'[1]Processed Data'!G1509</f>
        <v>0</v>
      </c>
      <c r="H1509">
        <f>'[1]Processed Data'!H1509</f>
        <v>0</v>
      </c>
      <c r="I1509">
        <f>'[1]Processed Data'!I1509</f>
        <v>0</v>
      </c>
      <c r="J1509">
        <f>'[1]Processed Data'!J1509</f>
        <v>0</v>
      </c>
      <c r="K1509">
        <f>'[1]Processed Data'!K1509</f>
        <v>0</v>
      </c>
      <c r="L1509">
        <f>'[1]Processed Data'!L1509</f>
        <v>0</v>
      </c>
      <c r="M1509">
        <f>'[1]Processed Data'!M1509</f>
        <v>0</v>
      </c>
      <c r="N1509">
        <f>'[1]Processed Data'!N1509</f>
        <v>0</v>
      </c>
      <c r="O1509">
        <f>'[1]Processed Data'!O1509</f>
        <v>0</v>
      </c>
      <c r="P1509">
        <f>'[1]Processed Data'!P1509</f>
        <v>0</v>
      </c>
      <c r="Q1509">
        <f>'[1]Processed Data'!Q1509</f>
        <v>0</v>
      </c>
    </row>
    <row r="1510" spans="2:17" hidden="1">
      <c r="B1510">
        <f>'[1]Processed Data'!B1510</f>
        <v>2012</v>
      </c>
      <c r="C1510">
        <f>'[1]Processed Data'!C1510</f>
        <v>155</v>
      </c>
      <c r="D1510" t="str">
        <f>'[1]Processed Data'!D1510</f>
        <v>Teddy Bridgewater</v>
      </c>
      <c r="E1510">
        <v>2012</v>
      </c>
      <c r="F1510">
        <f>'[1]Processed Data'!F1510</f>
        <v>0</v>
      </c>
      <c r="G1510">
        <f>'[1]Processed Data'!G1510</f>
        <v>0</v>
      </c>
      <c r="H1510">
        <f>'[1]Processed Data'!H1510</f>
        <v>0</v>
      </c>
      <c r="I1510">
        <f>'[1]Processed Data'!I1510</f>
        <v>0</v>
      </c>
      <c r="J1510">
        <f>'[1]Processed Data'!J1510</f>
        <v>0</v>
      </c>
      <c r="K1510">
        <f>'[1]Processed Data'!K1510</f>
        <v>0</v>
      </c>
      <c r="L1510">
        <f>'[1]Processed Data'!L1510</f>
        <v>0</v>
      </c>
      <c r="M1510">
        <f>'[1]Processed Data'!M1510</f>
        <v>0</v>
      </c>
      <c r="N1510">
        <f>'[1]Processed Data'!N1510</f>
        <v>0</v>
      </c>
      <c r="O1510">
        <f>'[1]Processed Data'!O1510</f>
        <v>0</v>
      </c>
      <c r="P1510">
        <f>'[1]Processed Data'!P1510</f>
        <v>0</v>
      </c>
      <c r="Q1510">
        <f>'[1]Processed Data'!Q1510</f>
        <v>0</v>
      </c>
    </row>
    <row r="1511" spans="2:17" hidden="1">
      <c r="B1511">
        <f>'[1]Processed Data'!B1511</f>
        <v>2012</v>
      </c>
      <c r="C1511">
        <f>'[1]Processed Data'!C1511</f>
        <v>156</v>
      </c>
      <c r="D1511" t="str">
        <f>'[1]Processed Data'!D1511</f>
        <v>Blake Bortles</v>
      </c>
      <c r="E1511">
        <v>2012</v>
      </c>
      <c r="F1511">
        <f>'[1]Processed Data'!F1511</f>
        <v>0</v>
      </c>
      <c r="G1511">
        <f>'[1]Processed Data'!G1511</f>
        <v>0</v>
      </c>
      <c r="H1511">
        <f>'[1]Processed Data'!H1511</f>
        <v>0</v>
      </c>
      <c r="I1511">
        <f>'[1]Processed Data'!I1511</f>
        <v>0</v>
      </c>
      <c r="J1511">
        <f>'[1]Processed Data'!J1511</f>
        <v>0</v>
      </c>
      <c r="K1511">
        <f>'[1]Processed Data'!K1511</f>
        <v>0</v>
      </c>
      <c r="L1511">
        <f>'[1]Processed Data'!L1511</f>
        <v>0</v>
      </c>
      <c r="M1511">
        <f>'[1]Processed Data'!M1511</f>
        <v>0</v>
      </c>
      <c r="N1511">
        <f>'[1]Processed Data'!N1511</f>
        <v>0</v>
      </c>
      <c r="O1511">
        <f>'[1]Processed Data'!O1511</f>
        <v>0</v>
      </c>
      <c r="P1511">
        <f>'[1]Processed Data'!P1511</f>
        <v>0</v>
      </c>
      <c r="Q1511">
        <f>'[1]Processed Data'!Q1511</f>
        <v>0</v>
      </c>
    </row>
    <row r="1512" spans="2:17" hidden="1">
      <c r="B1512">
        <f>'[1]Processed Data'!B1512</f>
        <v>2012</v>
      </c>
      <c r="C1512">
        <f>'[1]Processed Data'!C1512</f>
        <v>157</v>
      </c>
      <c r="D1512" t="str">
        <f>'[1]Processed Data'!D1512</f>
        <v>AJ McCarron</v>
      </c>
      <c r="E1512">
        <v>2012</v>
      </c>
      <c r="F1512">
        <f>'[1]Processed Data'!F1512</f>
        <v>0</v>
      </c>
      <c r="G1512">
        <f>'[1]Processed Data'!G1512</f>
        <v>0</v>
      </c>
      <c r="H1512">
        <f>'[1]Processed Data'!H1512</f>
        <v>0</v>
      </c>
      <c r="I1512">
        <f>'[1]Processed Data'!I1512</f>
        <v>0</v>
      </c>
      <c r="J1512">
        <f>'[1]Processed Data'!J1512</f>
        <v>0</v>
      </c>
      <c r="K1512">
        <f>'[1]Processed Data'!K1512</f>
        <v>0</v>
      </c>
      <c r="L1512">
        <f>'[1]Processed Data'!L1512</f>
        <v>0</v>
      </c>
      <c r="M1512">
        <f>'[1]Processed Data'!M1512</f>
        <v>0</v>
      </c>
      <c r="N1512">
        <f>'[1]Processed Data'!N1512</f>
        <v>0</v>
      </c>
      <c r="O1512">
        <f>'[1]Processed Data'!O1512</f>
        <v>0</v>
      </c>
      <c r="P1512">
        <f>'[1]Processed Data'!P1512</f>
        <v>0</v>
      </c>
      <c r="Q1512">
        <f>'[1]Processed Data'!Q1512</f>
        <v>0</v>
      </c>
    </row>
    <row r="1513" spans="2:17" hidden="1">
      <c r="B1513">
        <f>'[1]Processed Data'!B1513</f>
        <v>2012</v>
      </c>
      <c r="C1513">
        <f>'[1]Processed Data'!C1513</f>
        <v>158</v>
      </c>
      <c r="D1513" t="str">
        <f>'[1]Processed Data'!D1513</f>
        <v>Derek Carr</v>
      </c>
      <c r="E1513">
        <v>2012</v>
      </c>
      <c r="F1513">
        <f>'[1]Processed Data'!F1513</f>
        <v>0</v>
      </c>
      <c r="G1513">
        <f>'[1]Processed Data'!G1513</f>
        <v>0</v>
      </c>
      <c r="H1513">
        <f>'[1]Processed Data'!H1513</f>
        <v>0</v>
      </c>
      <c r="I1513">
        <f>'[1]Processed Data'!I1513</f>
        <v>0</v>
      </c>
      <c r="J1513">
        <f>'[1]Processed Data'!J1513</f>
        <v>0</v>
      </c>
      <c r="K1513">
        <f>'[1]Processed Data'!K1513</f>
        <v>0</v>
      </c>
      <c r="L1513">
        <f>'[1]Processed Data'!L1513</f>
        <v>0</v>
      </c>
      <c r="M1513">
        <f>'[1]Processed Data'!M1513</f>
        <v>0</v>
      </c>
      <c r="N1513">
        <f>'[1]Processed Data'!N1513</f>
        <v>0</v>
      </c>
      <c r="O1513">
        <f>'[1]Processed Data'!O1513</f>
        <v>0</v>
      </c>
      <c r="P1513">
        <f>'[1]Processed Data'!P1513</f>
        <v>0</v>
      </c>
      <c r="Q1513">
        <f>'[1]Processed Data'!Q1513</f>
        <v>0</v>
      </c>
    </row>
    <row r="1514" spans="2:17" hidden="1">
      <c r="B1514">
        <f>'[1]Processed Data'!B1514</f>
        <v>2012</v>
      </c>
      <c r="C1514">
        <f>'[1]Processed Data'!C1514</f>
        <v>159</v>
      </c>
      <c r="D1514" t="str">
        <f>'[1]Processed Data'!D1514</f>
        <v>Taylor Heinicke</v>
      </c>
      <c r="E1514">
        <v>2012</v>
      </c>
      <c r="F1514">
        <f>'[1]Processed Data'!F1514</f>
        <v>0</v>
      </c>
      <c r="G1514">
        <f>'[1]Processed Data'!G1514</f>
        <v>0</v>
      </c>
      <c r="H1514">
        <f>'[1]Processed Data'!H1514</f>
        <v>0</v>
      </c>
      <c r="I1514">
        <f>'[1]Processed Data'!I1514</f>
        <v>0</v>
      </c>
      <c r="J1514">
        <f>'[1]Processed Data'!J1514</f>
        <v>0</v>
      </c>
      <c r="K1514">
        <f>'[1]Processed Data'!K1514</f>
        <v>0</v>
      </c>
      <c r="L1514">
        <f>'[1]Processed Data'!L1514</f>
        <v>0</v>
      </c>
      <c r="M1514">
        <f>'[1]Processed Data'!M1514</f>
        <v>0</v>
      </c>
      <c r="N1514">
        <f>'[1]Processed Data'!N1514</f>
        <v>0</v>
      </c>
      <c r="O1514">
        <f>'[1]Processed Data'!O1514</f>
        <v>0</v>
      </c>
      <c r="P1514">
        <f>'[1]Processed Data'!P1514</f>
        <v>0</v>
      </c>
      <c r="Q1514">
        <f>'[1]Processed Data'!Q1514</f>
        <v>0</v>
      </c>
    </row>
    <row r="1515" spans="2:17" hidden="1">
      <c r="B1515">
        <f>'[1]Processed Data'!B1515</f>
        <v>2012</v>
      </c>
      <c r="C1515">
        <f>'[1]Processed Data'!C1515</f>
        <v>160</v>
      </c>
      <c r="D1515" t="str">
        <f>'[1]Processed Data'!D1515</f>
        <v>Trevor Siemian</v>
      </c>
      <c r="E1515">
        <v>2012</v>
      </c>
      <c r="F1515">
        <f>'[1]Processed Data'!F1515</f>
        <v>0</v>
      </c>
      <c r="G1515">
        <f>'[1]Processed Data'!G1515</f>
        <v>0</v>
      </c>
      <c r="H1515">
        <f>'[1]Processed Data'!H1515</f>
        <v>0</v>
      </c>
      <c r="I1515">
        <f>'[1]Processed Data'!I1515</f>
        <v>0</v>
      </c>
      <c r="J1515">
        <f>'[1]Processed Data'!J1515</f>
        <v>0</v>
      </c>
      <c r="K1515">
        <f>'[1]Processed Data'!K1515</f>
        <v>0</v>
      </c>
      <c r="L1515">
        <f>'[1]Processed Data'!L1515</f>
        <v>0</v>
      </c>
      <c r="M1515">
        <f>'[1]Processed Data'!M1515</f>
        <v>0</v>
      </c>
      <c r="N1515">
        <f>'[1]Processed Data'!N1515</f>
        <v>0</v>
      </c>
      <c r="O1515">
        <f>'[1]Processed Data'!O1515</f>
        <v>0</v>
      </c>
      <c r="P1515">
        <f>'[1]Processed Data'!P1515</f>
        <v>0</v>
      </c>
      <c r="Q1515">
        <f>'[1]Processed Data'!Q1515</f>
        <v>0</v>
      </c>
    </row>
    <row r="1516" spans="2:17" hidden="1">
      <c r="B1516">
        <f>'[1]Processed Data'!B1516</f>
        <v>2012</v>
      </c>
      <c r="C1516">
        <f>'[1]Processed Data'!C1516</f>
        <v>161</v>
      </c>
      <c r="D1516" t="str">
        <f>'[1]Processed Data'!D1516</f>
        <v>Sean Mannion</v>
      </c>
      <c r="E1516">
        <v>2012</v>
      </c>
      <c r="F1516">
        <f>'[1]Processed Data'!F1516</f>
        <v>0</v>
      </c>
      <c r="G1516">
        <f>'[1]Processed Data'!G1516</f>
        <v>0</v>
      </c>
      <c r="H1516">
        <f>'[1]Processed Data'!H1516</f>
        <v>0</v>
      </c>
      <c r="I1516">
        <f>'[1]Processed Data'!I1516</f>
        <v>0</v>
      </c>
      <c r="J1516">
        <f>'[1]Processed Data'!J1516</f>
        <v>0</v>
      </c>
      <c r="K1516">
        <f>'[1]Processed Data'!K1516</f>
        <v>0</v>
      </c>
      <c r="L1516">
        <f>'[1]Processed Data'!L1516</f>
        <v>0</v>
      </c>
      <c r="M1516">
        <f>'[1]Processed Data'!M1516</f>
        <v>0</v>
      </c>
      <c r="N1516">
        <f>'[1]Processed Data'!N1516</f>
        <v>0</v>
      </c>
      <c r="O1516">
        <f>'[1]Processed Data'!O1516</f>
        <v>0</v>
      </c>
      <c r="P1516">
        <f>'[1]Processed Data'!P1516</f>
        <v>0</v>
      </c>
      <c r="Q1516">
        <f>'[1]Processed Data'!Q1516</f>
        <v>0</v>
      </c>
    </row>
    <row r="1517" spans="2:17" hidden="1">
      <c r="B1517">
        <f>'[1]Processed Data'!B1517</f>
        <v>2012</v>
      </c>
      <c r="C1517">
        <f>'[1]Processed Data'!C1517</f>
        <v>162</v>
      </c>
      <c r="D1517" t="str">
        <f>'[1]Processed Data'!D1517</f>
        <v>Marcus Mariota</v>
      </c>
      <c r="E1517">
        <v>2012</v>
      </c>
      <c r="F1517">
        <f>'[1]Processed Data'!F1517</f>
        <v>0</v>
      </c>
      <c r="G1517">
        <f>'[1]Processed Data'!G1517</f>
        <v>0</v>
      </c>
      <c r="H1517">
        <f>'[1]Processed Data'!H1517</f>
        <v>0</v>
      </c>
      <c r="I1517">
        <f>'[1]Processed Data'!I1517</f>
        <v>0</v>
      </c>
      <c r="J1517">
        <f>'[1]Processed Data'!J1517</f>
        <v>0</v>
      </c>
      <c r="K1517">
        <f>'[1]Processed Data'!K1517</f>
        <v>0</v>
      </c>
      <c r="L1517">
        <f>'[1]Processed Data'!L1517</f>
        <v>0</v>
      </c>
      <c r="M1517">
        <f>'[1]Processed Data'!M1517</f>
        <v>0</v>
      </c>
      <c r="N1517">
        <f>'[1]Processed Data'!N1517</f>
        <v>0</v>
      </c>
      <c r="O1517">
        <f>'[1]Processed Data'!O1517</f>
        <v>0</v>
      </c>
      <c r="P1517">
        <f>'[1]Processed Data'!P1517</f>
        <v>0</v>
      </c>
      <c r="Q1517">
        <f>'[1]Processed Data'!Q1517</f>
        <v>0</v>
      </c>
    </row>
    <row r="1518" spans="2:17" hidden="1">
      <c r="B1518">
        <f>'[1]Processed Data'!B1518</f>
        <v>2012</v>
      </c>
      <c r="C1518">
        <f>'[1]Processed Data'!C1518</f>
        <v>163</v>
      </c>
      <c r="D1518" t="str">
        <f>'[1]Processed Data'!D1518</f>
        <v>Jameis Winston</v>
      </c>
      <c r="E1518">
        <v>2012</v>
      </c>
      <c r="F1518">
        <f>'[1]Processed Data'!F1518</f>
        <v>0</v>
      </c>
      <c r="G1518">
        <f>'[1]Processed Data'!G1518</f>
        <v>0</v>
      </c>
      <c r="H1518">
        <f>'[1]Processed Data'!H1518</f>
        <v>0</v>
      </c>
      <c r="I1518">
        <f>'[1]Processed Data'!I1518</f>
        <v>0</v>
      </c>
      <c r="J1518">
        <f>'[1]Processed Data'!J1518</f>
        <v>0</v>
      </c>
      <c r="K1518">
        <f>'[1]Processed Data'!K1518</f>
        <v>0</v>
      </c>
      <c r="L1518">
        <f>'[1]Processed Data'!L1518</f>
        <v>0</v>
      </c>
      <c r="M1518">
        <f>'[1]Processed Data'!M1518</f>
        <v>0</v>
      </c>
      <c r="N1518">
        <f>'[1]Processed Data'!N1518</f>
        <v>0</v>
      </c>
      <c r="O1518">
        <f>'[1]Processed Data'!O1518</f>
        <v>0</v>
      </c>
      <c r="P1518">
        <f>'[1]Processed Data'!P1518</f>
        <v>0</v>
      </c>
      <c r="Q1518">
        <f>'[1]Processed Data'!Q1518</f>
        <v>0</v>
      </c>
    </row>
    <row r="1519" spans="2:17" hidden="1">
      <c r="B1519">
        <f>'[1]Processed Data'!B1519</f>
        <v>2012</v>
      </c>
      <c r="C1519">
        <f>'[1]Processed Data'!C1519</f>
        <v>164</v>
      </c>
      <c r="D1519" t="str">
        <f>'[1]Processed Data'!D1519</f>
        <v>Joe Webb III</v>
      </c>
      <c r="E1519">
        <v>2011</v>
      </c>
      <c r="F1519">
        <f>'[1]Processed Data'!F1519</f>
        <v>0</v>
      </c>
      <c r="G1519">
        <f>'[1]Processed Data'!G1519</f>
        <v>0</v>
      </c>
      <c r="H1519">
        <f>'[1]Processed Data'!H1519</f>
        <v>0</v>
      </c>
      <c r="I1519">
        <f>'[1]Processed Data'!I1519</f>
        <v>0</v>
      </c>
      <c r="J1519">
        <f>'[1]Processed Data'!J1519</f>
        <v>0</v>
      </c>
      <c r="K1519">
        <f>'[1]Processed Data'!K1519</f>
        <v>0</v>
      </c>
      <c r="L1519">
        <f>'[1]Processed Data'!L1519</f>
        <v>1</v>
      </c>
      <c r="M1519">
        <f>'[1]Processed Data'!M1519</f>
        <v>-1</v>
      </c>
      <c r="N1519">
        <f>'[1]Processed Data'!N1519</f>
        <v>0</v>
      </c>
      <c r="O1519">
        <f>'[1]Processed Data'!O1519</f>
        <v>0</v>
      </c>
      <c r="P1519">
        <f>'[1]Processed Data'!P1519</f>
        <v>-0.1</v>
      </c>
      <c r="Q1519">
        <f>'[1]Processed Data'!Q1519</f>
        <v>1</v>
      </c>
    </row>
    <row r="1520" spans="2:17" hidden="1">
      <c r="B1520">
        <f>'[1]Processed Data'!B1520</f>
        <v>2012</v>
      </c>
      <c r="C1520">
        <f>'[1]Processed Data'!C1520</f>
        <v>165</v>
      </c>
      <c r="D1520" t="str">
        <f>'[1]Processed Data'!D1520</f>
        <v>Luke McCown</v>
      </c>
      <c r="E1520">
        <v>2011</v>
      </c>
      <c r="F1520">
        <f>'[1]Processed Data'!F1520</f>
        <v>0</v>
      </c>
      <c r="G1520">
        <f>'[1]Processed Data'!G1520</f>
        <v>0</v>
      </c>
      <c r="H1520">
        <f>'[1]Processed Data'!H1520</f>
        <v>0</v>
      </c>
      <c r="I1520">
        <f>'[1]Processed Data'!I1520</f>
        <v>0</v>
      </c>
      <c r="J1520">
        <f>'[1]Processed Data'!J1520</f>
        <v>0</v>
      </c>
      <c r="K1520">
        <f>'[1]Processed Data'!K1520</f>
        <v>0</v>
      </c>
      <c r="L1520">
        <f>'[1]Processed Data'!L1520</f>
        <v>2</v>
      </c>
      <c r="M1520">
        <f>'[1]Processed Data'!M1520</f>
        <v>-3</v>
      </c>
      <c r="N1520">
        <f>'[1]Processed Data'!N1520</f>
        <v>0</v>
      </c>
      <c r="O1520">
        <f>'[1]Processed Data'!O1520</f>
        <v>0</v>
      </c>
      <c r="P1520">
        <f>'[1]Processed Data'!P1520</f>
        <v>-0.3</v>
      </c>
      <c r="Q1520">
        <f>'[1]Processed Data'!Q1520</f>
        <v>2</v>
      </c>
    </row>
    <row r="1521" spans="2:17" hidden="1">
      <c r="B1521">
        <f>'[1]Processed Data'!B1521</f>
        <v>2012</v>
      </c>
      <c r="C1521">
        <f>'[1]Processed Data'!C1521</f>
        <v>166</v>
      </c>
      <c r="D1521" t="str">
        <f>'[1]Processed Data'!D1521</f>
        <v>Josh Johnson</v>
      </c>
      <c r="E1521">
        <v>2011</v>
      </c>
      <c r="F1521">
        <f>'[1]Processed Data'!F1521</f>
        <v>0</v>
      </c>
      <c r="G1521">
        <f>'[1]Processed Data'!G1521</f>
        <v>0</v>
      </c>
      <c r="H1521">
        <f>'[1]Processed Data'!H1521</f>
        <v>0</v>
      </c>
      <c r="I1521">
        <f>'[1]Processed Data'!I1521</f>
        <v>0</v>
      </c>
      <c r="J1521">
        <f>'[1]Processed Data'!J1521</f>
        <v>0</v>
      </c>
      <c r="K1521">
        <f>'[1]Processed Data'!K1521</f>
        <v>1</v>
      </c>
      <c r="L1521">
        <f>'[1]Processed Data'!L1521</f>
        <v>0</v>
      </c>
      <c r="M1521">
        <f>'[1]Processed Data'!M1521</f>
        <v>0</v>
      </c>
      <c r="N1521">
        <f>'[1]Processed Data'!N1521</f>
        <v>0</v>
      </c>
      <c r="O1521">
        <f>'[1]Processed Data'!O1521</f>
        <v>1</v>
      </c>
      <c r="P1521">
        <f>'[1]Processed Data'!P1521</f>
        <v>-2</v>
      </c>
      <c r="Q1521">
        <f>'[1]Processed Data'!Q1521</f>
        <v>1</v>
      </c>
    </row>
    <row r="1522" spans="2:17" hidden="1">
      <c r="B1522">
        <f>'[1]Processed Data'!B1522</f>
        <v>2011</v>
      </c>
      <c r="C1522">
        <f>'[1]Processed Data'!C1522</f>
        <v>1</v>
      </c>
      <c r="D1522" t="str">
        <f>'[1]Processed Data'!D1522</f>
        <v>Aaron Rodgers</v>
      </c>
      <c r="E1522">
        <v>2011</v>
      </c>
      <c r="F1522">
        <f>'[1]Processed Data'!F1522</f>
        <v>343</v>
      </c>
      <c r="G1522">
        <f>'[1]Processed Data'!G1522</f>
        <v>502</v>
      </c>
      <c r="H1522">
        <f>'[1]Processed Data'!H1522</f>
        <v>68.3</v>
      </c>
      <c r="I1522">
        <f>'[1]Processed Data'!I1522</f>
        <v>45</v>
      </c>
      <c r="J1522">
        <f>'[1]Processed Data'!J1522</f>
        <v>6</v>
      </c>
      <c r="K1522">
        <f>'[1]Processed Data'!K1522</f>
        <v>36</v>
      </c>
      <c r="L1522">
        <f>'[1]Processed Data'!L1522</f>
        <v>60</v>
      </c>
      <c r="M1522">
        <f>'[1]Processed Data'!M1522</f>
        <v>257</v>
      </c>
      <c r="N1522">
        <f>'[1]Processed Data'!N1522</f>
        <v>3</v>
      </c>
      <c r="O1522">
        <f>'[1]Processed Data'!O1522</f>
        <v>0</v>
      </c>
      <c r="P1522">
        <f>'[1]Processed Data'!P1522</f>
        <v>397.4</v>
      </c>
      <c r="Q1522">
        <f>'[1]Processed Data'!Q1522</f>
        <v>15</v>
      </c>
    </row>
    <row r="1523" spans="2:17" hidden="1">
      <c r="B1523">
        <f>'[1]Processed Data'!B1523</f>
        <v>2011</v>
      </c>
      <c r="C1523">
        <f>'[1]Processed Data'!C1523</f>
        <v>2</v>
      </c>
      <c r="D1523" t="str">
        <f>'[1]Processed Data'!D1523</f>
        <v>Drew Brees</v>
      </c>
      <c r="E1523">
        <v>2011</v>
      </c>
      <c r="F1523">
        <f>'[1]Processed Data'!F1523</f>
        <v>468</v>
      </c>
      <c r="G1523">
        <f>'[1]Processed Data'!G1523</f>
        <v>657</v>
      </c>
      <c r="H1523">
        <f>'[1]Processed Data'!H1523</f>
        <v>71.2</v>
      </c>
      <c r="I1523">
        <f>'[1]Processed Data'!I1523</f>
        <v>46</v>
      </c>
      <c r="J1523">
        <f>'[1]Processed Data'!J1523</f>
        <v>14</v>
      </c>
      <c r="K1523">
        <f>'[1]Processed Data'!K1523</f>
        <v>24</v>
      </c>
      <c r="L1523">
        <f>'[1]Processed Data'!L1523</f>
        <v>21</v>
      </c>
      <c r="M1523">
        <f>'[1]Processed Data'!M1523</f>
        <v>86</v>
      </c>
      <c r="N1523">
        <f>'[1]Processed Data'!N1523</f>
        <v>1</v>
      </c>
      <c r="O1523">
        <f>'[1]Processed Data'!O1523</f>
        <v>1</v>
      </c>
      <c r="P1523">
        <f>'[1]Processed Data'!P1523</f>
        <v>387.8</v>
      </c>
      <c r="Q1523">
        <f>'[1]Processed Data'!Q1523</f>
        <v>16</v>
      </c>
    </row>
    <row r="1524" spans="2:17" hidden="1">
      <c r="B1524">
        <f>'[1]Processed Data'!B1524</f>
        <v>2011</v>
      </c>
      <c r="C1524">
        <f>'[1]Processed Data'!C1524</f>
        <v>3</v>
      </c>
      <c r="D1524" t="str">
        <f>'[1]Processed Data'!D1524</f>
        <v>Tom Brady</v>
      </c>
      <c r="E1524">
        <v>2011</v>
      </c>
      <c r="F1524">
        <f>'[1]Processed Data'!F1524</f>
        <v>401</v>
      </c>
      <c r="G1524">
        <f>'[1]Processed Data'!G1524</f>
        <v>611</v>
      </c>
      <c r="H1524">
        <f>'[1]Processed Data'!H1524</f>
        <v>65.599999999999994</v>
      </c>
      <c r="I1524">
        <f>'[1]Processed Data'!I1524</f>
        <v>39</v>
      </c>
      <c r="J1524">
        <f>'[1]Processed Data'!J1524</f>
        <v>12</v>
      </c>
      <c r="K1524">
        <f>'[1]Processed Data'!K1524</f>
        <v>32</v>
      </c>
      <c r="L1524">
        <f>'[1]Processed Data'!L1524</f>
        <v>43</v>
      </c>
      <c r="M1524">
        <f>'[1]Processed Data'!M1524</f>
        <v>109</v>
      </c>
      <c r="N1524">
        <f>'[1]Processed Data'!N1524</f>
        <v>3</v>
      </c>
      <c r="O1524">
        <f>'[1]Processed Data'!O1524</f>
        <v>2</v>
      </c>
      <c r="P1524">
        <f>'[1]Processed Data'!P1524</f>
        <v>366.4</v>
      </c>
      <c r="Q1524">
        <f>'[1]Processed Data'!Q1524</f>
        <v>16</v>
      </c>
    </row>
    <row r="1525" spans="2:17" hidden="1">
      <c r="B1525">
        <f>'[1]Processed Data'!B1525</f>
        <v>2011</v>
      </c>
      <c r="C1525">
        <f>'[1]Processed Data'!C1525</f>
        <v>4</v>
      </c>
      <c r="D1525" t="str">
        <f>'[1]Processed Data'!D1525</f>
        <v>Cam Newton</v>
      </c>
      <c r="E1525">
        <v>2011</v>
      </c>
      <c r="F1525">
        <f>'[1]Processed Data'!F1525</f>
        <v>310</v>
      </c>
      <c r="G1525">
        <f>'[1]Processed Data'!G1525</f>
        <v>517</v>
      </c>
      <c r="H1525">
        <f>'[1]Processed Data'!H1525</f>
        <v>60</v>
      </c>
      <c r="I1525">
        <f>'[1]Processed Data'!I1525</f>
        <v>21</v>
      </c>
      <c r="J1525">
        <f>'[1]Processed Data'!J1525</f>
        <v>17</v>
      </c>
      <c r="K1525">
        <f>'[1]Processed Data'!K1525</f>
        <v>35</v>
      </c>
      <c r="L1525">
        <f>'[1]Processed Data'!L1525</f>
        <v>126</v>
      </c>
      <c r="M1525">
        <f>'[1]Processed Data'!M1525</f>
        <v>706</v>
      </c>
      <c r="N1525">
        <f>'[1]Processed Data'!N1525</f>
        <v>14</v>
      </c>
      <c r="O1525">
        <f>'[1]Processed Data'!O1525</f>
        <v>2</v>
      </c>
      <c r="P1525">
        <f>'[1]Processed Data'!P1525</f>
        <v>365.9</v>
      </c>
      <c r="Q1525">
        <f>'[1]Processed Data'!Q1525</f>
        <v>16</v>
      </c>
    </row>
    <row r="1526" spans="2:17" hidden="1">
      <c r="B1526">
        <f>'[1]Processed Data'!B1526</f>
        <v>2011</v>
      </c>
      <c r="C1526">
        <f>'[1]Processed Data'!C1526</f>
        <v>5</v>
      </c>
      <c r="D1526" t="str">
        <f>'[1]Processed Data'!D1526</f>
        <v>Matthew Stafford</v>
      </c>
      <c r="E1526">
        <v>2011</v>
      </c>
      <c r="F1526">
        <f>'[1]Processed Data'!F1526</f>
        <v>421</v>
      </c>
      <c r="G1526">
        <f>'[1]Processed Data'!G1526</f>
        <v>663</v>
      </c>
      <c r="H1526">
        <f>'[1]Processed Data'!H1526</f>
        <v>63.5</v>
      </c>
      <c r="I1526">
        <f>'[1]Processed Data'!I1526</f>
        <v>41</v>
      </c>
      <c r="J1526">
        <f>'[1]Processed Data'!J1526</f>
        <v>16</v>
      </c>
      <c r="K1526">
        <f>'[1]Processed Data'!K1526</f>
        <v>36</v>
      </c>
      <c r="L1526">
        <f>'[1]Processed Data'!L1526</f>
        <v>22</v>
      </c>
      <c r="M1526">
        <f>'[1]Processed Data'!M1526</f>
        <v>78</v>
      </c>
      <c r="N1526">
        <f>'[1]Processed Data'!N1526</f>
        <v>0</v>
      </c>
      <c r="O1526">
        <f>'[1]Processed Data'!O1526</f>
        <v>1</v>
      </c>
      <c r="P1526">
        <f>'[1]Processed Data'!P1526</f>
        <v>339.3</v>
      </c>
      <c r="Q1526">
        <f>'[1]Processed Data'!Q1526</f>
        <v>16</v>
      </c>
    </row>
    <row r="1527" spans="2:17" hidden="1">
      <c r="B1527">
        <f>'[1]Processed Data'!B1527</f>
        <v>2011</v>
      </c>
      <c r="C1527">
        <f>'[1]Processed Data'!C1527</f>
        <v>6</v>
      </c>
      <c r="D1527" t="str">
        <f>'[1]Processed Data'!D1527</f>
        <v>Matt Ryan</v>
      </c>
      <c r="E1527">
        <v>2011</v>
      </c>
      <c r="F1527">
        <f>'[1]Processed Data'!F1527</f>
        <v>347</v>
      </c>
      <c r="G1527">
        <f>'[1]Processed Data'!G1527</f>
        <v>566</v>
      </c>
      <c r="H1527">
        <f>'[1]Processed Data'!H1527</f>
        <v>61.3</v>
      </c>
      <c r="I1527">
        <f>'[1]Processed Data'!I1527</f>
        <v>29</v>
      </c>
      <c r="J1527">
        <f>'[1]Processed Data'!J1527</f>
        <v>12</v>
      </c>
      <c r="K1527">
        <f>'[1]Processed Data'!K1527</f>
        <v>26</v>
      </c>
      <c r="L1527">
        <f>'[1]Processed Data'!L1527</f>
        <v>37</v>
      </c>
      <c r="M1527">
        <f>'[1]Processed Data'!M1527</f>
        <v>84</v>
      </c>
      <c r="N1527">
        <f>'[1]Processed Data'!N1527</f>
        <v>2</v>
      </c>
      <c r="O1527">
        <f>'[1]Processed Data'!O1527</f>
        <v>3</v>
      </c>
      <c r="P1527">
        <f>'[1]Processed Data'!P1527</f>
        <v>273.39999999999998</v>
      </c>
      <c r="Q1527">
        <f>'[1]Processed Data'!Q1527</f>
        <v>16</v>
      </c>
    </row>
    <row r="1528" spans="2:17" hidden="1">
      <c r="B1528">
        <f>'[1]Processed Data'!B1528</f>
        <v>2011</v>
      </c>
      <c r="C1528">
        <f>'[1]Processed Data'!C1528</f>
        <v>7</v>
      </c>
      <c r="D1528" t="str">
        <f>'[1]Processed Data'!D1528</f>
        <v>Ryan Fitzpatrick</v>
      </c>
      <c r="E1528">
        <v>2011</v>
      </c>
      <c r="F1528">
        <f>'[1]Processed Data'!F1528</f>
        <v>353</v>
      </c>
      <c r="G1528">
        <f>'[1]Processed Data'!G1528</f>
        <v>569</v>
      </c>
      <c r="H1528">
        <f>'[1]Processed Data'!H1528</f>
        <v>62</v>
      </c>
      <c r="I1528">
        <f>'[1]Processed Data'!I1528</f>
        <v>24</v>
      </c>
      <c r="J1528">
        <f>'[1]Processed Data'!J1528</f>
        <v>23</v>
      </c>
      <c r="K1528">
        <f>'[1]Processed Data'!K1528</f>
        <v>22</v>
      </c>
      <c r="L1528">
        <f>'[1]Processed Data'!L1528</f>
        <v>56</v>
      </c>
      <c r="M1528">
        <f>'[1]Processed Data'!M1528</f>
        <v>215</v>
      </c>
      <c r="N1528">
        <f>'[1]Processed Data'!N1528</f>
        <v>0</v>
      </c>
      <c r="O1528">
        <f>'[1]Processed Data'!O1528</f>
        <v>2</v>
      </c>
      <c r="P1528">
        <f>'[1]Processed Data'!P1528</f>
        <v>220.8</v>
      </c>
      <c r="Q1528">
        <f>'[1]Processed Data'!Q1528</f>
        <v>16</v>
      </c>
    </row>
    <row r="1529" spans="2:17" hidden="1">
      <c r="B1529">
        <f>'[1]Processed Data'!B1529</f>
        <v>2011</v>
      </c>
      <c r="C1529">
        <f>'[1]Processed Data'!C1529</f>
        <v>8</v>
      </c>
      <c r="D1529" t="str">
        <f>'[1]Processed Data'!D1529</f>
        <v>Ben Roethlisberger</v>
      </c>
      <c r="E1529">
        <v>2011</v>
      </c>
      <c r="F1529">
        <f>'[1]Processed Data'!F1529</f>
        <v>324</v>
      </c>
      <c r="G1529">
        <f>'[1]Processed Data'!G1529</f>
        <v>513</v>
      </c>
      <c r="H1529">
        <f>'[1]Processed Data'!H1529</f>
        <v>63.2</v>
      </c>
      <c r="I1529">
        <f>'[1]Processed Data'!I1529</f>
        <v>21</v>
      </c>
      <c r="J1529">
        <f>'[1]Processed Data'!J1529</f>
        <v>14</v>
      </c>
      <c r="K1529">
        <f>'[1]Processed Data'!K1529</f>
        <v>40</v>
      </c>
      <c r="L1529">
        <f>'[1]Processed Data'!L1529</f>
        <v>31</v>
      </c>
      <c r="M1529">
        <f>'[1]Processed Data'!M1529</f>
        <v>70</v>
      </c>
      <c r="N1529">
        <f>'[1]Processed Data'!N1529</f>
        <v>0</v>
      </c>
      <c r="O1529">
        <f>'[1]Processed Data'!O1529</f>
        <v>5</v>
      </c>
      <c r="P1529">
        <f>'[1]Processed Data'!P1529</f>
        <v>215.9</v>
      </c>
      <c r="Q1529">
        <f>'[1]Processed Data'!Q1529</f>
        <v>15</v>
      </c>
    </row>
    <row r="1530" spans="2:17" hidden="1">
      <c r="B1530">
        <f>'[1]Processed Data'!B1530</f>
        <v>2011</v>
      </c>
      <c r="C1530">
        <f>'[1]Processed Data'!C1530</f>
        <v>9</v>
      </c>
      <c r="D1530" t="str">
        <f>'[1]Processed Data'!D1530</f>
        <v>Alex Smith</v>
      </c>
      <c r="E1530">
        <v>2011</v>
      </c>
      <c r="F1530">
        <f>'[1]Processed Data'!F1530</f>
        <v>273</v>
      </c>
      <c r="G1530">
        <f>'[1]Processed Data'!G1530</f>
        <v>445</v>
      </c>
      <c r="H1530">
        <f>'[1]Processed Data'!H1530</f>
        <v>61.3</v>
      </c>
      <c r="I1530">
        <f>'[1]Processed Data'!I1530</f>
        <v>17</v>
      </c>
      <c r="J1530">
        <f>'[1]Processed Data'!J1530</f>
        <v>5</v>
      </c>
      <c r="K1530">
        <f>'[1]Processed Data'!K1530</f>
        <v>44</v>
      </c>
      <c r="L1530">
        <f>'[1]Processed Data'!L1530</f>
        <v>52</v>
      </c>
      <c r="M1530">
        <f>'[1]Processed Data'!M1530</f>
        <v>179</v>
      </c>
      <c r="N1530">
        <f>'[1]Processed Data'!N1530</f>
        <v>2</v>
      </c>
      <c r="O1530">
        <f>'[1]Processed Data'!O1530</f>
        <v>2</v>
      </c>
      <c r="P1530">
        <f>'[1]Processed Data'!P1530</f>
        <v>209.8</v>
      </c>
      <c r="Q1530">
        <f>'[1]Processed Data'!Q1530</f>
        <v>16</v>
      </c>
    </row>
    <row r="1531" spans="2:17" hidden="1">
      <c r="B1531">
        <f>'[1]Processed Data'!B1531</f>
        <v>2011</v>
      </c>
      <c r="C1531">
        <f>'[1]Processed Data'!C1531</f>
        <v>10</v>
      </c>
      <c r="D1531" t="str">
        <f>'[1]Processed Data'!D1531</f>
        <v>Andy Dalton</v>
      </c>
      <c r="E1531">
        <v>2011</v>
      </c>
      <c r="F1531">
        <f>'[1]Processed Data'!F1531</f>
        <v>300</v>
      </c>
      <c r="G1531">
        <f>'[1]Processed Data'!G1531</f>
        <v>516</v>
      </c>
      <c r="H1531">
        <f>'[1]Processed Data'!H1531</f>
        <v>58.1</v>
      </c>
      <c r="I1531">
        <f>'[1]Processed Data'!I1531</f>
        <v>20</v>
      </c>
      <c r="J1531">
        <f>'[1]Processed Data'!J1531</f>
        <v>13</v>
      </c>
      <c r="K1531">
        <f>'[1]Processed Data'!K1531</f>
        <v>24</v>
      </c>
      <c r="L1531">
        <f>'[1]Processed Data'!L1531</f>
        <v>37</v>
      </c>
      <c r="M1531">
        <f>'[1]Processed Data'!M1531</f>
        <v>152</v>
      </c>
      <c r="N1531">
        <f>'[1]Processed Data'!N1531</f>
        <v>1</v>
      </c>
      <c r="O1531">
        <f>'[1]Processed Data'!O1531</f>
        <v>2</v>
      </c>
      <c r="P1531">
        <f>'[1]Processed Data'!P1531</f>
        <v>207.3</v>
      </c>
      <c r="Q1531">
        <f>'[1]Processed Data'!Q1531</f>
        <v>16</v>
      </c>
    </row>
    <row r="1532" spans="2:17" hidden="1">
      <c r="B1532">
        <f>'[1]Processed Data'!B1532</f>
        <v>2011</v>
      </c>
      <c r="C1532">
        <f>'[1]Processed Data'!C1532</f>
        <v>11</v>
      </c>
      <c r="D1532" t="str">
        <f>'[1]Processed Data'!D1532</f>
        <v>Joe Flacco</v>
      </c>
      <c r="E1532">
        <v>2011</v>
      </c>
      <c r="F1532">
        <f>'[1]Processed Data'!F1532</f>
        <v>312</v>
      </c>
      <c r="G1532">
        <f>'[1]Processed Data'!G1532</f>
        <v>542</v>
      </c>
      <c r="H1532">
        <f>'[1]Processed Data'!H1532</f>
        <v>57.6</v>
      </c>
      <c r="I1532">
        <f>'[1]Processed Data'!I1532</f>
        <v>20</v>
      </c>
      <c r="J1532">
        <f>'[1]Processed Data'!J1532</f>
        <v>12</v>
      </c>
      <c r="K1532">
        <f>'[1]Processed Data'!K1532</f>
        <v>31</v>
      </c>
      <c r="L1532">
        <f>'[1]Processed Data'!L1532</f>
        <v>39</v>
      </c>
      <c r="M1532">
        <f>'[1]Processed Data'!M1532</f>
        <v>88</v>
      </c>
      <c r="N1532">
        <f>'[1]Processed Data'!N1532</f>
        <v>1</v>
      </c>
      <c r="O1532">
        <f>'[1]Processed Data'!O1532</f>
        <v>6</v>
      </c>
      <c r="P1532">
        <f>'[1]Processed Data'!P1532</f>
        <v>202.9</v>
      </c>
      <c r="Q1532">
        <f>'[1]Processed Data'!Q1532</f>
        <v>16</v>
      </c>
    </row>
    <row r="1533" spans="2:17" hidden="1">
      <c r="B1533">
        <f>'[1]Processed Data'!B1533</f>
        <v>2011</v>
      </c>
      <c r="C1533">
        <f>'[1]Processed Data'!C1533</f>
        <v>12</v>
      </c>
      <c r="D1533" t="str">
        <f>'[1]Processed Data'!D1533</f>
        <v>Colt McCoy</v>
      </c>
      <c r="E1533">
        <v>2011</v>
      </c>
      <c r="F1533">
        <f>'[1]Processed Data'!F1533</f>
        <v>265</v>
      </c>
      <c r="G1533">
        <f>'[1]Processed Data'!G1533</f>
        <v>463</v>
      </c>
      <c r="H1533">
        <f>'[1]Processed Data'!H1533</f>
        <v>57.2</v>
      </c>
      <c r="I1533">
        <f>'[1]Processed Data'!I1533</f>
        <v>14</v>
      </c>
      <c r="J1533">
        <f>'[1]Processed Data'!J1533</f>
        <v>11</v>
      </c>
      <c r="K1533">
        <f>'[1]Processed Data'!K1533</f>
        <v>32</v>
      </c>
      <c r="L1533">
        <f>'[1]Processed Data'!L1533</f>
        <v>61</v>
      </c>
      <c r="M1533">
        <f>'[1]Processed Data'!M1533</f>
        <v>212</v>
      </c>
      <c r="N1533">
        <f>'[1]Processed Data'!N1533</f>
        <v>0</v>
      </c>
      <c r="O1533">
        <f>'[1]Processed Data'!O1533</f>
        <v>2</v>
      </c>
      <c r="P1533">
        <f>'[1]Processed Data'!P1533</f>
        <v>160.4</v>
      </c>
      <c r="Q1533">
        <f>'[1]Processed Data'!Q1533</f>
        <v>13</v>
      </c>
    </row>
    <row r="1534" spans="2:17" hidden="1">
      <c r="B1534">
        <f>'[1]Processed Data'!B1534</f>
        <v>2011</v>
      </c>
      <c r="C1534">
        <f>'[1]Processed Data'!C1534</f>
        <v>13</v>
      </c>
      <c r="D1534" t="str">
        <f>'[1]Processed Data'!D1534</f>
        <v>Matt Schaub</v>
      </c>
      <c r="E1534">
        <v>2011</v>
      </c>
      <c r="F1534">
        <f>'[1]Processed Data'!F1534</f>
        <v>178</v>
      </c>
      <c r="G1534">
        <f>'[1]Processed Data'!G1534</f>
        <v>292</v>
      </c>
      <c r="H1534">
        <f>'[1]Processed Data'!H1534</f>
        <v>61</v>
      </c>
      <c r="I1534">
        <f>'[1]Processed Data'!I1534</f>
        <v>15</v>
      </c>
      <c r="J1534">
        <f>'[1]Processed Data'!J1534</f>
        <v>6</v>
      </c>
      <c r="K1534">
        <f>'[1]Processed Data'!K1534</f>
        <v>16</v>
      </c>
      <c r="L1534">
        <f>'[1]Processed Data'!L1534</f>
        <v>15</v>
      </c>
      <c r="M1534">
        <f>'[1]Processed Data'!M1534</f>
        <v>9</v>
      </c>
      <c r="N1534">
        <f>'[1]Processed Data'!N1534</f>
        <v>2</v>
      </c>
      <c r="O1534">
        <f>'[1]Processed Data'!O1534</f>
        <v>1</v>
      </c>
      <c r="P1534">
        <f>'[1]Processed Data'!P1534</f>
        <v>158</v>
      </c>
      <c r="Q1534">
        <f>'[1]Processed Data'!Q1534</f>
        <v>10</v>
      </c>
    </row>
    <row r="1535" spans="2:17" hidden="1">
      <c r="B1535">
        <f>'[1]Processed Data'!B1535</f>
        <v>2011</v>
      </c>
      <c r="C1535">
        <f>'[1]Processed Data'!C1535</f>
        <v>14</v>
      </c>
      <c r="D1535" t="str">
        <f>'[1]Processed Data'!D1535</f>
        <v>Matt Moore</v>
      </c>
      <c r="E1535">
        <v>2011</v>
      </c>
      <c r="F1535">
        <f>'[1]Processed Data'!F1535</f>
        <v>210</v>
      </c>
      <c r="G1535">
        <f>'[1]Processed Data'!G1535</f>
        <v>347</v>
      </c>
      <c r="H1535">
        <f>'[1]Processed Data'!H1535</f>
        <v>60.5</v>
      </c>
      <c r="I1535">
        <f>'[1]Processed Data'!I1535</f>
        <v>16</v>
      </c>
      <c r="J1535">
        <f>'[1]Processed Data'!J1535</f>
        <v>9</v>
      </c>
      <c r="K1535">
        <f>'[1]Processed Data'!K1535</f>
        <v>36</v>
      </c>
      <c r="L1535">
        <f>'[1]Processed Data'!L1535</f>
        <v>32</v>
      </c>
      <c r="M1535">
        <f>'[1]Processed Data'!M1535</f>
        <v>65</v>
      </c>
      <c r="N1535">
        <f>'[1]Processed Data'!N1535</f>
        <v>2</v>
      </c>
      <c r="O1535">
        <f>'[1]Processed Data'!O1535</f>
        <v>6</v>
      </c>
      <c r="P1535">
        <f>'[1]Processed Data'!P1535</f>
        <v>152.5</v>
      </c>
      <c r="Q1535">
        <f>'[1]Processed Data'!Q1535</f>
        <v>13</v>
      </c>
    </row>
    <row r="1536" spans="2:17" hidden="1">
      <c r="B1536">
        <f>'[1]Processed Data'!B1536</f>
        <v>2011</v>
      </c>
      <c r="C1536">
        <f>'[1]Processed Data'!C1536</f>
        <v>15</v>
      </c>
      <c r="D1536" t="str">
        <f>'[1]Processed Data'!D1536</f>
        <v>Blaine Gabbert</v>
      </c>
      <c r="E1536">
        <v>2011</v>
      </c>
      <c r="F1536">
        <f>'[1]Processed Data'!F1536</f>
        <v>210</v>
      </c>
      <c r="G1536">
        <f>'[1]Processed Data'!G1536</f>
        <v>413</v>
      </c>
      <c r="H1536">
        <f>'[1]Processed Data'!H1536</f>
        <v>50.8</v>
      </c>
      <c r="I1536">
        <f>'[1]Processed Data'!I1536</f>
        <v>12</v>
      </c>
      <c r="J1536">
        <f>'[1]Processed Data'!J1536</f>
        <v>11</v>
      </c>
      <c r="K1536">
        <f>'[1]Processed Data'!K1536</f>
        <v>40</v>
      </c>
      <c r="L1536">
        <f>'[1]Processed Data'!L1536</f>
        <v>48</v>
      </c>
      <c r="M1536">
        <f>'[1]Processed Data'!M1536</f>
        <v>98</v>
      </c>
      <c r="N1536">
        <f>'[1]Processed Data'!N1536</f>
        <v>0</v>
      </c>
      <c r="O1536">
        <f>'[1]Processed Data'!O1536</f>
        <v>5</v>
      </c>
      <c r="P1536">
        <f>'[1]Processed Data'!P1536</f>
        <v>114.3</v>
      </c>
      <c r="Q1536">
        <f>'[1]Processed Data'!Q1536</f>
        <v>15</v>
      </c>
    </row>
    <row r="1537" spans="2:17" hidden="1">
      <c r="B1537">
        <f>'[1]Processed Data'!B1537</f>
        <v>2011</v>
      </c>
      <c r="C1537">
        <f>'[1]Processed Data'!C1537</f>
        <v>16</v>
      </c>
      <c r="D1537" t="str">
        <f>'[1]Processed Data'!D1537</f>
        <v>Chad Henne</v>
      </c>
      <c r="E1537">
        <v>2011</v>
      </c>
      <c r="F1537">
        <f>'[1]Processed Data'!F1537</f>
        <v>64</v>
      </c>
      <c r="G1537">
        <f>'[1]Processed Data'!G1537</f>
        <v>112</v>
      </c>
      <c r="H1537">
        <f>'[1]Processed Data'!H1537</f>
        <v>57.1</v>
      </c>
      <c r="I1537">
        <f>'[1]Processed Data'!I1537</f>
        <v>4</v>
      </c>
      <c r="J1537">
        <f>'[1]Processed Data'!J1537</f>
        <v>4</v>
      </c>
      <c r="K1537">
        <f>'[1]Processed Data'!K1537</f>
        <v>11</v>
      </c>
      <c r="L1537">
        <f>'[1]Processed Data'!L1537</f>
        <v>15</v>
      </c>
      <c r="M1537">
        <f>'[1]Processed Data'!M1537</f>
        <v>112</v>
      </c>
      <c r="N1537">
        <f>'[1]Processed Data'!N1537</f>
        <v>1</v>
      </c>
      <c r="O1537">
        <f>'[1]Processed Data'!O1537</f>
        <v>0</v>
      </c>
      <c r="P1537">
        <f>'[1]Processed Data'!P1537</f>
        <v>59.9</v>
      </c>
      <c r="Q1537">
        <f>'[1]Processed Data'!Q1537</f>
        <v>4</v>
      </c>
    </row>
    <row r="1538" spans="2:17" hidden="1">
      <c r="B1538">
        <f>'[1]Processed Data'!B1538</f>
        <v>2011</v>
      </c>
      <c r="C1538">
        <f>'[1]Processed Data'!C1538</f>
        <v>17</v>
      </c>
      <c r="D1538" t="str">
        <f>'[1]Processed Data'!D1538</f>
        <v>Joe Webb III</v>
      </c>
      <c r="E1538">
        <v>2011</v>
      </c>
      <c r="F1538">
        <f>'[1]Processed Data'!F1538</f>
        <v>34</v>
      </c>
      <c r="G1538">
        <f>'[1]Processed Data'!G1538</f>
        <v>63</v>
      </c>
      <c r="H1538">
        <f>'[1]Processed Data'!H1538</f>
        <v>54</v>
      </c>
      <c r="I1538">
        <f>'[1]Processed Data'!I1538</f>
        <v>3</v>
      </c>
      <c r="J1538">
        <f>'[1]Processed Data'!J1538</f>
        <v>2</v>
      </c>
      <c r="K1538">
        <f>'[1]Processed Data'!K1538</f>
        <v>3</v>
      </c>
      <c r="L1538">
        <f>'[1]Processed Data'!L1538</f>
        <v>22</v>
      </c>
      <c r="M1538">
        <f>'[1]Processed Data'!M1538</f>
        <v>154</v>
      </c>
      <c r="N1538">
        <f>'[1]Processed Data'!N1538</f>
        <v>2</v>
      </c>
      <c r="O1538">
        <f>'[1]Processed Data'!O1538</f>
        <v>1</v>
      </c>
      <c r="P1538">
        <f>'[1]Processed Data'!P1538</f>
        <v>49.9</v>
      </c>
      <c r="Q1538">
        <f>'[1]Processed Data'!Q1538</f>
        <v>11</v>
      </c>
    </row>
    <row r="1539" spans="2:17" hidden="1">
      <c r="B1539">
        <f>'[1]Processed Data'!B1539</f>
        <v>2011</v>
      </c>
      <c r="C1539">
        <f>'[1]Processed Data'!C1539</f>
        <v>18</v>
      </c>
      <c r="D1539" t="str">
        <f>'[1]Processed Data'!D1539</f>
        <v>Josh McCown</v>
      </c>
      <c r="E1539">
        <v>2011</v>
      </c>
      <c r="F1539">
        <f>'[1]Processed Data'!F1539</f>
        <v>35</v>
      </c>
      <c r="G1539">
        <f>'[1]Processed Data'!G1539</f>
        <v>55</v>
      </c>
      <c r="H1539">
        <f>'[1]Processed Data'!H1539</f>
        <v>63.6</v>
      </c>
      <c r="I1539">
        <f>'[1]Processed Data'!I1539</f>
        <v>2</v>
      </c>
      <c r="J1539">
        <f>'[1]Processed Data'!J1539</f>
        <v>4</v>
      </c>
      <c r="K1539">
        <f>'[1]Processed Data'!K1539</f>
        <v>7</v>
      </c>
      <c r="L1539">
        <f>'[1]Processed Data'!L1539</f>
        <v>12</v>
      </c>
      <c r="M1539">
        <f>'[1]Processed Data'!M1539</f>
        <v>68</v>
      </c>
      <c r="N1539">
        <f>'[1]Processed Data'!N1539</f>
        <v>0</v>
      </c>
      <c r="O1539">
        <f>'[1]Processed Data'!O1539</f>
        <v>0</v>
      </c>
      <c r="P1539">
        <f>'[1]Processed Data'!P1539</f>
        <v>23.4</v>
      </c>
      <c r="Q1539">
        <f>'[1]Processed Data'!Q1539</f>
        <v>3</v>
      </c>
    </row>
    <row r="1540" spans="2:17" hidden="1">
      <c r="B1540">
        <f>'[1]Processed Data'!B1540</f>
        <v>2011</v>
      </c>
      <c r="C1540">
        <f>'[1]Processed Data'!C1540</f>
        <v>19</v>
      </c>
      <c r="D1540" t="str">
        <f>'[1]Processed Data'!D1540</f>
        <v>Josh Johnson</v>
      </c>
      <c r="E1540">
        <v>2011</v>
      </c>
      <c r="F1540">
        <f>'[1]Processed Data'!F1540</f>
        <v>19</v>
      </c>
      <c r="G1540">
        <f>'[1]Processed Data'!G1540</f>
        <v>36</v>
      </c>
      <c r="H1540">
        <f>'[1]Processed Data'!H1540</f>
        <v>52.8</v>
      </c>
      <c r="I1540">
        <f>'[1]Processed Data'!I1540</f>
        <v>1</v>
      </c>
      <c r="J1540">
        <f>'[1]Processed Data'!J1540</f>
        <v>2</v>
      </c>
      <c r="K1540">
        <f>'[1]Processed Data'!K1540</f>
        <v>3</v>
      </c>
      <c r="L1540">
        <f>'[1]Processed Data'!L1540</f>
        <v>11</v>
      </c>
      <c r="M1540">
        <f>'[1]Processed Data'!M1540</f>
        <v>67</v>
      </c>
      <c r="N1540">
        <f>'[1]Processed Data'!N1540</f>
        <v>0</v>
      </c>
      <c r="O1540">
        <f>'[1]Processed Data'!O1540</f>
        <v>1</v>
      </c>
      <c r="P1540">
        <f>'[1]Processed Data'!P1540</f>
        <v>14.6</v>
      </c>
      <c r="Q1540">
        <f>'[1]Processed Data'!Q1540</f>
        <v>9</v>
      </c>
    </row>
    <row r="1541" spans="2:17" hidden="1">
      <c r="B1541">
        <f>'[1]Processed Data'!B1541</f>
        <v>2011</v>
      </c>
      <c r="C1541">
        <f>'[1]Processed Data'!C1541</f>
        <v>20</v>
      </c>
      <c r="D1541" t="str">
        <f>'[1]Processed Data'!D1541</f>
        <v>Luke McCown</v>
      </c>
      <c r="E1541">
        <v>2011</v>
      </c>
      <c r="F1541">
        <f>'[1]Processed Data'!F1541</f>
        <v>30</v>
      </c>
      <c r="G1541">
        <f>'[1]Processed Data'!G1541</f>
        <v>56</v>
      </c>
      <c r="H1541">
        <f>'[1]Processed Data'!H1541</f>
        <v>53.6</v>
      </c>
      <c r="I1541">
        <f>'[1]Processed Data'!I1541</f>
        <v>0</v>
      </c>
      <c r="J1541">
        <f>'[1]Processed Data'!J1541</f>
        <v>4</v>
      </c>
      <c r="K1541">
        <f>'[1]Processed Data'!K1541</f>
        <v>4</v>
      </c>
      <c r="L1541">
        <f>'[1]Processed Data'!L1541</f>
        <v>7</v>
      </c>
      <c r="M1541">
        <f>'[1]Processed Data'!M1541</f>
        <v>23</v>
      </c>
      <c r="N1541">
        <f>'[1]Processed Data'!N1541</f>
        <v>0</v>
      </c>
      <c r="O1541">
        <f>'[1]Processed Data'!O1541</f>
        <v>1</v>
      </c>
      <c r="P1541">
        <f>'[1]Processed Data'!P1541</f>
        <v>4.2</v>
      </c>
      <c r="Q1541">
        <f>'[1]Processed Data'!Q1541</f>
        <v>4</v>
      </c>
    </row>
    <row r="1542" spans="2:17" hidden="1">
      <c r="B1542">
        <f>'[1]Processed Data'!B1542</f>
        <v>2011</v>
      </c>
      <c r="C1542">
        <f>'[1]Processed Data'!C1542</f>
        <v>21</v>
      </c>
      <c r="D1542" t="str">
        <f>'[1]Processed Data'!D1542</f>
        <v>Chase Daniel</v>
      </c>
      <c r="E1542">
        <v>2011</v>
      </c>
      <c r="F1542">
        <f>'[1]Processed Data'!F1542</f>
        <v>4</v>
      </c>
      <c r="G1542">
        <f>'[1]Processed Data'!G1542</f>
        <v>5</v>
      </c>
      <c r="H1542">
        <f>'[1]Processed Data'!H1542</f>
        <v>80</v>
      </c>
      <c r="I1542">
        <f>'[1]Processed Data'!I1542</f>
        <v>0</v>
      </c>
      <c r="J1542">
        <f>'[1]Processed Data'!J1542</f>
        <v>0</v>
      </c>
      <c r="K1542">
        <f>'[1]Processed Data'!K1542</f>
        <v>0</v>
      </c>
      <c r="L1542">
        <f>'[1]Processed Data'!L1542</f>
        <v>3</v>
      </c>
      <c r="M1542">
        <f>'[1]Processed Data'!M1542</f>
        <v>-3</v>
      </c>
      <c r="N1542">
        <f>'[1]Processed Data'!N1542</f>
        <v>0</v>
      </c>
      <c r="O1542">
        <f>'[1]Processed Data'!O1542</f>
        <v>0</v>
      </c>
      <c r="P1542">
        <f>'[1]Processed Data'!P1542</f>
        <v>0.9</v>
      </c>
      <c r="Q1542">
        <f>'[1]Processed Data'!Q1542</f>
        <v>16</v>
      </c>
    </row>
    <row r="1543" spans="2:17" hidden="1">
      <c r="B1543">
        <f>'[1]Processed Data'!B1543</f>
        <v>2011</v>
      </c>
      <c r="C1543">
        <f>'[1]Processed Data'!C1543</f>
        <v>22</v>
      </c>
      <c r="D1543" t="str">
        <f>'[1]Processed Data'!D1543</f>
        <v>Tyrod Taylor</v>
      </c>
      <c r="E1543">
        <v>2011</v>
      </c>
      <c r="F1543">
        <f>'[1]Processed Data'!F1543</f>
        <v>1</v>
      </c>
      <c r="G1543">
        <f>'[1]Processed Data'!G1543</f>
        <v>1</v>
      </c>
      <c r="H1543">
        <f>'[1]Processed Data'!H1543</f>
        <v>100</v>
      </c>
      <c r="I1543">
        <f>'[1]Processed Data'!I1543</f>
        <v>0</v>
      </c>
      <c r="J1543">
        <f>'[1]Processed Data'!J1543</f>
        <v>0</v>
      </c>
      <c r="K1543">
        <f>'[1]Processed Data'!K1543</f>
        <v>2</v>
      </c>
      <c r="L1543">
        <f>'[1]Processed Data'!L1543</f>
        <v>1</v>
      </c>
      <c r="M1543">
        <f>'[1]Processed Data'!M1543</f>
        <v>2</v>
      </c>
      <c r="N1543">
        <f>'[1]Processed Data'!N1543</f>
        <v>0</v>
      </c>
      <c r="O1543">
        <f>'[1]Processed Data'!O1543</f>
        <v>0</v>
      </c>
      <c r="P1543">
        <f>'[1]Processed Data'!P1543</f>
        <v>0.9</v>
      </c>
      <c r="Q1543">
        <f>'[1]Processed Data'!Q1543</f>
        <v>3</v>
      </c>
    </row>
    <row r="1544" spans="2:17" hidden="1">
      <c r="B1544">
        <f>'[1]Processed Data'!B1544</f>
        <v>2011</v>
      </c>
      <c r="C1544">
        <f>'[1]Processed Data'!C1544</f>
        <v>23</v>
      </c>
      <c r="D1544" t="str">
        <f>'[1]Processed Data'!D1544</f>
        <v>Brian Hoyer</v>
      </c>
      <c r="E1544">
        <v>2011</v>
      </c>
      <c r="F1544">
        <f>'[1]Processed Data'!F1544</f>
        <v>1</v>
      </c>
      <c r="G1544">
        <f>'[1]Processed Data'!G1544</f>
        <v>1</v>
      </c>
      <c r="H1544">
        <f>'[1]Processed Data'!H1544</f>
        <v>100</v>
      </c>
      <c r="I1544">
        <f>'[1]Processed Data'!I1544</f>
        <v>0</v>
      </c>
      <c r="J1544">
        <f>'[1]Processed Data'!J1544</f>
        <v>0</v>
      </c>
      <c r="K1544">
        <f>'[1]Processed Data'!K1544</f>
        <v>0</v>
      </c>
      <c r="L1544">
        <f>'[1]Processed Data'!L1544</f>
        <v>4</v>
      </c>
      <c r="M1544">
        <f>'[1]Processed Data'!M1544</f>
        <v>-3</v>
      </c>
      <c r="N1544">
        <f>'[1]Processed Data'!N1544</f>
        <v>0</v>
      </c>
      <c r="O1544">
        <f>'[1]Processed Data'!O1544</f>
        <v>0</v>
      </c>
      <c r="P1544">
        <f>'[1]Processed Data'!P1544</f>
        <v>0.6</v>
      </c>
      <c r="Q1544">
        <f>'[1]Processed Data'!Q1544</f>
        <v>3</v>
      </c>
    </row>
    <row r="1545" spans="2:17" hidden="1">
      <c r="B1545">
        <f>'[1]Processed Data'!B1545</f>
        <v>2011</v>
      </c>
      <c r="C1545">
        <f>'[1]Processed Data'!C1545</f>
        <v>24</v>
      </c>
      <c r="D1545" t="str">
        <f>'[1]Processed Data'!D1545</f>
        <v>Chris Streveler</v>
      </c>
      <c r="E1545">
        <v>2011</v>
      </c>
      <c r="F1545">
        <f>'[1]Processed Data'!F1545</f>
        <v>0</v>
      </c>
      <c r="G1545">
        <f>'[1]Processed Data'!G1545</f>
        <v>0</v>
      </c>
      <c r="H1545">
        <f>'[1]Processed Data'!H1545</f>
        <v>0</v>
      </c>
      <c r="I1545">
        <f>'[1]Processed Data'!I1545</f>
        <v>0</v>
      </c>
      <c r="J1545">
        <f>'[1]Processed Data'!J1545</f>
        <v>0</v>
      </c>
      <c r="K1545">
        <f>'[1]Processed Data'!K1545</f>
        <v>0</v>
      </c>
      <c r="L1545">
        <f>'[1]Processed Data'!L1545</f>
        <v>0</v>
      </c>
      <c r="M1545">
        <f>'[1]Processed Data'!M1545</f>
        <v>0</v>
      </c>
      <c r="N1545">
        <f>'[1]Processed Data'!N1545</f>
        <v>0</v>
      </c>
      <c r="O1545">
        <f>'[1]Processed Data'!O1545</f>
        <v>0</v>
      </c>
      <c r="P1545">
        <f>'[1]Processed Data'!P1545</f>
        <v>0</v>
      </c>
      <c r="Q1545">
        <f>'[1]Processed Data'!Q1545</f>
        <v>0</v>
      </c>
    </row>
    <row r="1546" spans="2:17" hidden="1">
      <c r="B1546">
        <f>'[1]Processed Data'!B1546</f>
        <v>2011</v>
      </c>
      <c r="C1546">
        <f>'[1]Processed Data'!C1546</f>
        <v>25</v>
      </c>
      <c r="D1546" t="str">
        <f>'[1]Processed Data'!D1546</f>
        <v>Kyle Trask</v>
      </c>
      <c r="E1546">
        <v>2011</v>
      </c>
      <c r="F1546">
        <f>'[1]Processed Data'!F1546</f>
        <v>0</v>
      </c>
      <c r="G1546">
        <f>'[1]Processed Data'!G1546</f>
        <v>0</v>
      </c>
      <c r="H1546">
        <f>'[1]Processed Data'!H1546</f>
        <v>0</v>
      </c>
      <c r="I1546">
        <f>'[1]Processed Data'!I1546</f>
        <v>0</v>
      </c>
      <c r="J1546">
        <f>'[1]Processed Data'!J1546</f>
        <v>0</v>
      </c>
      <c r="K1546">
        <f>'[1]Processed Data'!K1546</f>
        <v>0</v>
      </c>
      <c r="L1546">
        <f>'[1]Processed Data'!L1546</f>
        <v>0</v>
      </c>
      <c r="M1546">
        <f>'[1]Processed Data'!M1546</f>
        <v>0</v>
      </c>
      <c r="N1546">
        <f>'[1]Processed Data'!N1546</f>
        <v>0</v>
      </c>
      <c r="O1546">
        <f>'[1]Processed Data'!O1546</f>
        <v>0</v>
      </c>
      <c r="P1546">
        <f>'[1]Processed Data'!P1546</f>
        <v>0</v>
      </c>
      <c r="Q1546">
        <f>'[1]Processed Data'!Q1546</f>
        <v>0</v>
      </c>
    </row>
    <row r="1547" spans="2:17" hidden="1">
      <c r="B1547">
        <f>'[1]Processed Data'!B1547</f>
        <v>2011</v>
      </c>
      <c r="C1547">
        <f>'[1]Processed Data'!C1547</f>
        <v>26</v>
      </c>
      <c r="D1547" t="str">
        <f>'[1]Processed Data'!D1547</f>
        <v>Trevor Lawrence</v>
      </c>
      <c r="E1547">
        <v>2011</v>
      </c>
      <c r="F1547">
        <f>'[1]Processed Data'!F1547</f>
        <v>0</v>
      </c>
      <c r="G1547">
        <f>'[1]Processed Data'!G1547</f>
        <v>0</v>
      </c>
      <c r="H1547">
        <f>'[1]Processed Data'!H1547</f>
        <v>0</v>
      </c>
      <c r="I1547">
        <f>'[1]Processed Data'!I1547</f>
        <v>0</v>
      </c>
      <c r="J1547">
        <f>'[1]Processed Data'!J1547</f>
        <v>0</v>
      </c>
      <c r="K1547">
        <f>'[1]Processed Data'!K1547</f>
        <v>0</v>
      </c>
      <c r="L1547">
        <f>'[1]Processed Data'!L1547</f>
        <v>0</v>
      </c>
      <c r="M1547">
        <f>'[1]Processed Data'!M1547</f>
        <v>0</v>
      </c>
      <c r="N1547">
        <f>'[1]Processed Data'!N1547</f>
        <v>0</v>
      </c>
      <c r="O1547">
        <f>'[1]Processed Data'!O1547</f>
        <v>0</v>
      </c>
      <c r="P1547">
        <f>'[1]Processed Data'!P1547</f>
        <v>0</v>
      </c>
      <c r="Q1547">
        <f>'[1]Processed Data'!Q1547</f>
        <v>0</v>
      </c>
    </row>
    <row r="1548" spans="2:17" hidden="1">
      <c r="B1548">
        <f>'[1]Processed Data'!B1548</f>
        <v>2011</v>
      </c>
      <c r="C1548">
        <f>'[1]Processed Data'!C1548</f>
        <v>27</v>
      </c>
      <c r="D1548" t="str">
        <f>'[1]Processed Data'!D1548</f>
        <v>Justin Fields</v>
      </c>
      <c r="E1548">
        <v>2011</v>
      </c>
      <c r="F1548">
        <f>'[1]Processed Data'!F1548</f>
        <v>0</v>
      </c>
      <c r="G1548">
        <f>'[1]Processed Data'!G1548</f>
        <v>0</v>
      </c>
      <c r="H1548">
        <f>'[1]Processed Data'!H1548</f>
        <v>0</v>
      </c>
      <c r="I1548">
        <f>'[1]Processed Data'!I1548</f>
        <v>0</v>
      </c>
      <c r="J1548">
        <f>'[1]Processed Data'!J1548</f>
        <v>0</v>
      </c>
      <c r="K1548">
        <f>'[1]Processed Data'!K1548</f>
        <v>0</v>
      </c>
      <c r="L1548">
        <f>'[1]Processed Data'!L1548</f>
        <v>0</v>
      </c>
      <c r="M1548">
        <f>'[1]Processed Data'!M1548</f>
        <v>0</v>
      </c>
      <c r="N1548">
        <f>'[1]Processed Data'!N1548</f>
        <v>0</v>
      </c>
      <c r="O1548">
        <f>'[1]Processed Data'!O1548</f>
        <v>0</v>
      </c>
      <c r="P1548">
        <f>'[1]Processed Data'!P1548</f>
        <v>0</v>
      </c>
      <c r="Q1548">
        <f>'[1]Processed Data'!Q1548</f>
        <v>0</v>
      </c>
    </row>
    <row r="1549" spans="2:17" hidden="1">
      <c r="B1549">
        <f>'[1]Processed Data'!B1549</f>
        <v>2011</v>
      </c>
      <c r="C1549">
        <f>'[1]Processed Data'!C1549</f>
        <v>28</v>
      </c>
      <c r="D1549" t="str">
        <f>'[1]Processed Data'!D1549</f>
        <v>Sam Ehlinger</v>
      </c>
      <c r="E1549">
        <v>2011</v>
      </c>
      <c r="F1549">
        <f>'[1]Processed Data'!F1549</f>
        <v>0</v>
      </c>
      <c r="G1549">
        <f>'[1]Processed Data'!G1549</f>
        <v>0</v>
      </c>
      <c r="H1549">
        <f>'[1]Processed Data'!H1549</f>
        <v>0</v>
      </c>
      <c r="I1549">
        <f>'[1]Processed Data'!I1549</f>
        <v>0</v>
      </c>
      <c r="J1549">
        <f>'[1]Processed Data'!J1549</f>
        <v>0</v>
      </c>
      <c r="K1549">
        <f>'[1]Processed Data'!K1549</f>
        <v>0</v>
      </c>
      <c r="L1549">
        <f>'[1]Processed Data'!L1549</f>
        <v>0</v>
      </c>
      <c r="M1549">
        <f>'[1]Processed Data'!M1549</f>
        <v>0</v>
      </c>
      <c r="N1549">
        <f>'[1]Processed Data'!N1549</f>
        <v>0</v>
      </c>
      <c r="O1549">
        <f>'[1]Processed Data'!O1549</f>
        <v>0</v>
      </c>
      <c r="P1549">
        <f>'[1]Processed Data'!P1549</f>
        <v>0</v>
      </c>
      <c r="Q1549">
        <f>'[1]Processed Data'!Q1549</f>
        <v>0</v>
      </c>
    </row>
    <row r="1550" spans="2:17" hidden="1">
      <c r="B1550">
        <f>'[1]Processed Data'!B1550</f>
        <v>2011</v>
      </c>
      <c r="C1550">
        <f>'[1]Processed Data'!C1550</f>
        <v>29</v>
      </c>
      <c r="D1550" t="str">
        <f>'[1]Processed Data'!D1550</f>
        <v>Ben DiNucci</v>
      </c>
      <c r="E1550">
        <v>2011</v>
      </c>
      <c r="F1550">
        <f>'[1]Processed Data'!F1550</f>
        <v>0</v>
      </c>
      <c r="G1550">
        <f>'[1]Processed Data'!G1550</f>
        <v>0</v>
      </c>
      <c r="H1550">
        <f>'[1]Processed Data'!H1550</f>
        <v>0</v>
      </c>
      <c r="I1550">
        <f>'[1]Processed Data'!I1550</f>
        <v>0</v>
      </c>
      <c r="J1550">
        <f>'[1]Processed Data'!J1550</f>
        <v>0</v>
      </c>
      <c r="K1550">
        <f>'[1]Processed Data'!K1550</f>
        <v>0</v>
      </c>
      <c r="L1550">
        <f>'[1]Processed Data'!L1550</f>
        <v>0</v>
      </c>
      <c r="M1550">
        <f>'[1]Processed Data'!M1550</f>
        <v>0</v>
      </c>
      <c r="N1550">
        <f>'[1]Processed Data'!N1550</f>
        <v>0</v>
      </c>
      <c r="O1550">
        <f>'[1]Processed Data'!O1550</f>
        <v>0</v>
      </c>
      <c r="P1550">
        <f>'[1]Processed Data'!P1550</f>
        <v>0</v>
      </c>
      <c r="Q1550">
        <f>'[1]Processed Data'!Q1550</f>
        <v>0</v>
      </c>
    </row>
    <row r="1551" spans="2:17" hidden="1">
      <c r="B1551">
        <f>'[1]Processed Data'!B1551</f>
        <v>2011</v>
      </c>
      <c r="C1551">
        <f>'[1]Processed Data'!C1551</f>
        <v>30</v>
      </c>
      <c r="D1551" t="str">
        <f>'[1]Processed Data'!D1551</f>
        <v>Jalen Morton</v>
      </c>
      <c r="E1551">
        <v>2011</v>
      </c>
      <c r="F1551">
        <f>'[1]Processed Data'!F1551</f>
        <v>0</v>
      </c>
      <c r="G1551">
        <f>'[1]Processed Data'!G1551</f>
        <v>0</v>
      </c>
      <c r="H1551">
        <f>'[1]Processed Data'!H1551</f>
        <v>0</v>
      </c>
      <c r="I1551">
        <f>'[1]Processed Data'!I1551</f>
        <v>0</v>
      </c>
      <c r="J1551">
        <f>'[1]Processed Data'!J1551</f>
        <v>0</v>
      </c>
      <c r="K1551">
        <f>'[1]Processed Data'!K1551</f>
        <v>0</v>
      </c>
      <c r="L1551">
        <f>'[1]Processed Data'!L1551</f>
        <v>0</v>
      </c>
      <c r="M1551">
        <f>'[1]Processed Data'!M1551</f>
        <v>0</v>
      </c>
      <c r="N1551">
        <f>'[1]Processed Data'!N1551</f>
        <v>0</v>
      </c>
      <c r="O1551">
        <f>'[1]Processed Data'!O1551</f>
        <v>0</v>
      </c>
      <c r="P1551">
        <f>'[1]Processed Data'!P1551</f>
        <v>0</v>
      </c>
      <c r="Q1551">
        <f>'[1]Processed Data'!Q1551</f>
        <v>0</v>
      </c>
    </row>
    <row r="1552" spans="2:17" hidden="1">
      <c r="B1552">
        <f>'[1]Processed Data'!B1552</f>
        <v>2011</v>
      </c>
      <c r="C1552">
        <f>'[1]Processed Data'!C1552</f>
        <v>31</v>
      </c>
      <c r="D1552" t="str">
        <f>'[1]Processed Data'!D1552</f>
        <v>Reid Sinnett</v>
      </c>
      <c r="E1552">
        <v>2011</v>
      </c>
      <c r="F1552">
        <f>'[1]Processed Data'!F1552</f>
        <v>0</v>
      </c>
      <c r="G1552">
        <f>'[1]Processed Data'!G1552</f>
        <v>0</v>
      </c>
      <c r="H1552">
        <f>'[1]Processed Data'!H1552</f>
        <v>0</v>
      </c>
      <c r="I1552">
        <f>'[1]Processed Data'!I1552</f>
        <v>0</v>
      </c>
      <c r="J1552">
        <f>'[1]Processed Data'!J1552</f>
        <v>0</v>
      </c>
      <c r="K1552">
        <f>'[1]Processed Data'!K1552</f>
        <v>0</v>
      </c>
      <c r="L1552">
        <f>'[1]Processed Data'!L1552</f>
        <v>0</v>
      </c>
      <c r="M1552">
        <f>'[1]Processed Data'!M1552</f>
        <v>0</v>
      </c>
      <c r="N1552">
        <f>'[1]Processed Data'!N1552</f>
        <v>0</v>
      </c>
      <c r="O1552">
        <f>'[1]Processed Data'!O1552</f>
        <v>0</v>
      </c>
      <c r="P1552">
        <f>'[1]Processed Data'!P1552</f>
        <v>0</v>
      </c>
      <c r="Q1552">
        <f>'[1]Processed Data'!Q1552</f>
        <v>0</v>
      </c>
    </row>
    <row r="1553" spans="2:17" hidden="1">
      <c r="B1553">
        <f>'[1]Processed Data'!B1553</f>
        <v>2011</v>
      </c>
      <c r="C1553">
        <f>'[1]Processed Data'!C1553</f>
        <v>32</v>
      </c>
      <c r="D1553" t="str">
        <f>'[1]Processed Data'!D1553</f>
        <v>Feleipe Franks</v>
      </c>
      <c r="E1553">
        <v>2011</v>
      </c>
      <c r="F1553">
        <f>'[1]Processed Data'!F1553</f>
        <v>0</v>
      </c>
      <c r="G1553">
        <f>'[1]Processed Data'!G1553</f>
        <v>0</v>
      </c>
      <c r="H1553">
        <f>'[1]Processed Data'!H1553</f>
        <v>0</v>
      </c>
      <c r="I1553">
        <f>'[1]Processed Data'!I1553</f>
        <v>0</v>
      </c>
      <c r="J1553">
        <f>'[1]Processed Data'!J1553</f>
        <v>0</v>
      </c>
      <c r="K1553">
        <f>'[1]Processed Data'!K1553</f>
        <v>0</v>
      </c>
      <c r="L1553">
        <f>'[1]Processed Data'!L1553</f>
        <v>0</v>
      </c>
      <c r="M1553">
        <f>'[1]Processed Data'!M1553</f>
        <v>0</v>
      </c>
      <c r="N1553">
        <f>'[1]Processed Data'!N1553</f>
        <v>0</v>
      </c>
      <c r="O1553">
        <f>'[1]Processed Data'!O1553</f>
        <v>0</v>
      </c>
      <c r="P1553">
        <f>'[1]Processed Data'!P1553</f>
        <v>0</v>
      </c>
      <c r="Q1553">
        <f>'[1]Processed Data'!Q1553</f>
        <v>0</v>
      </c>
    </row>
    <row r="1554" spans="2:17" hidden="1">
      <c r="B1554">
        <f>'[1]Processed Data'!B1554</f>
        <v>2011</v>
      </c>
      <c r="C1554">
        <f>'[1]Processed Data'!C1554</f>
        <v>33</v>
      </c>
      <c r="D1554" t="str">
        <f>'[1]Processed Data'!D1554</f>
        <v>Trey Lance</v>
      </c>
      <c r="E1554">
        <v>2011</v>
      </c>
      <c r="F1554">
        <f>'[1]Processed Data'!F1554</f>
        <v>0</v>
      </c>
      <c r="G1554">
        <f>'[1]Processed Data'!G1554</f>
        <v>0</v>
      </c>
      <c r="H1554">
        <f>'[1]Processed Data'!H1554</f>
        <v>0</v>
      </c>
      <c r="I1554">
        <f>'[1]Processed Data'!I1554</f>
        <v>0</v>
      </c>
      <c r="J1554">
        <f>'[1]Processed Data'!J1554</f>
        <v>0</v>
      </c>
      <c r="K1554">
        <f>'[1]Processed Data'!K1554</f>
        <v>0</v>
      </c>
      <c r="L1554">
        <f>'[1]Processed Data'!L1554</f>
        <v>0</v>
      </c>
      <c r="M1554">
        <f>'[1]Processed Data'!M1554</f>
        <v>0</v>
      </c>
      <c r="N1554">
        <f>'[1]Processed Data'!N1554</f>
        <v>0</v>
      </c>
      <c r="O1554">
        <f>'[1]Processed Data'!O1554</f>
        <v>0</v>
      </c>
      <c r="P1554">
        <f>'[1]Processed Data'!P1554</f>
        <v>0</v>
      </c>
      <c r="Q1554">
        <f>'[1]Processed Data'!Q1554</f>
        <v>0</v>
      </c>
    </row>
    <row r="1555" spans="2:17" hidden="1">
      <c r="B1555">
        <f>'[1]Processed Data'!B1555</f>
        <v>2011</v>
      </c>
      <c r="C1555">
        <f>'[1]Processed Data'!C1555</f>
        <v>34</v>
      </c>
      <c r="D1555" t="str">
        <f>'[1]Processed Data'!D1555</f>
        <v>Mac Jones</v>
      </c>
      <c r="E1555">
        <v>2011</v>
      </c>
      <c r="F1555">
        <f>'[1]Processed Data'!F1555</f>
        <v>0</v>
      </c>
      <c r="G1555">
        <f>'[1]Processed Data'!G1555</f>
        <v>0</v>
      </c>
      <c r="H1555">
        <f>'[1]Processed Data'!H1555</f>
        <v>0</v>
      </c>
      <c r="I1555">
        <f>'[1]Processed Data'!I1555</f>
        <v>0</v>
      </c>
      <c r="J1555">
        <f>'[1]Processed Data'!J1555</f>
        <v>0</v>
      </c>
      <c r="K1555">
        <f>'[1]Processed Data'!K1555</f>
        <v>0</v>
      </c>
      <c r="L1555">
        <f>'[1]Processed Data'!L1555</f>
        <v>0</v>
      </c>
      <c r="M1555">
        <f>'[1]Processed Data'!M1555</f>
        <v>0</v>
      </c>
      <c r="N1555">
        <f>'[1]Processed Data'!N1555</f>
        <v>0</v>
      </c>
      <c r="O1555">
        <f>'[1]Processed Data'!O1555</f>
        <v>0</v>
      </c>
      <c r="P1555">
        <f>'[1]Processed Data'!P1555</f>
        <v>0</v>
      </c>
      <c r="Q1555">
        <f>'[1]Processed Data'!Q1555</f>
        <v>0</v>
      </c>
    </row>
    <row r="1556" spans="2:17" hidden="1">
      <c r="B1556">
        <f>'[1]Processed Data'!B1556</f>
        <v>2011</v>
      </c>
      <c r="C1556">
        <f>'[1]Processed Data'!C1556</f>
        <v>35</v>
      </c>
      <c r="D1556" t="str">
        <f>'[1]Processed Data'!D1556</f>
        <v>Ian Book</v>
      </c>
      <c r="E1556">
        <v>2011</v>
      </c>
      <c r="F1556">
        <f>'[1]Processed Data'!F1556</f>
        <v>0</v>
      </c>
      <c r="G1556">
        <f>'[1]Processed Data'!G1556</f>
        <v>0</v>
      </c>
      <c r="H1556">
        <f>'[1]Processed Data'!H1556</f>
        <v>0</v>
      </c>
      <c r="I1556">
        <f>'[1]Processed Data'!I1556</f>
        <v>0</v>
      </c>
      <c r="J1556">
        <f>'[1]Processed Data'!J1556</f>
        <v>0</v>
      </c>
      <c r="K1556">
        <f>'[1]Processed Data'!K1556</f>
        <v>0</v>
      </c>
      <c r="L1556">
        <f>'[1]Processed Data'!L1556</f>
        <v>0</v>
      </c>
      <c r="M1556">
        <f>'[1]Processed Data'!M1556</f>
        <v>0</v>
      </c>
      <c r="N1556">
        <f>'[1]Processed Data'!N1556</f>
        <v>0</v>
      </c>
      <c r="O1556">
        <f>'[1]Processed Data'!O1556</f>
        <v>0</v>
      </c>
      <c r="P1556">
        <f>'[1]Processed Data'!P1556</f>
        <v>0</v>
      </c>
      <c r="Q1556">
        <f>'[1]Processed Data'!Q1556</f>
        <v>0</v>
      </c>
    </row>
    <row r="1557" spans="2:17" hidden="1">
      <c r="B1557">
        <f>'[1]Processed Data'!B1557</f>
        <v>2011</v>
      </c>
      <c r="C1557">
        <f>'[1]Processed Data'!C1557</f>
        <v>36</v>
      </c>
      <c r="D1557" t="str">
        <f>'[1]Processed Data'!D1557</f>
        <v>John Wolford</v>
      </c>
      <c r="E1557">
        <v>2011</v>
      </c>
      <c r="F1557">
        <f>'[1]Processed Data'!F1557</f>
        <v>0</v>
      </c>
      <c r="G1557">
        <f>'[1]Processed Data'!G1557</f>
        <v>0</v>
      </c>
      <c r="H1557">
        <f>'[1]Processed Data'!H1557</f>
        <v>0</v>
      </c>
      <c r="I1557">
        <f>'[1]Processed Data'!I1557</f>
        <v>0</v>
      </c>
      <c r="J1557">
        <f>'[1]Processed Data'!J1557</f>
        <v>0</v>
      </c>
      <c r="K1557">
        <f>'[1]Processed Data'!K1557</f>
        <v>0</v>
      </c>
      <c r="L1557">
        <f>'[1]Processed Data'!L1557</f>
        <v>0</v>
      </c>
      <c r="M1557">
        <f>'[1]Processed Data'!M1557</f>
        <v>0</v>
      </c>
      <c r="N1557">
        <f>'[1]Processed Data'!N1557</f>
        <v>0</v>
      </c>
      <c r="O1557">
        <f>'[1]Processed Data'!O1557</f>
        <v>0</v>
      </c>
      <c r="P1557">
        <f>'[1]Processed Data'!P1557</f>
        <v>0</v>
      </c>
      <c r="Q1557">
        <f>'[1]Processed Data'!Q1557</f>
        <v>0</v>
      </c>
    </row>
    <row r="1558" spans="2:17" hidden="1">
      <c r="B1558">
        <f>'[1]Processed Data'!B1558</f>
        <v>2011</v>
      </c>
      <c r="C1558">
        <f>'[1]Processed Data'!C1558</f>
        <v>37</v>
      </c>
      <c r="D1558" t="str">
        <f>'[1]Processed Data'!D1558</f>
        <v>Dwayne Haskins</v>
      </c>
      <c r="E1558">
        <v>2011</v>
      </c>
      <c r="F1558">
        <f>'[1]Processed Data'!F1558</f>
        <v>0</v>
      </c>
      <c r="G1558">
        <f>'[1]Processed Data'!G1558</f>
        <v>0</v>
      </c>
      <c r="H1558">
        <f>'[1]Processed Data'!H1558</f>
        <v>0</v>
      </c>
      <c r="I1558">
        <f>'[1]Processed Data'!I1558</f>
        <v>0</v>
      </c>
      <c r="J1558">
        <f>'[1]Processed Data'!J1558</f>
        <v>0</v>
      </c>
      <c r="K1558">
        <f>'[1]Processed Data'!K1558</f>
        <v>0</v>
      </c>
      <c r="L1558">
        <f>'[1]Processed Data'!L1558</f>
        <v>0</v>
      </c>
      <c r="M1558">
        <f>'[1]Processed Data'!M1558</f>
        <v>0</v>
      </c>
      <c r="N1558">
        <f>'[1]Processed Data'!N1558</f>
        <v>0</v>
      </c>
      <c r="O1558">
        <f>'[1]Processed Data'!O1558</f>
        <v>0</v>
      </c>
      <c r="P1558">
        <f>'[1]Processed Data'!P1558</f>
        <v>0</v>
      </c>
      <c r="Q1558">
        <f>'[1]Processed Data'!Q1558</f>
        <v>0</v>
      </c>
    </row>
    <row r="1559" spans="2:17" hidden="1">
      <c r="B1559">
        <f>'[1]Processed Data'!B1559</f>
        <v>2011</v>
      </c>
      <c r="C1559">
        <f>'[1]Processed Data'!C1559</f>
        <v>38</v>
      </c>
      <c r="D1559" t="str">
        <f>'[1]Processed Data'!D1559</f>
        <v>Drew Lock</v>
      </c>
      <c r="E1559">
        <v>2011</v>
      </c>
      <c r="F1559">
        <f>'[1]Processed Data'!F1559</f>
        <v>0</v>
      </c>
      <c r="G1559">
        <f>'[1]Processed Data'!G1559</f>
        <v>0</v>
      </c>
      <c r="H1559">
        <f>'[1]Processed Data'!H1559</f>
        <v>0</v>
      </c>
      <c r="I1559">
        <f>'[1]Processed Data'!I1559</f>
        <v>0</v>
      </c>
      <c r="J1559">
        <f>'[1]Processed Data'!J1559</f>
        <v>0</v>
      </c>
      <c r="K1559">
        <f>'[1]Processed Data'!K1559</f>
        <v>0</v>
      </c>
      <c r="L1559">
        <f>'[1]Processed Data'!L1559</f>
        <v>0</v>
      </c>
      <c r="M1559">
        <f>'[1]Processed Data'!M1559</f>
        <v>0</v>
      </c>
      <c r="N1559">
        <f>'[1]Processed Data'!N1559</f>
        <v>0</v>
      </c>
      <c r="O1559">
        <f>'[1]Processed Data'!O1559</f>
        <v>0</v>
      </c>
      <c r="P1559">
        <f>'[1]Processed Data'!P1559</f>
        <v>0</v>
      </c>
      <c r="Q1559">
        <f>'[1]Processed Data'!Q1559</f>
        <v>0</v>
      </c>
    </row>
    <row r="1560" spans="2:17" hidden="1">
      <c r="B1560">
        <f>'[1]Processed Data'!B1560</f>
        <v>2011</v>
      </c>
      <c r="C1560">
        <f>'[1]Processed Data'!C1560</f>
        <v>39</v>
      </c>
      <c r="D1560" t="str">
        <f>'[1]Processed Data'!D1560</f>
        <v>Daniel Jones</v>
      </c>
      <c r="E1560">
        <v>2011</v>
      </c>
      <c r="F1560">
        <f>'[1]Processed Data'!F1560</f>
        <v>0</v>
      </c>
      <c r="G1560">
        <f>'[1]Processed Data'!G1560</f>
        <v>0</v>
      </c>
      <c r="H1560">
        <f>'[1]Processed Data'!H1560</f>
        <v>0</v>
      </c>
      <c r="I1560">
        <f>'[1]Processed Data'!I1560</f>
        <v>0</v>
      </c>
      <c r="J1560">
        <f>'[1]Processed Data'!J1560</f>
        <v>0</v>
      </c>
      <c r="K1560">
        <f>'[1]Processed Data'!K1560</f>
        <v>0</v>
      </c>
      <c r="L1560">
        <f>'[1]Processed Data'!L1560</f>
        <v>0</v>
      </c>
      <c r="M1560">
        <f>'[1]Processed Data'!M1560</f>
        <v>0</v>
      </c>
      <c r="N1560">
        <f>'[1]Processed Data'!N1560</f>
        <v>0</v>
      </c>
      <c r="O1560">
        <f>'[1]Processed Data'!O1560</f>
        <v>0</v>
      </c>
      <c r="P1560">
        <f>'[1]Processed Data'!P1560</f>
        <v>0</v>
      </c>
      <c r="Q1560">
        <f>'[1]Processed Data'!Q1560</f>
        <v>0</v>
      </c>
    </row>
    <row r="1561" spans="2:17" hidden="1">
      <c r="B1561">
        <f>'[1]Processed Data'!B1561</f>
        <v>2011</v>
      </c>
      <c r="C1561">
        <f>'[1]Processed Data'!C1561</f>
        <v>40</v>
      </c>
      <c r="D1561" t="str">
        <f>'[1]Processed Data'!D1561</f>
        <v>Will Grier</v>
      </c>
      <c r="E1561">
        <v>2011</v>
      </c>
      <c r="F1561">
        <f>'[1]Processed Data'!F1561</f>
        <v>0</v>
      </c>
      <c r="G1561">
        <f>'[1]Processed Data'!G1561</f>
        <v>0</v>
      </c>
      <c r="H1561">
        <f>'[1]Processed Data'!H1561</f>
        <v>0</v>
      </c>
      <c r="I1561">
        <f>'[1]Processed Data'!I1561</f>
        <v>0</v>
      </c>
      <c r="J1561">
        <f>'[1]Processed Data'!J1561</f>
        <v>0</v>
      </c>
      <c r="K1561">
        <f>'[1]Processed Data'!K1561</f>
        <v>0</v>
      </c>
      <c r="L1561">
        <f>'[1]Processed Data'!L1561</f>
        <v>0</v>
      </c>
      <c r="M1561">
        <f>'[1]Processed Data'!M1561</f>
        <v>0</v>
      </c>
      <c r="N1561">
        <f>'[1]Processed Data'!N1561</f>
        <v>0</v>
      </c>
      <c r="O1561">
        <f>'[1]Processed Data'!O1561</f>
        <v>0</v>
      </c>
      <c r="P1561">
        <f>'[1]Processed Data'!P1561</f>
        <v>0</v>
      </c>
      <c r="Q1561">
        <f>'[1]Processed Data'!Q1561</f>
        <v>0</v>
      </c>
    </row>
    <row r="1562" spans="2:17" hidden="1">
      <c r="B1562">
        <f>'[1]Processed Data'!B1562</f>
        <v>2011</v>
      </c>
      <c r="C1562">
        <f>'[1]Processed Data'!C1562</f>
        <v>41</v>
      </c>
      <c r="D1562" t="str">
        <f>'[1]Processed Data'!D1562</f>
        <v>Brett Rypien</v>
      </c>
      <c r="E1562">
        <v>2011</v>
      </c>
      <c r="F1562">
        <f>'[1]Processed Data'!F1562</f>
        <v>0</v>
      </c>
      <c r="G1562">
        <f>'[1]Processed Data'!G1562</f>
        <v>0</v>
      </c>
      <c r="H1562">
        <f>'[1]Processed Data'!H1562</f>
        <v>0</v>
      </c>
      <c r="I1562">
        <f>'[1]Processed Data'!I1562</f>
        <v>0</v>
      </c>
      <c r="J1562">
        <f>'[1]Processed Data'!J1562</f>
        <v>0</v>
      </c>
      <c r="K1562">
        <f>'[1]Processed Data'!K1562</f>
        <v>0</v>
      </c>
      <c r="L1562">
        <f>'[1]Processed Data'!L1562</f>
        <v>0</v>
      </c>
      <c r="M1562">
        <f>'[1]Processed Data'!M1562</f>
        <v>0</v>
      </c>
      <c r="N1562">
        <f>'[1]Processed Data'!N1562</f>
        <v>0</v>
      </c>
      <c r="O1562">
        <f>'[1]Processed Data'!O1562</f>
        <v>0</v>
      </c>
      <c r="P1562">
        <f>'[1]Processed Data'!P1562</f>
        <v>0</v>
      </c>
      <c r="Q1562">
        <f>'[1]Processed Data'!Q1562</f>
        <v>0</v>
      </c>
    </row>
    <row r="1563" spans="2:17" hidden="1">
      <c r="B1563">
        <f>'[1]Processed Data'!B1563</f>
        <v>2011</v>
      </c>
      <c r="C1563">
        <f>'[1]Processed Data'!C1563</f>
        <v>42</v>
      </c>
      <c r="D1563" t="str">
        <f>'[1]Processed Data'!D1563</f>
        <v>Easton Stick</v>
      </c>
      <c r="E1563">
        <v>2011</v>
      </c>
      <c r="F1563">
        <f>'[1]Processed Data'!F1563</f>
        <v>0</v>
      </c>
      <c r="G1563">
        <f>'[1]Processed Data'!G1563</f>
        <v>0</v>
      </c>
      <c r="H1563">
        <f>'[1]Processed Data'!H1563</f>
        <v>0</v>
      </c>
      <c r="I1563">
        <f>'[1]Processed Data'!I1563</f>
        <v>0</v>
      </c>
      <c r="J1563">
        <f>'[1]Processed Data'!J1563</f>
        <v>0</v>
      </c>
      <c r="K1563">
        <f>'[1]Processed Data'!K1563</f>
        <v>0</v>
      </c>
      <c r="L1563">
        <f>'[1]Processed Data'!L1563</f>
        <v>0</v>
      </c>
      <c r="M1563">
        <f>'[1]Processed Data'!M1563</f>
        <v>0</v>
      </c>
      <c r="N1563">
        <f>'[1]Processed Data'!N1563</f>
        <v>0</v>
      </c>
      <c r="O1563">
        <f>'[1]Processed Data'!O1563</f>
        <v>0</v>
      </c>
      <c r="P1563">
        <f>'[1]Processed Data'!P1563</f>
        <v>0</v>
      </c>
      <c r="Q1563">
        <f>'[1]Processed Data'!Q1563</f>
        <v>0</v>
      </c>
    </row>
    <row r="1564" spans="2:17" hidden="1">
      <c r="B1564">
        <f>'[1]Processed Data'!B1564</f>
        <v>2011</v>
      </c>
      <c r="C1564">
        <f>'[1]Processed Data'!C1564</f>
        <v>43</v>
      </c>
      <c r="D1564" t="str">
        <f>'[1]Processed Data'!D1564</f>
        <v>Trace McSorley</v>
      </c>
      <c r="E1564">
        <v>2011</v>
      </c>
      <c r="F1564">
        <f>'[1]Processed Data'!F1564</f>
        <v>0</v>
      </c>
      <c r="G1564">
        <f>'[1]Processed Data'!G1564</f>
        <v>0</v>
      </c>
      <c r="H1564">
        <f>'[1]Processed Data'!H1564</f>
        <v>0</v>
      </c>
      <c r="I1564">
        <f>'[1]Processed Data'!I1564</f>
        <v>0</v>
      </c>
      <c r="J1564">
        <f>'[1]Processed Data'!J1564</f>
        <v>0</v>
      </c>
      <c r="K1564">
        <f>'[1]Processed Data'!K1564</f>
        <v>0</v>
      </c>
      <c r="L1564">
        <f>'[1]Processed Data'!L1564</f>
        <v>0</v>
      </c>
      <c r="M1564">
        <f>'[1]Processed Data'!M1564</f>
        <v>0</v>
      </c>
      <c r="N1564">
        <f>'[1]Processed Data'!N1564</f>
        <v>0</v>
      </c>
      <c r="O1564">
        <f>'[1]Processed Data'!O1564</f>
        <v>0</v>
      </c>
      <c r="P1564">
        <f>'[1]Processed Data'!P1564</f>
        <v>0</v>
      </c>
      <c r="Q1564">
        <f>'[1]Processed Data'!Q1564</f>
        <v>0</v>
      </c>
    </row>
    <row r="1565" spans="2:17" hidden="1">
      <c r="B1565">
        <f>'[1]Processed Data'!B1565</f>
        <v>2011</v>
      </c>
      <c r="C1565">
        <f>'[1]Processed Data'!C1565</f>
        <v>44</v>
      </c>
      <c r="D1565" t="str">
        <f>'[1]Processed Data'!D1565</f>
        <v>Jake Browning</v>
      </c>
      <c r="E1565">
        <v>2011</v>
      </c>
      <c r="F1565">
        <f>'[1]Processed Data'!F1565</f>
        <v>0</v>
      </c>
      <c r="G1565">
        <f>'[1]Processed Data'!G1565</f>
        <v>0</v>
      </c>
      <c r="H1565">
        <f>'[1]Processed Data'!H1565</f>
        <v>0</v>
      </c>
      <c r="I1565">
        <f>'[1]Processed Data'!I1565</f>
        <v>0</v>
      </c>
      <c r="J1565">
        <f>'[1]Processed Data'!J1565</f>
        <v>0</v>
      </c>
      <c r="K1565">
        <f>'[1]Processed Data'!K1565</f>
        <v>0</v>
      </c>
      <c r="L1565">
        <f>'[1]Processed Data'!L1565</f>
        <v>0</v>
      </c>
      <c r="M1565">
        <f>'[1]Processed Data'!M1565</f>
        <v>0</v>
      </c>
      <c r="N1565">
        <f>'[1]Processed Data'!N1565</f>
        <v>0</v>
      </c>
      <c r="O1565">
        <f>'[1]Processed Data'!O1565</f>
        <v>0</v>
      </c>
      <c r="P1565">
        <f>'[1]Processed Data'!P1565</f>
        <v>0</v>
      </c>
      <c r="Q1565">
        <f>'[1]Processed Data'!Q1565</f>
        <v>0</v>
      </c>
    </row>
    <row r="1566" spans="2:17" hidden="1">
      <c r="B1566">
        <f>'[1]Processed Data'!B1566</f>
        <v>2011</v>
      </c>
      <c r="C1566">
        <f>'[1]Processed Data'!C1566</f>
        <v>45</v>
      </c>
      <c r="D1566" t="str">
        <f>'[1]Processed Data'!D1566</f>
        <v>Danny Etling</v>
      </c>
      <c r="E1566">
        <v>2011</v>
      </c>
      <c r="F1566">
        <f>'[1]Processed Data'!F1566</f>
        <v>0</v>
      </c>
      <c r="G1566">
        <f>'[1]Processed Data'!G1566</f>
        <v>0</v>
      </c>
      <c r="H1566">
        <f>'[1]Processed Data'!H1566</f>
        <v>0</v>
      </c>
      <c r="I1566">
        <f>'[1]Processed Data'!I1566</f>
        <v>0</v>
      </c>
      <c r="J1566">
        <f>'[1]Processed Data'!J1566</f>
        <v>0</v>
      </c>
      <c r="K1566">
        <f>'[1]Processed Data'!K1566</f>
        <v>0</v>
      </c>
      <c r="L1566">
        <f>'[1]Processed Data'!L1566</f>
        <v>0</v>
      </c>
      <c r="M1566">
        <f>'[1]Processed Data'!M1566</f>
        <v>0</v>
      </c>
      <c r="N1566">
        <f>'[1]Processed Data'!N1566</f>
        <v>0</v>
      </c>
      <c r="O1566">
        <f>'[1]Processed Data'!O1566</f>
        <v>0</v>
      </c>
      <c r="P1566">
        <f>'[1]Processed Data'!P1566</f>
        <v>0</v>
      </c>
      <c r="Q1566">
        <f>'[1]Processed Data'!Q1566</f>
        <v>0</v>
      </c>
    </row>
    <row r="1567" spans="2:17" hidden="1">
      <c r="B1567">
        <f>'[1]Processed Data'!B1567</f>
        <v>2011</v>
      </c>
      <c r="C1567">
        <f>'[1]Processed Data'!C1567</f>
        <v>46</v>
      </c>
      <c r="D1567" t="str">
        <f>'[1]Processed Data'!D1567</f>
        <v>Alex McGough</v>
      </c>
      <c r="E1567">
        <v>2011</v>
      </c>
      <c r="F1567">
        <f>'[1]Processed Data'!F1567</f>
        <v>0</v>
      </c>
      <c r="G1567">
        <f>'[1]Processed Data'!G1567</f>
        <v>0</v>
      </c>
      <c r="H1567">
        <f>'[1]Processed Data'!H1567</f>
        <v>0</v>
      </c>
      <c r="I1567">
        <f>'[1]Processed Data'!I1567</f>
        <v>0</v>
      </c>
      <c r="J1567">
        <f>'[1]Processed Data'!J1567</f>
        <v>0</v>
      </c>
      <c r="K1567">
        <f>'[1]Processed Data'!K1567</f>
        <v>0</v>
      </c>
      <c r="L1567">
        <f>'[1]Processed Data'!L1567</f>
        <v>0</v>
      </c>
      <c r="M1567">
        <f>'[1]Processed Data'!M1567</f>
        <v>0</v>
      </c>
      <c r="N1567">
        <f>'[1]Processed Data'!N1567</f>
        <v>0</v>
      </c>
      <c r="O1567">
        <f>'[1]Processed Data'!O1567</f>
        <v>0</v>
      </c>
      <c r="P1567">
        <f>'[1]Processed Data'!P1567</f>
        <v>0</v>
      </c>
      <c r="Q1567">
        <f>'[1]Processed Data'!Q1567</f>
        <v>0</v>
      </c>
    </row>
    <row r="1568" spans="2:17" hidden="1">
      <c r="B1568">
        <f>'[1]Processed Data'!B1568</f>
        <v>2011</v>
      </c>
      <c r="C1568">
        <f>'[1]Processed Data'!C1568</f>
        <v>47</v>
      </c>
      <c r="D1568" t="str">
        <f>'[1]Processed Data'!D1568</f>
        <v>Tim Boyle</v>
      </c>
      <c r="E1568">
        <v>2011</v>
      </c>
      <c r="F1568">
        <f>'[1]Processed Data'!F1568</f>
        <v>0</v>
      </c>
      <c r="G1568">
        <f>'[1]Processed Data'!G1568</f>
        <v>0</v>
      </c>
      <c r="H1568">
        <f>'[1]Processed Data'!H1568</f>
        <v>0</v>
      </c>
      <c r="I1568">
        <f>'[1]Processed Data'!I1568</f>
        <v>0</v>
      </c>
      <c r="J1568">
        <f>'[1]Processed Data'!J1568</f>
        <v>0</v>
      </c>
      <c r="K1568">
        <f>'[1]Processed Data'!K1568</f>
        <v>0</v>
      </c>
      <c r="L1568">
        <f>'[1]Processed Data'!L1568</f>
        <v>0</v>
      </c>
      <c r="M1568">
        <f>'[1]Processed Data'!M1568</f>
        <v>0</v>
      </c>
      <c r="N1568">
        <f>'[1]Processed Data'!N1568</f>
        <v>0</v>
      </c>
      <c r="O1568">
        <f>'[1]Processed Data'!O1568</f>
        <v>0</v>
      </c>
      <c r="P1568">
        <f>'[1]Processed Data'!P1568</f>
        <v>0</v>
      </c>
      <c r="Q1568">
        <f>'[1]Processed Data'!Q1568</f>
        <v>0</v>
      </c>
    </row>
    <row r="1569" spans="2:17" hidden="1">
      <c r="B1569">
        <f>'[1]Processed Data'!B1569</f>
        <v>2011</v>
      </c>
      <c r="C1569">
        <f>'[1]Processed Data'!C1569</f>
        <v>48</v>
      </c>
      <c r="D1569" t="str">
        <f>'[1]Processed Data'!D1569</f>
        <v>Kurt Benkert</v>
      </c>
      <c r="E1569">
        <v>2011</v>
      </c>
      <c r="F1569">
        <f>'[1]Processed Data'!F1569</f>
        <v>0</v>
      </c>
      <c r="G1569">
        <f>'[1]Processed Data'!G1569</f>
        <v>0</v>
      </c>
      <c r="H1569">
        <f>'[1]Processed Data'!H1569</f>
        <v>0</v>
      </c>
      <c r="I1569">
        <f>'[1]Processed Data'!I1569</f>
        <v>0</v>
      </c>
      <c r="J1569">
        <f>'[1]Processed Data'!J1569</f>
        <v>0</v>
      </c>
      <c r="K1569">
        <f>'[1]Processed Data'!K1569</f>
        <v>0</v>
      </c>
      <c r="L1569">
        <f>'[1]Processed Data'!L1569</f>
        <v>0</v>
      </c>
      <c r="M1569">
        <f>'[1]Processed Data'!M1569</f>
        <v>0</v>
      </c>
      <c r="N1569">
        <f>'[1]Processed Data'!N1569</f>
        <v>0</v>
      </c>
      <c r="O1569">
        <f>'[1]Processed Data'!O1569</f>
        <v>0</v>
      </c>
      <c r="P1569">
        <f>'[1]Processed Data'!P1569</f>
        <v>0</v>
      </c>
      <c r="Q1569">
        <f>'[1]Processed Data'!Q1569</f>
        <v>0</v>
      </c>
    </row>
    <row r="1570" spans="2:17" hidden="1">
      <c r="B1570">
        <f>'[1]Processed Data'!B1570</f>
        <v>2011</v>
      </c>
      <c r="C1570">
        <f>'[1]Processed Data'!C1570</f>
        <v>49</v>
      </c>
      <c r="D1570" t="str">
        <f>'[1]Processed Data'!D1570</f>
        <v>Kyle Allen</v>
      </c>
      <c r="E1570">
        <v>2011</v>
      </c>
      <c r="F1570">
        <f>'[1]Processed Data'!F1570</f>
        <v>0</v>
      </c>
      <c r="G1570">
        <f>'[1]Processed Data'!G1570</f>
        <v>0</v>
      </c>
      <c r="H1570">
        <f>'[1]Processed Data'!H1570</f>
        <v>0</v>
      </c>
      <c r="I1570">
        <f>'[1]Processed Data'!I1570</f>
        <v>0</v>
      </c>
      <c r="J1570">
        <f>'[1]Processed Data'!J1570</f>
        <v>0</v>
      </c>
      <c r="K1570">
        <f>'[1]Processed Data'!K1570</f>
        <v>0</v>
      </c>
      <c r="L1570">
        <f>'[1]Processed Data'!L1570</f>
        <v>0</v>
      </c>
      <c r="M1570">
        <f>'[1]Processed Data'!M1570</f>
        <v>0</v>
      </c>
      <c r="N1570">
        <f>'[1]Processed Data'!N1570</f>
        <v>0</v>
      </c>
      <c r="O1570">
        <f>'[1]Processed Data'!O1570</f>
        <v>0</v>
      </c>
      <c r="P1570">
        <f>'[1]Processed Data'!P1570</f>
        <v>0</v>
      </c>
      <c r="Q1570">
        <f>'[1]Processed Data'!Q1570</f>
        <v>0</v>
      </c>
    </row>
    <row r="1571" spans="2:17" hidden="1">
      <c r="B1571">
        <f>'[1]Processed Data'!B1571</f>
        <v>2011</v>
      </c>
      <c r="C1571">
        <f>'[1]Processed Data'!C1571</f>
        <v>50</v>
      </c>
      <c r="D1571" t="str">
        <f>'[1]Processed Data'!D1571</f>
        <v>Eric Dungey</v>
      </c>
      <c r="E1571">
        <v>2011</v>
      </c>
      <c r="F1571">
        <f>'[1]Processed Data'!F1571</f>
        <v>0</v>
      </c>
      <c r="G1571">
        <f>'[1]Processed Data'!G1571</f>
        <v>0</v>
      </c>
      <c r="H1571">
        <f>'[1]Processed Data'!H1571</f>
        <v>0</v>
      </c>
      <c r="I1571">
        <f>'[1]Processed Data'!I1571</f>
        <v>0</v>
      </c>
      <c r="J1571">
        <f>'[1]Processed Data'!J1571</f>
        <v>0</v>
      </c>
      <c r="K1571">
        <f>'[1]Processed Data'!K1571</f>
        <v>0</v>
      </c>
      <c r="L1571">
        <f>'[1]Processed Data'!L1571</f>
        <v>0</v>
      </c>
      <c r="M1571">
        <f>'[1]Processed Data'!M1571</f>
        <v>0</v>
      </c>
      <c r="N1571">
        <f>'[1]Processed Data'!N1571</f>
        <v>0</v>
      </c>
      <c r="O1571">
        <f>'[1]Processed Data'!O1571</f>
        <v>0</v>
      </c>
      <c r="P1571">
        <f>'[1]Processed Data'!P1571</f>
        <v>0</v>
      </c>
      <c r="Q1571">
        <f>'[1]Processed Data'!Q1571</f>
        <v>0</v>
      </c>
    </row>
    <row r="1572" spans="2:17" hidden="1">
      <c r="B1572">
        <f>'[1]Processed Data'!B1572</f>
        <v>2011</v>
      </c>
      <c r="C1572">
        <f>'[1]Processed Data'!C1572</f>
        <v>51</v>
      </c>
      <c r="D1572" t="str">
        <f>'[1]Processed Data'!D1572</f>
        <v>Gardner Minshew II</v>
      </c>
      <c r="E1572">
        <v>2011</v>
      </c>
      <c r="F1572">
        <f>'[1]Processed Data'!F1572</f>
        <v>0</v>
      </c>
      <c r="G1572">
        <f>'[1]Processed Data'!G1572</f>
        <v>0</v>
      </c>
      <c r="H1572">
        <f>'[1]Processed Data'!H1572</f>
        <v>0</v>
      </c>
      <c r="I1572">
        <f>'[1]Processed Data'!I1572</f>
        <v>0</v>
      </c>
      <c r="J1572">
        <f>'[1]Processed Data'!J1572</f>
        <v>0</v>
      </c>
      <c r="K1572">
        <f>'[1]Processed Data'!K1572</f>
        <v>0</v>
      </c>
      <c r="L1572">
        <f>'[1]Processed Data'!L1572</f>
        <v>0</v>
      </c>
      <c r="M1572">
        <f>'[1]Processed Data'!M1572</f>
        <v>0</v>
      </c>
      <c r="N1572">
        <f>'[1]Processed Data'!N1572</f>
        <v>0</v>
      </c>
      <c r="O1572">
        <f>'[1]Processed Data'!O1572</f>
        <v>0</v>
      </c>
      <c r="P1572">
        <f>'[1]Processed Data'!P1572</f>
        <v>0</v>
      </c>
      <c r="Q1572">
        <f>'[1]Processed Data'!Q1572</f>
        <v>0</v>
      </c>
    </row>
    <row r="1573" spans="2:17" hidden="1">
      <c r="B1573">
        <f>'[1]Processed Data'!B1573</f>
        <v>2011</v>
      </c>
      <c r="C1573">
        <f>'[1]Processed Data'!C1573</f>
        <v>52</v>
      </c>
      <c r="D1573" t="str">
        <f>'[1]Processed Data'!D1573</f>
        <v>Bryce Perkins</v>
      </c>
      <c r="E1573">
        <v>2011</v>
      </c>
      <c r="F1573">
        <f>'[1]Processed Data'!F1573</f>
        <v>0</v>
      </c>
      <c r="G1573">
        <f>'[1]Processed Data'!G1573</f>
        <v>0</v>
      </c>
      <c r="H1573">
        <f>'[1]Processed Data'!H1573</f>
        <v>0</v>
      </c>
      <c r="I1573">
        <f>'[1]Processed Data'!I1573</f>
        <v>0</v>
      </c>
      <c r="J1573">
        <f>'[1]Processed Data'!J1573</f>
        <v>0</v>
      </c>
      <c r="K1573">
        <f>'[1]Processed Data'!K1573</f>
        <v>0</v>
      </c>
      <c r="L1573">
        <f>'[1]Processed Data'!L1573</f>
        <v>0</v>
      </c>
      <c r="M1573">
        <f>'[1]Processed Data'!M1573</f>
        <v>0</v>
      </c>
      <c r="N1573">
        <f>'[1]Processed Data'!N1573</f>
        <v>0</v>
      </c>
      <c r="O1573">
        <f>'[1]Processed Data'!O1573</f>
        <v>0</v>
      </c>
      <c r="P1573">
        <f>'[1]Processed Data'!P1573</f>
        <v>0</v>
      </c>
      <c r="Q1573">
        <f>'[1]Processed Data'!Q1573</f>
        <v>0</v>
      </c>
    </row>
    <row r="1574" spans="2:17" hidden="1">
      <c r="B1574">
        <f>'[1]Processed Data'!B1574</f>
        <v>2011</v>
      </c>
      <c r="C1574">
        <f>'[1]Processed Data'!C1574</f>
        <v>53</v>
      </c>
      <c r="D1574" t="str">
        <f>'[1]Processed Data'!D1574</f>
        <v>Jalen Hurts</v>
      </c>
      <c r="E1574">
        <v>2011</v>
      </c>
      <c r="F1574">
        <f>'[1]Processed Data'!F1574</f>
        <v>0</v>
      </c>
      <c r="G1574">
        <f>'[1]Processed Data'!G1574</f>
        <v>0</v>
      </c>
      <c r="H1574">
        <f>'[1]Processed Data'!H1574</f>
        <v>0</v>
      </c>
      <c r="I1574">
        <f>'[1]Processed Data'!I1574</f>
        <v>0</v>
      </c>
      <c r="J1574">
        <f>'[1]Processed Data'!J1574</f>
        <v>0</v>
      </c>
      <c r="K1574">
        <f>'[1]Processed Data'!K1574</f>
        <v>0</v>
      </c>
      <c r="L1574">
        <f>'[1]Processed Data'!L1574</f>
        <v>0</v>
      </c>
      <c r="M1574">
        <f>'[1]Processed Data'!M1574</f>
        <v>0</v>
      </c>
      <c r="N1574">
        <f>'[1]Processed Data'!N1574</f>
        <v>0</v>
      </c>
      <c r="O1574">
        <f>'[1]Processed Data'!O1574</f>
        <v>0</v>
      </c>
      <c r="P1574">
        <f>'[1]Processed Data'!P1574</f>
        <v>0</v>
      </c>
      <c r="Q1574">
        <f>'[1]Processed Data'!Q1574</f>
        <v>0</v>
      </c>
    </row>
    <row r="1575" spans="2:17" hidden="1">
      <c r="B1575">
        <f>'[1]Processed Data'!B1575</f>
        <v>2011</v>
      </c>
      <c r="C1575">
        <f>'[1]Processed Data'!C1575</f>
        <v>54</v>
      </c>
      <c r="D1575" t="str">
        <f>'[1]Processed Data'!D1575</f>
        <v>Tyler Huntley</v>
      </c>
      <c r="E1575">
        <v>2011</v>
      </c>
      <c r="F1575">
        <f>'[1]Processed Data'!F1575</f>
        <v>0</v>
      </c>
      <c r="G1575">
        <f>'[1]Processed Data'!G1575</f>
        <v>0</v>
      </c>
      <c r="H1575">
        <f>'[1]Processed Data'!H1575</f>
        <v>0</v>
      </c>
      <c r="I1575">
        <f>'[1]Processed Data'!I1575</f>
        <v>0</v>
      </c>
      <c r="J1575">
        <f>'[1]Processed Data'!J1575</f>
        <v>0</v>
      </c>
      <c r="K1575">
        <f>'[1]Processed Data'!K1575</f>
        <v>0</v>
      </c>
      <c r="L1575">
        <f>'[1]Processed Data'!L1575</f>
        <v>0</v>
      </c>
      <c r="M1575">
        <f>'[1]Processed Data'!M1575</f>
        <v>0</v>
      </c>
      <c r="N1575">
        <f>'[1]Processed Data'!N1575</f>
        <v>0</v>
      </c>
      <c r="O1575">
        <f>'[1]Processed Data'!O1575</f>
        <v>0</v>
      </c>
      <c r="P1575">
        <f>'[1]Processed Data'!P1575</f>
        <v>0</v>
      </c>
      <c r="Q1575">
        <f>'[1]Processed Data'!Q1575</f>
        <v>0</v>
      </c>
    </row>
    <row r="1576" spans="2:17" hidden="1">
      <c r="B1576">
        <f>'[1]Processed Data'!B1576</f>
        <v>2011</v>
      </c>
      <c r="C1576">
        <f>'[1]Processed Data'!C1576</f>
        <v>55</v>
      </c>
      <c r="D1576" t="str">
        <f>'[1]Processed Data'!D1576</f>
        <v>Shane Buechele</v>
      </c>
      <c r="E1576">
        <v>2011</v>
      </c>
      <c r="F1576">
        <f>'[1]Processed Data'!F1576</f>
        <v>0</v>
      </c>
      <c r="G1576">
        <f>'[1]Processed Data'!G1576</f>
        <v>0</v>
      </c>
      <c r="H1576">
        <f>'[1]Processed Data'!H1576</f>
        <v>0</v>
      </c>
      <c r="I1576">
        <f>'[1]Processed Data'!I1576</f>
        <v>0</v>
      </c>
      <c r="J1576">
        <f>'[1]Processed Data'!J1576</f>
        <v>0</v>
      </c>
      <c r="K1576">
        <f>'[1]Processed Data'!K1576</f>
        <v>0</v>
      </c>
      <c r="L1576">
        <f>'[1]Processed Data'!L1576</f>
        <v>0</v>
      </c>
      <c r="M1576">
        <f>'[1]Processed Data'!M1576</f>
        <v>0</v>
      </c>
      <c r="N1576">
        <f>'[1]Processed Data'!N1576</f>
        <v>0</v>
      </c>
      <c r="O1576">
        <f>'[1]Processed Data'!O1576</f>
        <v>0</v>
      </c>
      <c r="P1576">
        <f>'[1]Processed Data'!P1576</f>
        <v>0</v>
      </c>
      <c r="Q1576">
        <f>'[1]Processed Data'!Q1576</f>
        <v>0</v>
      </c>
    </row>
    <row r="1577" spans="2:17" hidden="1">
      <c r="B1577">
        <f>'[1]Processed Data'!B1577</f>
        <v>2011</v>
      </c>
      <c r="C1577">
        <f>'[1]Processed Data'!C1577</f>
        <v>56</v>
      </c>
      <c r="D1577" t="str">
        <f>'[1]Processed Data'!D1577</f>
        <v>Kellen Mond</v>
      </c>
      <c r="E1577">
        <v>2010</v>
      </c>
      <c r="F1577">
        <f>'[1]Processed Data'!F1577</f>
        <v>0</v>
      </c>
      <c r="G1577">
        <f>'[1]Processed Data'!G1577</f>
        <v>0</v>
      </c>
      <c r="H1577">
        <f>'[1]Processed Data'!H1577</f>
        <v>0</v>
      </c>
      <c r="I1577">
        <f>'[1]Processed Data'!I1577</f>
        <v>0</v>
      </c>
      <c r="J1577">
        <f>'[1]Processed Data'!J1577</f>
        <v>0</v>
      </c>
      <c r="K1577">
        <f>'[1]Processed Data'!K1577</f>
        <v>0</v>
      </c>
      <c r="L1577">
        <f>'[1]Processed Data'!L1577</f>
        <v>0</v>
      </c>
      <c r="M1577">
        <f>'[1]Processed Data'!M1577</f>
        <v>0</v>
      </c>
      <c r="N1577">
        <f>'[1]Processed Data'!N1577</f>
        <v>0</v>
      </c>
      <c r="O1577">
        <f>'[1]Processed Data'!O1577</f>
        <v>0</v>
      </c>
      <c r="P1577">
        <f>'[1]Processed Data'!P1577</f>
        <v>0</v>
      </c>
      <c r="Q1577">
        <f>'[1]Processed Data'!Q1577</f>
        <v>0</v>
      </c>
    </row>
    <row r="1578" spans="2:17" hidden="1">
      <c r="B1578">
        <f>'[1]Processed Data'!B1578</f>
        <v>2011</v>
      </c>
      <c r="C1578">
        <f>'[1]Processed Data'!C1578</f>
        <v>57</v>
      </c>
      <c r="D1578" t="str">
        <f>'[1]Processed Data'!D1578</f>
        <v>Jake Fromm</v>
      </c>
      <c r="E1578">
        <v>2010</v>
      </c>
      <c r="F1578">
        <f>'[1]Processed Data'!F1578</f>
        <v>0</v>
      </c>
      <c r="G1578">
        <f>'[1]Processed Data'!G1578</f>
        <v>0</v>
      </c>
      <c r="H1578">
        <f>'[1]Processed Data'!H1578</f>
        <v>0</v>
      </c>
      <c r="I1578">
        <f>'[1]Processed Data'!I1578</f>
        <v>0</v>
      </c>
      <c r="J1578">
        <f>'[1]Processed Data'!J1578</f>
        <v>0</v>
      </c>
      <c r="K1578">
        <f>'[1]Processed Data'!K1578</f>
        <v>0</v>
      </c>
      <c r="L1578">
        <f>'[1]Processed Data'!L1578</f>
        <v>0</v>
      </c>
      <c r="M1578">
        <f>'[1]Processed Data'!M1578</f>
        <v>0</v>
      </c>
      <c r="N1578">
        <f>'[1]Processed Data'!N1578</f>
        <v>0</v>
      </c>
      <c r="O1578">
        <f>'[1]Processed Data'!O1578</f>
        <v>0</v>
      </c>
      <c r="P1578">
        <f>'[1]Processed Data'!P1578</f>
        <v>0</v>
      </c>
      <c r="Q1578">
        <f>'[1]Processed Data'!Q1578</f>
        <v>0</v>
      </c>
    </row>
    <row r="1579" spans="2:17" hidden="1">
      <c r="B1579">
        <f>'[1]Processed Data'!B1579</f>
        <v>2011</v>
      </c>
      <c r="C1579">
        <f>'[1]Processed Data'!C1579</f>
        <v>58</v>
      </c>
      <c r="D1579" t="str">
        <f>'[1]Processed Data'!D1579</f>
        <v>Steven Montez</v>
      </c>
      <c r="E1579">
        <v>2010</v>
      </c>
      <c r="F1579">
        <f>'[1]Processed Data'!F1579</f>
        <v>0</v>
      </c>
      <c r="G1579">
        <f>'[1]Processed Data'!G1579</f>
        <v>0</v>
      </c>
      <c r="H1579">
        <f>'[1]Processed Data'!H1579</f>
        <v>0</v>
      </c>
      <c r="I1579">
        <f>'[1]Processed Data'!I1579</f>
        <v>0</v>
      </c>
      <c r="J1579">
        <f>'[1]Processed Data'!J1579</f>
        <v>0</v>
      </c>
      <c r="K1579">
        <f>'[1]Processed Data'!K1579</f>
        <v>0</v>
      </c>
      <c r="L1579">
        <f>'[1]Processed Data'!L1579</f>
        <v>0</v>
      </c>
      <c r="M1579">
        <f>'[1]Processed Data'!M1579</f>
        <v>0</v>
      </c>
      <c r="N1579">
        <f>'[1]Processed Data'!N1579</f>
        <v>0</v>
      </c>
      <c r="O1579">
        <f>'[1]Processed Data'!O1579</f>
        <v>0</v>
      </c>
      <c r="P1579">
        <f>'[1]Processed Data'!P1579</f>
        <v>0</v>
      </c>
      <c r="Q1579">
        <f>'[1]Processed Data'!Q1579</f>
        <v>0</v>
      </c>
    </row>
    <row r="1580" spans="2:17" hidden="1">
      <c r="B1580">
        <f>'[1]Processed Data'!B1580</f>
        <v>2011</v>
      </c>
      <c r="C1580">
        <f>'[1]Processed Data'!C1580</f>
        <v>59</v>
      </c>
      <c r="D1580" t="str">
        <f>'[1]Processed Data'!D1580</f>
        <v>Jake Luton</v>
      </c>
      <c r="E1580">
        <v>2010</v>
      </c>
      <c r="F1580">
        <f>'[1]Processed Data'!F1580</f>
        <v>0</v>
      </c>
      <c r="G1580">
        <f>'[1]Processed Data'!G1580</f>
        <v>0</v>
      </c>
      <c r="H1580">
        <f>'[1]Processed Data'!H1580</f>
        <v>0</v>
      </c>
      <c r="I1580">
        <f>'[1]Processed Data'!I1580</f>
        <v>0</v>
      </c>
      <c r="J1580">
        <f>'[1]Processed Data'!J1580</f>
        <v>0</v>
      </c>
      <c r="K1580">
        <f>'[1]Processed Data'!K1580</f>
        <v>0</v>
      </c>
      <c r="L1580">
        <f>'[1]Processed Data'!L1580</f>
        <v>0</v>
      </c>
      <c r="M1580">
        <f>'[1]Processed Data'!M1580</f>
        <v>0</v>
      </c>
      <c r="N1580">
        <f>'[1]Processed Data'!N1580</f>
        <v>0</v>
      </c>
      <c r="O1580">
        <f>'[1]Processed Data'!O1580</f>
        <v>0</v>
      </c>
      <c r="P1580">
        <f>'[1]Processed Data'!P1580</f>
        <v>0</v>
      </c>
      <c r="Q1580">
        <f>'[1]Processed Data'!Q1580</f>
        <v>0</v>
      </c>
    </row>
    <row r="1581" spans="2:17" hidden="1">
      <c r="B1581">
        <f>'[1]Processed Data'!B1581</f>
        <v>2011</v>
      </c>
      <c r="C1581">
        <f>'[1]Processed Data'!C1581</f>
        <v>60</v>
      </c>
      <c r="D1581" t="str">
        <f>'[1]Processed Data'!D1581</f>
        <v>James Morgan</v>
      </c>
      <c r="E1581">
        <v>2010</v>
      </c>
      <c r="F1581">
        <f>'[1]Processed Data'!F1581</f>
        <v>0</v>
      </c>
      <c r="G1581">
        <f>'[1]Processed Data'!G1581</f>
        <v>0</v>
      </c>
      <c r="H1581">
        <f>'[1]Processed Data'!H1581</f>
        <v>0</v>
      </c>
      <c r="I1581">
        <f>'[1]Processed Data'!I1581</f>
        <v>0</v>
      </c>
      <c r="J1581">
        <f>'[1]Processed Data'!J1581</f>
        <v>0</v>
      </c>
      <c r="K1581">
        <f>'[1]Processed Data'!K1581</f>
        <v>0</v>
      </c>
      <c r="L1581">
        <f>'[1]Processed Data'!L1581</f>
        <v>0</v>
      </c>
      <c r="M1581">
        <f>'[1]Processed Data'!M1581</f>
        <v>0</v>
      </c>
      <c r="N1581">
        <f>'[1]Processed Data'!N1581</f>
        <v>0</v>
      </c>
      <c r="O1581">
        <f>'[1]Processed Data'!O1581</f>
        <v>0</v>
      </c>
      <c r="P1581">
        <f>'[1]Processed Data'!P1581</f>
        <v>0</v>
      </c>
      <c r="Q1581">
        <f>'[1]Processed Data'!Q1581</f>
        <v>0</v>
      </c>
    </row>
    <row r="1582" spans="2:17" hidden="1">
      <c r="B1582">
        <f>'[1]Processed Data'!B1582</f>
        <v>2011</v>
      </c>
      <c r="C1582">
        <f>'[1]Processed Data'!C1582</f>
        <v>61</v>
      </c>
      <c r="D1582" t="str">
        <f>'[1]Processed Data'!D1582</f>
        <v>Brian Lewerke</v>
      </c>
      <c r="E1582">
        <v>2010</v>
      </c>
      <c r="F1582">
        <f>'[1]Processed Data'!F1582</f>
        <v>0</v>
      </c>
      <c r="G1582">
        <f>'[1]Processed Data'!G1582</f>
        <v>0</v>
      </c>
      <c r="H1582">
        <f>'[1]Processed Data'!H1582</f>
        <v>0</v>
      </c>
      <c r="I1582">
        <f>'[1]Processed Data'!I1582</f>
        <v>0</v>
      </c>
      <c r="J1582">
        <f>'[1]Processed Data'!J1582</f>
        <v>0</v>
      </c>
      <c r="K1582">
        <f>'[1]Processed Data'!K1582</f>
        <v>0</v>
      </c>
      <c r="L1582">
        <f>'[1]Processed Data'!L1582</f>
        <v>0</v>
      </c>
      <c r="M1582">
        <f>'[1]Processed Data'!M1582</f>
        <v>0</v>
      </c>
      <c r="N1582">
        <f>'[1]Processed Data'!N1582</f>
        <v>0</v>
      </c>
      <c r="O1582">
        <f>'[1]Processed Data'!O1582</f>
        <v>0</v>
      </c>
      <c r="P1582">
        <f>'[1]Processed Data'!P1582</f>
        <v>0</v>
      </c>
      <c r="Q1582">
        <f>'[1]Processed Data'!Q1582</f>
        <v>0</v>
      </c>
    </row>
    <row r="1583" spans="2:17" hidden="1">
      <c r="B1583">
        <f>'[1]Processed Data'!B1583</f>
        <v>2011</v>
      </c>
      <c r="C1583">
        <f>'[1]Processed Data'!C1583</f>
        <v>62</v>
      </c>
      <c r="D1583" t="str">
        <f>'[1]Processed Data'!D1583</f>
        <v>Jordan Love</v>
      </c>
      <c r="E1583">
        <v>2010</v>
      </c>
      <c r="F1583">
        <f>'[1]Processed Data'!F1583</f>
        <v>0</v>
      </c>
      <c r="G1583">
        <f>'[1]Processed Data'!G1583</f>
        <v>0</v>
      </c>
      <c r="H1583">
        <f>'[1]Processed Data'!H1583</f>
        <v>0</v>
      </c>
      <c r="I1583">
        <f>'[1]Processed Data'!I1583</f>
        <v>0</v>
      </c>
      <c r="J1583">
        <f>'[1]Processed Data'!J1583</f>
        <v>0</v>
      </c>
      <c r="K1583">
        <f>'[1]Processed Data'!K1583</f>
        <v>0</v>
      </c>
      <c r="L1583">
        <f>'[1]Processed Data'!L1583</f>
        <v>0</v>
      </c>
      <c r="M1583">
        <f>'[1]Processed Data'!M1583</f>
        <v>0</v>
      </c>
      <c r="N1583">
        <f>'[1]Processed Data'!N1583</f>
        <v>0</v>
      </c>
      <c r="O1583">
        <f>'[1]Processed Data'!O1583</f>
        <v>0</v>
      </c>
      <c r="P1583">
        <f>'[1]Processed Data'!P1583</f>
        <v>0</v>
      </c>
      <c r="Q1583">
        <f>'[1]Processed Data'!Q1583</f>
        <v>0</v>
      </c>
    </row>
    <row r="1584" spans="2:17" hidden="1">
      <c r="B1584">
        <f>'[1]Processed Data'!B1584</f>
        <v>2011</v>
      </c>
      <c r="C1584">
        <f>'[1]Processed Data'!C1584</f>
        <v>63</v>
      </c>
      <c r="D1584" t="str">
        <f>'[1]Processed Data'!D1584</f>
        <v>Jacob Eason</v>
      </c>
      <c r="E1584">
        <v>2010</v>
      </c>
      <c r="F1584">
        <f>'[1]Processed Data'!F1584</f>
        <v>0</v>
      </c>
      <c r="G1584">
        <f>'[1]Processed Data'!G1584</f>
        <v>0</v>
      </c>
      <c r="H1584">
        <f>'[1]Processed Data'!H1584</f>
        <v>0</v>
      </c>
      <c r="I1584">
        <f>'[1]Processed Data'!I1584</f>
        <v>0</v>
      </c>
      <c r="J1584">
        <f>'[1]Processed Data'!J1584</f>
        <v>0</v>
      </c>
      <c r="K1584">
        <f>'[1]Processed Data'!K1584</f>
        <v>0</v>
      </c>
      <c r="L1584">
        <f>'[1]Processed Data'!L1584</f>
        <v>0</v>
      </c>
      <c r="M1584">
        <f>'[1]Processed Data'!M1584</f>
        <v>0</v>
      </c>
      <c r="N1584">
        <f>'[1]Processed Data'!N1584</f>
        <v>0</v>
      </c>
      <c r="O1584">
        <f>'[1]Processed Data'!O1584</f>
        <v>0</v>
      </c>
      <c r="P1584">
        <f>'[1]Processed Data'!P1584</f>
        <v>0</v>
      </c>
      <c r="Q1584">
        <f>'[1]Processed Data'!Q1584</f>
        <v>0</v>
      </c>
    </row>
    <row r="1585" spans="2:17" hidden="1">
      <c r="B1585">
        <f>'[1]Processed Data'!B1585</f>
        <v>2011</v>
      </c>
      <c r="C1585">
        <f>'[1]Processed Data'!C1585</f>
        <v>64</v>
      </c>
      <c r="D1585" t="str">
        <f>'[1]Processed Data'!D1585</f>
        <v>Kyler Murray</v>
      </c>
      <c r="E1585">
        <v>2010</v>
      </c>
      <c r="F1585">
        <f>'[1]Processed Data'!F1585</f>
        <v>0</v>
      </c>
      <c r="G1585">
        <f>'[1]Processed Data'!G1585</f>
        <v>0</v>
      </c>
      <c r="H1585">
        <f>'[1]Processed Data'!H1585</f>
        <v>0</v>
      </c>
      <c r="I1585">
        <f>'[1]Processed Data'!I1585</f>
        <v>0</v>
      </c>
      <c r="J1585">
        <f>'[1]Processed Data'!J1585</f>
        <v>0</v>
      </c>
      <c r="K1585">
        <f>'[1]Processed Data'!K1585</f>
        <v>0</v>
      </c>
      <c r="L1585">
        <f>'[1]Processed Data'!L1585</f>
        <v>0</v>
      </c>
      <c r="M1585">
        <f>'[1]Processed Data'!M1585</f>
        <v>0</v>
      </c>
      <c r="N1585">
        <f>'[1]Processed Data'!N1585</f>
        <v>0</v>
      </c>
      <c r="O1585">
        <f>'[1]Processed Data'!O1585</f>
        <v>0</v>
      </c>
      <c r="P1585">
        <f>'[1]Processed Data'!P1585</f>
        <v>0</v>
      </c>
      <c r="Q1585">
        <f>'[1]Processed Data'!Q1585</f>
        <v>0</v>
      </c>
    </row>
    <row r="1586" spans="2:17" hidden="1">
      <c r="B1586">
        <f>'[1]Processed Data'!B1586</f>
        <v>2011</v>
      </c>
      <c r="C1586">
        <f>'[1]Processed Data'!C1586</f>
        <v>65</v>
      </c>
      <c r="D1586" t="str">
        <f>'[1]Processed Data'!D1586</f>
        <v>Jarrett Stidham</v>
      </c>
      <c r="E1586">
        <v>2010</v>
      </c>
      <c r="F1586">
        <f>'[1]Processed Data'!F1586</f>
        <v>0</v>
      </c>
      <c r="G1586">
        <f>'[1]Processed Data'!G1586</f>
        <v>0</v>
      </c>
      <c r="H1586">
        <f>'[1]Processed Data'!H1586</f>
        <v>0</v>
      </c>
      <c r="I1586">
        <f>'[1]Processed Data'!I1586</f>
        <v>0</v>
      </c>
      <c r="J1586">
        <f>'[1]Processed Data'!J1586</f>
        <v>0</v>
      </c>
      <c r="K1586">
        <f>'[1]Processed Data'!K1586</f>
        <v>0</v>
      </c>
      <c r="L1586">
        <f>'[1]Processed Data'!L1586</f>
        <v>0</v>
      </c>
      <c r="M1586">
        <f>'[1]Processed Data'!M1586</f>
        <v>0</v>
      </c>
      <c r="N1586">
        <f>'[1]Processed Data'!N1586</f>
        <v>0</v>
      </c>
      <c r="O1586">
        <f>'[1]Processed Data'!O1586</f>
        <v>0</v>
      </c>
      <c r="P1586">
        <f>'[1]Processed Data'!P1586</f>
        <v>0</v>
      </c>
      <c r="Q1586">
        <f>'[1]Processed Data'!Q1586</f>
        <v>0</v>
      </c>
    </row>
    <row r="1587" spans="2:17" hidden="1">
      <c r="B1587">
        <f>'[1]Processed Data'!B1587</f>
        <v>2011</v>
      </c>
      <c r="C1587">
        <f>'[1]Processed Data'!C1587</f>
        <v>66</v>
      </c>
      <c r="D1587" t="str">
        <f>'[1]Processed Data'!D1587</f>
        <v>Justin Herbert</v>
      </c>
      <c r="E1587">
        <v>2010</v>
      </c>
      <c r="F1587">
        <f>'[1]Processed Data'!F1587</f>
        <v>0</v>
      </c>
      <c r="G1587">
        <f>'[1]Processed Data'!G1587</f>
        <v>0</v>
      </c>
      <c r="H1587">
        <f>'[1]Processed Data'!H1587</f>
        <v>0</v>
      </c>
      <c r="I1587">
        <f>'[1]Processed Data'!I1587</f>
        <v>0</v>
      </c>
      <c r="J1587">
        <f>'[1]Processed Data'!J1587</f>
        <v>0</v>
      </c>
      <c r="K1587">
        <f>'[1]Processed Data'!K1587</f>
        <v>0</v>
      </c>
      <c r="L1587">
        <f>'[1]Processed Data'!L1587</f>
        <v>0</v>
      </c>
      <c r="M1587">
        <f>'[1]Processed Data'!M1587</f>
        <v>0</v>
      </c>
      <c r="N1587">
        <f>'[1]Processed Data'!N1587</f>
        <v>0</v>
      </c>
      <c r="O1587">
        <f>'[1]Processed Data'!O1587</f>
        <v>0</v>
      </c>
      <c r="P1587">
        <f>'[1]Processed Data'!P1587</f>
        <v>0</v>
      </c>
      <c r="Q1587">
        <f>'[1]Processed Data'!Q1587</f>
        <v>0</v>
      </c>
    </row>
    <row r="1588" spans="2:17" hidden="1">
      <c r="B1588">
        <f>'[1]Processed Data'!B1588</f>
        <v>2011</v>
      </c>
      <c r="C1588">
        <f>'[1]Processed Data'!C1588</f>
        <v>67</v>
      </c>
      <c r="D1588" t="str">
        <f>'[1]Processed Data'!D1588</f>
        <v>David Blough</v>
      </c>
      <c r="E1588">
        <v>2010</v>
      </c>
      <c r="F1588">
        <f>'[1]Processed Data'!F1588</f>
        <v>0</v>
      </c>
      <c r="G1588">
        <f>'[1]Processed Data'!G1588</f>
        <v>0</v>
      </c>
      <c r="H1588">
        <f>'[1]Processed Data'!H1588</f>
        <v>0</v>
      </c>
      <c r="I1588">
        <f>'[1]Processed Data'!I1588</f>
        <v>0</v>
      </c>
      <c r="J1588">
        <f>'[1]Processed Data'!J1588</f>
        <v>0</v>
      </c>
      <c r="K1588">
        <f>'[1]Processed Data'!K1588</f>
        <v>0</v>
      </c>
      <c r="L1588">
        <f>'[1]Processed Data'!L1588</f>
        <v>0</v>
      </c>
      <c r="M1588">
        <f>'[1]Processed Data'!M1588</f>
        <v>0</v>
      </c>
      <c r="N1588">
        <f>'[1]Processed Data'!N1588</f>
        <v>0</v>
      </c>
      <c r="O1588">
        <f>'[1]Processed Data'!O1588</f>
        <v>0</v>
      </c>
      <c r="P1588">
        <f>'[1]Processed Data'!P1588</f>
        <v>0</v>
      </c>
      <c r="Q1588">
        <f>'[1]Processed Data'!Q1588</f>
        <v>0</v>
      </c>
    </row>
    <row r="1589" spans="2:17" hidden="1">
      <c r="B1589">
        <f>'[1]Processed Data'!B1589</f>
        <v>2011</v>
      </c>
      <c r="C1589">
        <f>'[1]Processed Data'!C1589</f>
        <v>68</v>
      </c>
      <c r="D1589" t="str">
        <f>'[1]Processed Data'!D1589</f>
        <v>John Lovett</v>
      </c>
      <c r="E1589">
        <v>2010</v>
      </c>
      <c r="F1589">
        <f>'[1]Processed Data'!F1589</f>
        <v>0</v>
      </c>
      <c r="G1589">
        <f>'[1]Processed Data'!G1589</f>
        <v>0</v>
      </c>
      <c r="H1589">
        <f>'[1]Processed Data'!H1589</f>
        <v>0</v>
      </c>
      <c r="I1589">
        <f>'[1]Processed Data'!I1589</f>
        <v>0</v>
      </c>
      <c r="J1589">
        <f>'[1]Processed Data'!J1589</f>
        <v>0</v>
      </c>
      <c r="K1589">
        <f>'[1]Processed Data'!K1589</f>
        <v>0</v>
      </c>
      <c r="L1589">
        <f>'[1]Processed Data'!L1589</f>
        <v>0</v>
      </c>
      <c r="M1589">
        <f>'[1]Processed Data'!M1589</f>
        <v>0</v>
      </c>
      <c r="N1589">
        <f>'[1]Processed Data'!N1589</f>
        <v>0</v>
      </c>
      <c r="O1589">
        <f>'[1]Processed Data'!O1589</f>
        <v>0</v>
      </c>
      <c r="P1589">
        <f>'[1]Processed Data'!P1589</f>
        <v>0</v>
      </c>
      <c r="Q1589">
        <f>'[1]Processed Data'!Q1589</f>
        <v>0</v>
      </c>
    </row>
    <row r="1590" spans="2:17" hidden="1">
      <c r="B1590">
        <f>'[1]Processed Data'!B1590</f>
        <v>2011</v>
      </c>
      <c r="C1590">
        <f>'[1]Processed Data'!C1590</f>
        <v>69</v>
      </c>
      <c r="D1590" t="str">
        <f>'[1]Processed Data'!D1590</f>
        <v>Tua Tagovailoa</v>
      </c>
      <c r="E1590">
        <v>2010</v>
      </c>
      <c r="F1590">
        <f>'[1]Processed Data'!F1590</f>
        <v>0</v>
      </c>
      <c r="G1590">
        <f>'[1]Processed Data'!G1590</f>
        <v>0</v>
      </c>
      <c r="H1590">
        <f>'[1]Processed Data'!H1590</f>
        <v>0</v>
      </c>
      <c r="I1590">
        <f>'[1]Processed Data'!I1590</f>
        <v>0</v>
      </c>
      <c r="J1590">
        <f>'[1]Processed Data'!J1590</f>
        <v>0</v>
      </c>
      <c r="K1590">
        <f>'[1]Processed Data'!K1590</f>
        <v>0</v>
      </c>
      <c r="L1590">
        <f>'[1]Processed Data'!L1590</f>
        <v>0</v>
      </c>
      <c r="M1590">
        <f>'[1]Processed Data'!M1590</f>
        <v>0</v>
      </c>
      <c r="N1590">
        <f>'[1]Processed Data'!N1590</f>
        <v>0</v>
      </c>
      <c r="O1590">
        <f>'[1]Processed Data'!O1590</f>
        <v>0</v>
      </c>
      <c r="P1590">
        <f>'[1]Processed Data'!P1590</f>
        <v>0</v>
      </c>
      <c r="Q1590">
        <f>'[1]Processed Data'!Q1590</f>
        <v>0</v>
      </c>
    </row>
    <row r="1591" spans="2:17" hidden="1">
      <c r="B1591">
        <f>'[1]Processed Data'!B1591</f>
        <v>2011</v>
      </c>
      <c r="C1591">
        <f>'[1]Processed Data'!C1591</f>
        <v>70</v>
      </c>
      <c r="D1591" t="str">
        <f>'[1]Processed Data'!D1591</f>
        <v>Joe Burrow</v>
      </c>
      <c r="E1591">
        <v>2010</v>
      </c>
      <c r="F1591">
        <f>'[1]Processed Data'!F1591</f>
        <v>0</v>
      </c>
      <c r="G1591">
        <f>'[1]Processed Data'!G1591</f>
        <v>0</v>
      </c>
      <c r="H1591">
        <f>'[1]Processed Data'!H1591</f>
        <v>0</v>
      </c>
      <c r="I1591">
        <f>'[1]Processed Data'!I1591</f>
        <v>0</v>
      </c>
      <c r="J1591">
        <f>'[1]Processed Data'!J1591</f>
        <v>0</v>
      </c>
      <c r="K1591">
        <f>'[1]Processed Data'!K1591</f>
        <v>0</v>
      </c>
      <c r="L1591">
        <f>'[1]Processed Data'!L1591</f>
        <v>0</v>
      </c>
      <c r="M1591">
        <f>'[1]Processed Data'!M1591</f>
        <v>0</v>
      </c>
      <c r="N1591">
        <f>'[1]Processed Data'!N1591</f>
        <v>0</v>
      </c>
      <c r="O1591">
        <f>'[1]Processed Data'!O1591</f>
        <v>0</v>
      </c>
      <c r="P1591">
        <f>'[1]Processed Data'!P1591</f>
        <v>0</v>
      </c>
      <c r="Q1591">
        <f>'[1]Processed Data'!Q1591</f>
        <v>0</v>
      </c>
    </row>
    <row r="1592" spans="2:17" hidden="1">
      <c r="B1592">
        <f>'[1]Processed Data'!B1592</f>
        <v>2011</v>
      </c>
      <c r="C1592">
        <f>'[1]Processed Data'!C1592</f>
        <v>71</v>
      </c>
      <c r="D1592" t="str">
        <f>'[1]Processed Data'!D1592</f>
        <v>Ryan Willis</v>
      </c>
      <c r="E1592">
        <v>2010</v>
      </c>
      <c r="F1592">
        <f>'[1]Processed Data'!F1592</f>
        <v>0</v>
      </c>
      <c r="G1592">
        <f>'[1]Processed Data'!G1592</f>
        <v>0</v>
      </c>
      <c r="H1592">
        <f>'[1]Processed Data'!H1592</f>
        <v>0</v>
      </c>
      <c r="I1592">
        <f>'[1]Processed Data'!I1592</f>
        <v>0</v>
      </c>
      <c r="J1592">
        <f>'[1]Processed Data'!J1592</f>
        <v>0</v>
      </c>
      <c r="K1592">
        <f>'[1]Processed Data'!K1592</f>
        <v>0</v>
      </c>
      <c r="L1592">
        <f>'[1]Processed Data'!L1592</f>
        <v>0</v>
      </c>
      <c r="M1592">
        <f>'[1]Processed Data'!M1592</f>
        <v>0</v>
      </c>
      <c r="N1592">
        <f>'[1]Processed Data'!N1592</f>
        <v>0</v>
      </c>
      <c r="O1592">
        <f>'[1]Processed Data'!O1592</f>
        <v>0</v>
      </c>
      <c r="P1592">
        <f>'[1]Processed Data'!P1592</f>
        <v>0</v>
      </c>
      <c r="Q1592">
        <f>'[1]Processed Data'!Q1592</f>
        <v>0</v>
      </c>
    </row>
    <row r="1593" spans="2:17" hidden="1">
      <c r="B1593">
        <f>'[1]Processed Data'!B1593</f>
        <v>2011</v>
      </c>
      <c r="C1593">
        <f>'[1]Processed Data'!C1593</f>
        <v>72</v>
      </c>
      <c r="D1593" t="str">
        <f>'[1]Processed Data'!D1593</f>
        <v>Zach Wilson</v>
      </c>
      <c r="E1593">
        <v>2010</v>
      </c>
      <c r="F1593">
        <f>'[1]Processed Data'!F1593</f>
        <v>0</v>
      </c>
      <c r="G1593">
        <f>'[1]Processed Data'!G1593</f>
        <v>0</v>
      </c>
      <c r="H1593">
        <f>'[1]Processed Data'!H1593</f>
        <v>0</v>
      </c>
      <c r="I1593">
        <f>'[1]Processed Data'!I1593</f>
        <v>0</v>
      </c>
      <c r="J1593">
        <f>'[1]Processed Data'!J1593</f>
        <v>0</v>
      </c>
      <c r="K1593">
        <f>'[1]Processed Data'!K1593</f>
        <v>0</v>
      </c>
      <c r="L1593">
        <f>'[1]Processed Data'!L1593</f>
        <v>0</v>
      </c>
      <c r="M1593">
        <f>'[1]Processed Data'!M1593</f>
        <v>0</v>
      </c>
      <c r="N1593">
        <f>'[1]Processed Data'!N1593</f>
        <v>0</v>
      </c>
      <c r="O1593">
        <f>'[1]Processed Data'!O1593</f>
        <v>0</v>
      </c>
      <c r="P1593">
        <f>'[1]Processed Data'!P1593</f>
        <v>0</v>
      </c>
      <c r="Q1593">
        <f>'[1]Processed Data'!Q1593</f>
        <v>0</v>
      </c>
    </row>
    <row r="1594" spans="2:17" hidden="1">
      <c r="B1594">
        <f>'[1]Processed Data'!B1594</f>
        <v>2011</v>
      </c>
      <c r="C1594">
        <f>'[1]Processed Data'!C1594</f>
        <v>73</v>
      </c>
      <c r="D1594" t="str">
        <f>'[1]Processed Data'!D1594</f>
        <v>Davis Mills</v>
      </c>
      <c r="E1594">
        <v>2010</v>
      </c>
      <c r="F1594">
        <f>'[1]Processed Data'!F1594</f>
        <v>0</v>
      </c>
      <c r="G1594">
        <f>'[1]Processed Data'!G1594</f>
        <v>0</v>
      </c>
      <c r="H1594">
        <f>'[1]Processed Data'!H1594</f>
        <v>0</v>
      </c>
      <c r="I1594">
        <f>'[1]Processed Data'!I1594</f>
        <v>0</v>
      </c>
      <c r="J1594">
        <f>'[1]Processed Data'!J1594</f>
        <v>0</v>
      </c>
      <c r="K1594">
        <f>'[1]Processed Data'!K1594</f>
        <v>0</v>
      </c>
      <c r="L1594">
        <f>'[1]Processed Data'!L1594</f>
        <v>0</v>
      </c>
      <c r="M1594">
        <f>'[1]Processed Data'!M1594</f>
        <v>0</v>
      </c>
      <c r="N1594">
        <f>'[1]Processed Data'!N1594</f>
        <v>0</v>
      </c>
      <c r="O1594">
        <f>'[1]Processed Data'!O1594</f>
        <v>0</v>
      </c>
      <c r="P1594">
        <f>'[1]Processed Data'!P1594</f>
        <v>0</v>
      </c>
      <c r="Q1594">
        <f>'[1]Processed Data'!Q1594</f>
        <v>0</v>
      </c>
    </row>
    <row r="1595" spans="2:17" hidden="1">
      <c r="B1595">
        <f>'[1]Processed Data'!B1595</f>
        <v>2011</v>
      </c>
      <c r="C1595">
        <f>'[1]Processed Data'!C1595</f>
        <v>74</v>
      </c>
      <c r="D1595" t="str">
        <f>'[1]Processed Data'!D1595</f>
        <v>Mike White</v>
      </c>
      <c r="E1595">
        <v>2010</v>
      </c>
      <c r="F1595">
        <f>'[1]Processed Data'!F1595</f>
        <v>0</v>
      </c>
      <c r="G1595">
        <f>'[1]Processed Data'!G1595</f>
        <v>0</v>
      </c>
      <c r="H1595">
        <f>'[1]Processed Data'!H1595</f>
        <v>0</v>
      </c>
      <c r="I1595">
        <f>'[1]Processed Data'!I1595</f>
        <v>0</v>
      </c>
      <c r="J1595">
        <f>'[1]Processed Data'!J1595</f>
        <v>0</v>
      </c>
      <c r="K1595">
        <f>'[1]Processed Data'!K1595</f>
        <v>0</v>
      </c>
      <c r="L1595">
        <f>'[1]Processed Data'!L1595</f>
        <v>0</v>
      </c>
      <c r="M1595">
        <f>'[1]Processed Data'!M1595</f>
        <v>0</v>
      </c>
      <c r="N1595">
        <f>'[1]Processed Data'!N1595</f>
        <v>0</v>
      </c>
      <c r="O1595">
        <f>'[1]Processed Data'!O1595</f>
        <v>0</v>
      </c>
      <c r="P1595">
        <f>'[1]Processed Data'!P1595</f>
        <v>0</v>
      </c>
      <c r="Q1595">
        <f>'[1]Processed Data'!Q1595</f>
        <v>0</v>
      </c>
    </row>
    <row r="1596" spans="2:17" hidden="1">
      <c r="B1596">
        <f>'[1]Processed Data'!B1596</f>
        <v>2011</v>
      </c>
      <c r="C1596">
        <f>'[1]Processed Data'!C1596</f>
        <v>75</v>
      </c>
      <c r="D1596" t="str">
        <f>'[1]Processed Data'!D1596</f>
        <v>Lamar Jackson</v>
      </c>
      <c r="E1596">
        <v>2010</v>
      </c>
      <c r="F1596">
        <f>'[1]Processed Data'!F1596</f>
        <v>0</v>
      </c>
      <c r="G1596">
        <f>'[1]Processed Data'!G1596</f>
        <v>0</v>
      </c>
      <c r="H1596">
        <f>'[1]Processed Data'!H1596</f>
        <v>0</v>
      </c>
      <c r="I1596">
        <f>'[1]Processed Data'!I1596</f>
        <v>0</v>
      </c>
      <c r="J1596">
        <f>'[1]Processed Data'!J1596</f>
        <v>0</v>
      </c>
      <c r="K1596">
        <f>'[1]Processed Data'!K1596</f>
        <v>0</v>
      </c>
      <c r="L1596">
        <f>'[1]Processed Data'!L1596</f>
        <v>0</v>
      </c>
      <c r="M1596">
        <f>'[1]Processed Data'!M1596</f>
        <v>0</v>
      </c>
      <c r="N1596">
        <f>'[1]Processed Data'!N1596</f>
        <v>0</v>
      </c>
      <c r="O1596">
        <f>'[1]Processed Data'!O1596</f>
        <v>0</v>
      </c>
      <c r="P1596">
        <f>'[1]Processed Data'!P1596</f>
        <v>0</v>
      </c>
      <c r="Q1596">
        <f>'[1]Processed Data'!Q1596</f>
        <v>0</v>
      </c>
    </row>
    <row r="1597" spans="2:17" hidden="1">
      <c r="B1597">
        <f>'[1]Processed Data'!B1597</f>
        <v>2011</v>
      </c>
      <c r="C1597">
        <f>'[1]Processed Data'!C1597</f>
        <v>76</v>
      </c>
      <c r="D1597" t="str">
        <f>'[1]Processed Data'!D1597</f>
        <v>Jake Locker</v>
      </c>
      <c r="E1597">
        <v>2010</v>
      </c>
      <c r="F1597">
        <f>'[1]Processed Data'!F1597</f>
        <v>34</v>
      </c>
      <c r="G1597">
        <f>'[1]Processed Data'!G1597</f>
        <v>66</v>
      </c>
      <c r="H1597">
        <f>'[1]Processed Data'!H1597</f>
        <v>51.5</v>
      </c>
      <c r="I1597">
        <f>'[1]Processed Data'!I1597</f>
        <v>4</v>
      </c>
      <c r="J1597">
        <f>'[1]Processed Data'!J1597</f>
        <v>0</v>
      </c>
      <c r="K1597">
        <f>'[1]Processed Data'!K1597</f>
        <v>5</v>
      </c>
      <c r="L1597">
        <f>'[1]Processed Data'!L1597</f>
        <v>8</v>
      </c>
      <c r="M1597">
        <f>'[1]Processed Data'!M1597</f>
        <v>56</v>
      </c>
      <c r="N1597">
        <f>'[1]Processed Data'!N1597</f>
        <v>1</v>
      </c>
      <c r="O1597">
        <f>'[1]Processed Data'!O1597</f>
        <v>0</v>
      </c>
      <c r="P1597">
        <f>'[1]Processed Data'!P1597</f>
        <v>0</v>
      </c>
      <c r="Q1597">
        <f>'[1]Processed Data'!Q1597</f>
        <v>5</v>
      </c>
    </row>
    <row r="1598" spans="2:17" hidden="1">
      <c r="B1598">
        <f>'[1]Processed Data'!B1598</f>
        <v>2011</v>
      </c>
      <c r="C1598">
        <f>'[1]Processed Data'!C1598</f>
        <v>77</v>
      </c>
      <c r="D1598" t="str">
        <f>'[1]Processed Data'!D1598</f>
        <v>Christian Ponder</v>
      </c>
      <c r="E1598">
        <v>2010</v>
      </c>
      <c r="F1598">
        <f>'[1]Processed Data'!F1598</f>
        <v>158</v>
      </c>
      <c r="G1598">
        <f>'[1]Processed Data'!G1598</f>
        <v>291</v>
      </c>
      <c r="H1598">
        <f>'[1]Processed Data'!H1598</f>
        <v>54.3</v>
      </c>
      <c r="I1598">
        <f>'[1]Processed Data'!I1598</f>
        <v>13</v>
      </c>
      <c r="J1598">
        <f>'[1]Processed Data'!J1598</f>
        <v>13</v>
      </c>
      <c r="K1598">
        <f>'[1]Processed Data'!K1598</f>
        <v>30</v>
      </c>
      <c r="L1598">
        <f>'[1]Processed Data'!L1598</f>
        <v>28</v>
      </c>
      <c r="M1598">
        <f>'[1]Processed Data'!M1598</f>
        <v>219</v>
      </c>
      <c r="N1598">
        <f>'[1]Processed Data'!N1598</f>
        <v>0</v>
      </c>
      <c r="O1598">
        <f>'[1]Processed Data'!O1598</f>
        <v>2</v>
      </c>
      <c r="P1598">
        <f>'[1]Processed Data'!P1598</f>
        <v>0</v>
      </c>
      <c r="Q1598">
        <f>'[1]Processed Data'!Q1598</f>
        <v>11</v>
      </c>
    </row>
    <row r="1599" spans="2:17" hidden="1">
      <c r="B1599">
        <f>'[1]Processed Data'!B1599</f>
        <v>2011</v>
      </c>
      <c r="C1599">
        <f>'[1]Processed Data'!C1599</f>
        <v>78</v>
      </c>
      <c r="D1599" t="str">
        <f>'[1]Processed Data'!D1599</f>
        <v>Colin Kaepernick</v>
      </c>
      <c r="E1599">
        <v>2010</v>
      </c>
      <c r="F1599">
        <f>'[1]Processed Data'!F1599</f>
        <v>3</v>
      </c>
      <c r="G1599">
        <f>'[1]Processed Data'!G1599</f>
        <v>5</v>
      </c>
      <c r="H1599">
        <f>'[1]Processed Data'!H1599</f>
        <v>60</v>
      </c>
      <c r="I1599">
        <f>'[1]Processed Data'!I1599</f>
        <v>0</v>
      </c>
      <c r="J1599">
        <f>'[1]Processed Data'!J1599</f>
        <v>0</v>
      </c>
      <c r="K1599">
        <f>'[1]Processed Data'!K1599</f>
        <v>0</v>
      </c>
      <c r="L1599">
        <f>'[1]Processed Data'!L1599</f>
        <v>2</v>
      </c>
      <c r="M1599">
        <f>'[1]Processed Data'!M1599</f>
        <v>-2</v>
      </c>
      <c r="N1599">
        <f>'[1]Processed Data'!N1599</f>
        <v>0</v>
      </c>
      <c r="O1599">
        <f>'[1]Processed Data'!O1599</f>
        <v>0</v>
      </c>
      <c r="P1599">
        <f>'[1]Processed Data'!P1599</f>
        <v>0</v>
      </c>
      <c r="Q1599">
        <f>'[1]Processed Data'!Q1599</f>
        <v>3</v>
      </c>
    </row>
    <row r="1600" spans="2:17" hidden="1">
      <c r="B1600">
        <f>'[1]Processed Data'!B1600</f>
        <v>2011</v>
      </c>
      <c r="C1600">
        <f>'[1]Processed Data'!C1600</f>
        <v>79</v>
      </c>
      <c r="D1600" t="str">
        <f>'[1]Processed Data'!D1600</f>
        <v>T.J. Yates</v>
      </c>
      <c r="E1600">
        <v>2010</v>
      </c>
      <c r="F1600">
        <f>'[1]Processed Data'!F1600</f>
        <v>82</v>
      </c>
      <c r="G1600">
        <f>'[1]Processed Data'!G1600</f>
        <v>134</v>
      </c>
      <c r="H1600">
        <f>'[1]Processed Data'!H1600</f>
        <v>61.2</v>
      </c>
      <c r="I1600">
        <f>'[1]Processed Data'!I1600</f>
        <v>3</v>
      </c>
      <c r="J1600">
        <f>'[1]Processed Data'!J1600</f>
        <v>3</v>
      </c>
      <c r="K1600">
        <f>'[1]Processed Data'!K1600</f>
        <v>15</v>
      </c>
      <c r="L1600">
        <f>'[1]Processed Data'!L1600</f>
        <v>14</v>
      </c>
      <c r="M1600">
        <f>'[1]Processed Data'!M1600</f>
        <v>57</v>
      </c>
      <c r="N1600">
        <f>'[1]Processed Data'!N1600</f>
        <v>0</v>
      </c>
      <c r="O1600">
        <f>'[1]Processed Data'!O1600</f>
        <v>3</v>
      </c>
      <c r="P1600">
        <f>'[1]Processed Data'!P1600</f>
        <v>0</v>
      </c>
      <c r="Q1600">
        <f>'[1]Processed Data'!Q1600</f>
        <v>6</v>
      </c>
    </row>
    <row r="1601" spans="2:17" hidden="1">
      <c r="B1601">
        <f>'[1]Processed Data'!B1601</f>
        <v>2011</v>
      </c>
      <c r="C1601">
        <f>'[1]Processed Data'!C1601</f>
        <v>80</v>
      </c>
      <c r="D1601" t="str">
        <f>'[1]Processed Data'!D1601</f>
        <v>Ben Chappell</v>
      </c>
      <c r="E1601">
        <v>2010</v>
      </c>
      <c r="F1601">
        <f>'[1]Processed Data'!F1601</f>
        <v>0</v>
      </c>
      <c r="G1601">
        <f>'[1]Processed Data'!G1601</f>
        <v>0</v>
      </c>
      <c r="H1601">
        <f>'[1]Processed Data'!H1601</f>
        <v>0</v>
      </c>
      <c r="I1601">
        <f>'[1]Processed Data'!I1601</f>
        <v>0</v>
      </c>
      <c r="J1601">
        <f>'[1]Processed Data'!J1601</f>
        <v>0</v>
      </c>
      <c r="K1601">
        <f>'[1]Processed Data'!K1601</f>
        <v>0</v>
      </c>
      <c r="L1601">
        <f>'[1]Processed Data'!L1601</f>
        <v>0</v>
      </c>
      <c r="M1601">
        <f>'[1]Processed Data'!M1601</f>
        <v>0</v>
      </c>
      <c r="N1601">
        <f>'[1]Processed Data'!N1601</f>
        <v>0</v>
      </c>
      <c r="O1601">
        <f>'[1]Processed Data'!O1601</f>
        <v>0</v>
      </c>
      <c r="P1601">
        <f>'[1]Processed Data'!P1601</f>
        <v>0</v>
      </c>
      <c r="Q1601">
        <f>'[1]Processed Data'!Q1601</f>
        <v>0</v>
      </c>
    </row>
    <row r="1602" spans="2:17" hidden="1">
      <c r="B1602">
        <f>'[1]Processed Data'!B1602</f>
        <v>2011</v>
      </c>
      <c r="C1602">
        <f>'[1]Processed Data'!C1602</f>
        <v>81</v>
      </c>
      <c r="D1602" t="str">
        <f>'[1]Processed Data'!D1602</f>
        <v>Adam Froman</v>
      </c>
      <c r="E1602">
        <v>2010</v>
      </c>
      <c r="F1602">
        <f>'[1]Processed Data'!F1602</f>
        <v>0</v>
      </c>
      <c r="G1602">
        <f>'[1]Processed Data'!G1602</f>
        <v>0</v>
      </c>
      <c r="H1602">
        <f>'[1]Processed Data'!H1602</f>
        <v>0</v>
      </c>
      <c r="I1602">
        <f>'[1]Processed Data'!I1602</f>
        <v>0</v>
      </c>
      <c r="J1602">
        <f>'[1]Processed Data'!J1602</f>
        <v>0</v>
      </c>
      <c r="K1602">
        <f>'[1]Processed Data'!K1602</f>
        <v>0</v>
      </c>
      <c r="L1602">
        <f>'[1]Processed Data'!L1602</f>
        <v>0</v>
      </c>
      <c r="M1602">
        <f>'[1]Processed Data'!M1602</f>
        <v>0</v>
      </c>
      <c r="N1602">
        <f>'[1]Processed Data'!N1602</f>
        <v>0</v>
      </c>
      <c r="O1602">
        <f>'[1]Processed Data'!O1602</f>
        <v>0</v>
      </c>
      <c r="P1602">
        <f>'[1]Processed Data'!P1602</f>
        <v>0</v>
      </c>
      <c r="Q1602">
        <f>'[1]Processed Data'!Q1602</f>
        <v>0</v>
      </c>
    </row>
    <row r="1603" spans="2:17" hidden="1">
      <c r="B1603">
        <f>'[1]Processed Data'!B1603</f>
        <v>2011</v>
      </c>
      <c r="C1603">
        <f>'[1]Processed Data'!C1603</f>
        <v>82</v>
      </c>
      <c r="D1603" t="str">
        <f>'[1]Processed Data'!D1603</f>
        <v>John David Booty</v>
      </c>
      <c r="E1603">
        <v>2010</v>
      </c>
      <c r="F1603">
        <f>'[1]Processed Data'!F1603</f>
        <v>0</v>
      </c>
      <c r="G1603">
        <f>'[1]Processed Data'!G1603</f>
        <v>0</v>
      </c>
      <c r="H1603">
        <f>'[1]Processed Data'!H1603</f>
        <v>0</v>
      </c>
      <c r="I1603">
        <f>'[1]Processed Data'!I1603</f>
        <v>0</v>
      </c>
      <c r="J1603">
        <f>'[1]Processed Data'!J1603</f>
        <v>0</v>
      </c>
      <c r="K1603">
        <f>'[1]Processed Data'!K1603</f>
        <v>0</v>
      </c>
      <c r="L1603">
        <f>'[1]Processed Data'!L1603</f>
        <v>0</v>
      </c>
      <c r="M1603">
        <f>'[1]Processed Data'!M1603</f>
        <v>0</v>
      </c>
      <c r="N1603">
        <f>'[1]Processed Data'!N1603</f>
        <v>0</v>
      </c>
      <c r="O1603">
        <f>'[1]Processed Data'!O1603</f>
        <v>0</v>
      </c>
      <c r="P1603">
        <f>'[1]Processed Data'!P1603</f>
        <v>0</v>
      </c>
      <c r="Q1603">
        <f>'[1]Processed Data'!Q1603</f>
        <v>0</v>
      </c>
    </row>
    <row r="1604" spans="2:17" hidden="1">
      <c r="B1604">
        <f>'[1]Processed Data'!B1604</f>
        <v>2011</v>
      </c>
      <c r="C1604">
        <f>'[1]Processed Data'!C1604</f>
        <v>83</v>
      </c>
      <c r="D1604" t="str">
        <f>'[1]Processed Data'!D1604</f>
        <v>Erik Ainge</v>
      </c>
      <c r="E1604">
        <v>2010</v>
      </c>
      <c r="F1604">
        <f>'[1]Processed Data'!F1604</f>
        <v>0</v>
      </c>
      <c r="G1604">
        <f>'[1]Processed Data'!G1604</f>
        <v>0</v>
      </c>
      <c r="H1604">
        <f>'[1]Processed Data'!H1604</f>
        <v>0</v>
      </c>
      <c r="I1604">
        <f>'[1]Processed Data'!I1604</f>
        <v>0</v>
      </c>
      <c r="J1604">
        <f>'[1]Processed Data'!J1604</f>
        <v>0</v>
      </c>
      <c r="K1604">
        <f>'[1]Processed Data'!K1604</f>
        <v>0</v>
      </c>
      <c r="L1604">
        <f>'[1]Processed Data'!L1604</f>
        <v>0</v>
      </c>
      <c r="M1604">
        <f>'[1]Processed Data'!M1604</f>
        <v>0</v>
      </c>
      <c r="N1604">
        <f>'[1]Processed Data'!N1604</f>
        <v>0</v>
      </c>
      <c r="O1604">
        <f>'[1]Processed Data'!O1604</f>
        <v>0</v>
      </c>
      <c r="P1604">
        <f>'[1]Processed Data'!P1604</f>
        <v>0</v>
      </c>
      <c r="Q1604">
        <f>'[1]Processed Data'!Q1604</f>
        <v>0</v>
      </c>
    </row>
    <row r="1605" spans="2:17" hidden="1">
      <c r="B1605">
        <f>'[1]Processed Data'!B1605</f>
        <v>2011</v>
      </c>
      <c r="C1605">
        <f>'[1]Processed Data'!C1605</f>
        <v>84</v>
      </c>
      <c r="D1605" t="str">
        <f>'[1]Processed Data'!D1605</f>
        <v>Stephen McGee</v>
      </c>
      <c r="E1605">
        <v>2010</v>
      </c>
      <c r="F1605">
        <f>'[1]Processed Data'!F1605</f>
        <v>24</v>
      </c>
      <c r="G1605">
        <f>'[1]Processed Data'!G1605</f>
        <v>38</v>
      </c>
      <c r="H1605">
        <f>'[1]Processed Data'!H1605</f>
        <v>63.2</v>
      </c>
      <c r="I1605">
        <f>'[1]Processed Data'!I1605</f>
        <v>1</v>
      </c>
      <c r="J1605">
        <f>'[1]Processed Data'!J1605</f>
        <v>0</v>
      </c>
      <c r="K1605">
        <f>'[1]Processed Data'!K1605</f>
        <v>3</v>
      </c>
      <c r="L1605">
        <f>'[1]Processed Data'!L1605</f>
        <v>4</v>
      </c>
      <c r="M1605">
        <f>'[1]Processed Data'!M1605</f>
        <v>28</v>
      </c>
      <c r="N1605">
        <f>'[1]Processed Data'!N1605</f>
        <v>0</v>
      </c>
      <c r="O1605">
        <f>'[1]Processed Data'!O1605</f>
        <v>0</v>
      </c>
      <c r="P1605">
        <f>'[1]Processed Data'!P1605</f>
        <v>0</v>
      </c>
      <c r="Q1605">
        <f>'[1]Processed Data'!Q1605</f>
        <v>1</v>
      </c>
    </row>
    <row r="1606" spans="2:17" hidden="1">
      <c r="B1606">
        <f>'[1]Processed Data'!B1606</f>
        <v>2011</v>
      </c>
      <c r="C1606">
        <f>'[1]Processed Data'!C1606</f>
        <v>85</v>
      </c>
      <c r="D1606" t="str">
        <f>'[1]Processed Data'!D1606</f>
        <v>Hunter Cantwell</v>
      </c>
      <c r="E1606">
        <v>2010</v>
      </c>
      <c r="F1606">
        <f>'[1]Processed Data'!F1606</f>
        <v>0</v>
      </c>
      <c r="G1606">
        <f>'[1]Processed Data'!G1606</f>
        <v>0</v>
      </c>
      <c r="H1606">
        <f>'[1]Processed Data'!H1606</f>
        <v>0</v>
      </c>
      <c r="I1606">
        <f>'[1]Processed Data'!I1606</f>
        <v>0</v>
      </c>
      <c r="J1606">
        <f>'[1]Processed Data'!J1606</f>
        <v>0</v>
      </c>
      <c r="K1606">
        <f>'[1]Processed Data'!K1606</f>
        <v>0</v>
      </c>
      <c r="L1606">
        <f>'[1]Processed Data'!L1606</f>
        <v>0</v>
      </c>
      <c r="M1606">
        <f>'[1]Processed Data'!M1606</f>
        <v>0</v>
      </c>
      <c r="N1606">
        <f>'[1]Processed Data'!N1606</f>
        <v>0</v>
      </c>
      <c r="O1606">
        <f>'[1]Processed Data'!O1606</f>
        <v>0</v>
      </c>
      <c r="P1606">
        <f>'[1]Processed Data'!P1606</f>
        <v>0</v>
      </c>
      <c r="Q1606">
        <f>'[1]Processed Data'!Q1606</f>
        <v>0</v>
      </c>
    </row>
    <row r="1607" spans="2:17" hidden="1">
      <c r="B1607">
        <f>'[1]Processed Data'!B1607</f>
        <v>2011</v>
      </c>
      <c r="C1607">
        <f>'[1]Processed Data'!C1607</f>
        <v>86</v>
      </c>
      <c r="D1607" t="str">
        <f>'[1]Processed Data'!D1607</f>
        <v>Mike Kafka</v>
      </c>
      <c r="E1607">
        <v>2010</v>
      </c>
      <c r="F1607">
        <f>'[1]Processed Data'!F1607</f>
        <v>11</v>
      </c>
      <c r="G1607">
        <f>'[1]Processed Data'!G1607</f>
        <v>16</v>
      </c>
      <c r="H1607">
        <f>'[1]Processed Data'!H1607</f>
        <v>68.8</v>
      </c>
      <c r="I1607">
        <f>'[1]Processed Data'!I1607</f>
        <v>0</v>
      </c>
      <c r="J1607">
        <f>'[1]Processed Data'!J1607</f>
        <v>2</v>
      </c>
      <c r="K1607">
        <f>'[1]Processed Data'!K1607</f>
        <v>1</v>
      </c>
      <c r="L1607">
        <f>'[1]Processed Data'!L1607</f>
        <v>3</v>
      </c>
      <c r="M1607">
        <f>'[1]Processed Data'!M1607</f>
        <v>0</v>
      </c>
      <c r="N1607">
        <f>'[1]Processed Data'!N1607</f>
        <v>0</v>
      </c>
      <c r="O1607">
        <f>'[1]Processed Data'!O1607</f>
        <v>0</v>
      </c>
      <c r="P1607">
        <f>'[1]Processed Data'!P1607</f>
        <v>0</v>
      </c>
      <c r="Q1607">
        <f>'[1]Processed Data'!Q1607</f>
        <v>4</v>
      </c>
    </row>
    <row r="1608" spans="2:17" hidden="1">
      <c r="B1608">
        <f>'[1]Processed Data'!B1608</f>
        <v>2011</v>
      </c>
      <c r="C1608">
        <f>'[1]Processed Data'!C1608</f>
        <v>87</v>
      </c>
      <c r="D1608" t="str">
        <f>'[1]Processed Data'!D1608</f>
        <v>Levi Brown</v>
      </c>
      <c r="E1608">
        <v>2010</v>
      </c>
      <c r="F1608">
        <f>'[1]Processed Data'!F1608</f>
        <v>0</v>
      </c>
      <c r="G1608">
        <f>'[1]Processed Data'!G1608</f>
        <v>0</v>
      </c>
      <c r="H1608">
        <f>'[1]Processed Data'!H1608</f>
        <v>0</v>
      </c>
      <c r="I1608">
        <f>'[1]Processed Data'!I1608</f>
        <v>0</v>
      </c>
      <c r="J1608">
        <f>'[1]Processed Data'!J1608</f>
        <v>0</v>
      </c>
      <c r="K1608">
        <f>'[1]Processed Data'!K1608</f>
        <v>0</v>
      </c>
      <c r="L1608">
        <f>'[1]Processed Data'!L1608</f>
        <v>0</v>
      </c>
      <c r="M1608">
        <f>'[1]Processed Data'!M1608</f>
        <v>0</v>
      </c>
      <c r="N1608">
        <f>'[1]Processed Data'!N1608</f>
        <v>0</v>
      </c>
      <c r="O1608">
        <f>'[1]Processed Data'!O1608</f>
        <v>0</v>
      </c>
      <c r="P1608">
        <f>'[1]Processed Data'!P1608</f>
        <v>0</v>
      </c>
      <c r="Q1608">
        <f>'[1]Processed Data'!Q1608</f>
        <v>16</v>
      </c>
    </row>
    <row r="1609" spans="2:17" hidden="1">
      <c r="B1609">
        <f>'[1]Processed Data'!B1609</f>
        <v>2011</v>
      </c>
      <c r="C1609">
        <f>'[1]Processed Data'!C1609</f>
        <v>88</v>
      </c>
      <c r="D1609" t="str">
        <f>'[1]Processed Data'!D1609</f>
        <v>Case Keenum</v>
      </c>
      <c r="E1609">
        <v>2010</v>
      </c>
      <c r="F1609">
        <f>'[1]Processed Data'!F1609</f>
        <v>0</v>
      </c>
      <c r="G1609">
        <f>'[1]Processed Data'!G1609</f>
        <v>0</v>
      </c>
      <c r="H1609">
        <f>'[1]Processed Data'!H1609</f>
        <v>0</v>
      </c>
      <c r="I1609">
        <f>'[1]Processed Data'!I1609</f>
        <v>0</v>
      </c>
      <c r="J1609">
        <f>'[1]Processed Data'!J1609</f>
        <v>0</v>
      </c>
      <c r="K1609">
        <f>'[1]Processed Data'!K1609</f>
        <v>0</v>
      </c>
      <c r="L1609">
        <f>'[1]Processed Data'!L1609</f>
        <v>0</v>
      </c>
      <c r="M1609">
        <f>'[1]Processed Data'!M1609</f>
        <v>0</v>
      </c>
      <c r="N1609">
        <f>'[1]Processed Data'!N1609</f>
        <v>0</v>
      </c>
      <c r="O1609">
        <f>'[1]Processed Data'!O1609</f>
        <v>0</v>
      </c>
      <c r="P1609">
        <f>'[1]Processed Data'!P1609</f>
        <v>0</v>
      </c>
      <c r="Q1609">
        <f>'[1]Processed Data'!Q1609</f>
        <v>0</v>
      </c>
    </row>
    <row r="1610" spans="2:17" hidden="1">
      <c r="B1610">
        <f>'[1]Processed Data'!B1610</f>
        <v>2011</v>
      </c>
      <c r="C1610">
        <f>'[1]Processed Data'!C1610</f>
        <v>89</v>
      </c>
      <c r="D1610" t="str">
        <f>'[1]Processed Data'!D1610</f>
        <v>Ryan Tannehill</v>
      </c>
      <c r="E1610">
        <v>2010</v>
      </c>
      <c r="F1610">
        <f>'[1]Processed Data'!F1610</f>
        <v>0</v>
      </c>
      <c r="G1610">
        <f>'[1]Processed Data'!G1610</f>
        <v>0</v>
      </c>
      <c r="H1610">
        <f>'[1]Processed Data'!H1610</f>
        <v>0</v>
      </c>
      <c r="I1610">
        <f>'[1]Processed Data'!I1610</f>
        <v>0</v>
      </c>
      <c r="J1610">
        <f>'[1]Processed Data'!J1610</f>
        <v>0</v>
      </c>
      <c r="K1610">
        <f>'[1]Processed Data'!K1610</f>
        <v>0</v>
      </c>
      <c r="L1610">
        <f>'[1]Processed Data'!L1610</f>
        <v>0</v>
      </c>
      <c r="M1610">
        <f>'[1]Processed Data'!M1610</f>
        <v>0</v>
      </c>
      <c r="N1610">
        <f>'[1]Processed Data'!N1610</f>
        <v>0</v>
      </c>
      <c r="O1610">
        <f>'[1]Processed Data'!O1610</f>
        <v>0</v>
      </c>
      <c r="P1610">
        <f>'[1]Processed Data'!P1610</f>
        <v>0</v>
      </c>
      <c r="Q1610">
        <f>'[1]Processed Data'!Q1610</f>
        <v>0</v>
      </c>
    </row>
    <row r="1611" spans="2:17" hidden="1">
      <c r="B1611">
        <f>'[1]Processed Data'!B1611</f>
        <v>2011</v>
      </c>
      <c r="C1611">
        <f>'[1]Processed Data'!C1611</f>
        <v>90</v>
      </c>
      <c r="D1611" t="str">
        <f>'[1]Processed Data'!D1611</f>
        <v>Nick Foles</v>
      </c>
      <c r="E1611">
        <v>2010</v>
      </c>
      <c r="F1611">
        <f>'[1]Processed Data'!F1611</f>
        <v>0</v>
      </c>
      <c r="G1611">
        <f>'[1]Processed Data'!G1611</f>
        <v>0</v>
      </c>
      <c r="H1611">
        <f>'[1]Processed Data'!H1611</f>
        <v>0</v>
      </c>
      <c r="I1611">
        <f>'[1]Processed Data'!I1611</f>
        <v>0</v>
      </c>
      <c r="J1611">
        <f>'[1]Processed Data'!J1611</f>
        <v>0</v>
      </c>
      <c r="K1611">
        <f>'[1]Processed Data'!K1611</f>
        <v>0</v>
      </c>
      <c r="L1611">
        <f>'[1]Processed Data'!L1611</f>
        <v>0</v>
      </c>
      <c r="M1611">
        <f>'[1]Processed Data'!M1611</f>
        <v>0</v>
      </c>
      <c r="N1611">
        <f>'[1]Processed Data'!N1611</f>
        <v>0</v>
      </c>
      <c r="O1611">
        <f>'[1]Processed Data'!O1611</f>
        <v>0</v>
      </c>
      <c r="P1611">
        <f>'[1]Processed Data'!P1611</f>
        <v>0</v>
      </c>
      <c r="Q1611">
        <f>'[1]Processed Data'!Q1611</f>
        <v>0</v>
      </c>
    </row>
    <row r="1612" spans="2:17" hidden="1">
      <c r="B1612">
        <f>'[1]Processed Data'!B1612</f>
        <v>2011</v>
      </c>
      <c r="C1612">
        <f>'[1]Processed Data'!C1612</f>
        <v>91</v>
      </c>
      <c r="D1612" t="str">
        <f>'[1]Processed Data'!D1612</f>
        <v>Kirk Cousins</v>
      </c>
      <c r="E1612">
        <v>2010</v>
      </c>
      <c r="F1612">
        <f>'[1]Processed Data'!F1612</f>
        <v>0</v>
      </c>
      <c r="G1612">
        <f>'[1]Processed Data'!G1612</f>
        <v>0</v>
      </c>
      <c r="H1612">
        <f>'[1]Processed Data'!H1612</f>
        <v>0</v>
      </c>
      <c r="I1612">
        <f>'[1]Processed Data'!I1612</f>
        <v>0</v>
      </c>
      <c r="J1612">
        <f>'[1]Processed Data'!J1612</f>
        <v>0</v>
      </c>
      <c r="K1612">
        <f>'[1]Processed Data'!K1612</f>
        <v>0</v>
      </c>
      <c r="L1612">
        <f>'[1]Processed Data'!L1612</f>
        <v>0</v>
      </c>
      <c r="M1612">
        <f>'[1]Processed Data'!M1612</f>
        <v>0</v>
      </c>
      <c r="N1612">
        <f>'[1]Processed Data'!N1612</f>
        <v>0</v>
      </c>
      <c r="O1612">
        <f>'[1]Processed Data'!O1612</f>
        <v>0</v>
      </c>
      <c r="P1612">
        <f>'[1]Processed Data'!P1612</f>
        <v>0</v>
      </c>
      <c r="Q1612">
        <f>'[1]Processed Data'!Q1612</f>
        <v>0</v>
      </c>
    </row>
    <row r="1613" spans="2:17" hidden="1">
      <c r="B1613">
        <f>'[1]Processed Data'!B1613</f>
        <v>2011</v>
      </c>
      <c r="C1613">
        <f>'[1]Processed Data'!C1613</f>
        <v>92</v>
      </c>
      <c r="D1613" t="str">
        <f>'[1]Processed Data'!D1613</f>
        <v>Russell Wilson</v>
      </c>
      <c r="E1613">
        <v>2010</v>
      </c>
      <c r="F1613">
        <f>'[1]Processed Data'!F1613</f>
        <v>0</v>
      </c>
      <c r="G1613">
        <f>'[1]Processed Data'!G1613</f>
        <v>0</v>
      </c>
      <c r="H1613">
        <f>'[1]Processed Data'!H1613</f>
        <v>0</v>
      </c>
      <c r="I1613">
        <f>'[1]Processed Data'!I1613</f>
        <v>0</v>
      </c>
      <c r="J1613">
        <f>'[1]Processed Data'!J1613</f>
        <v>0</v>
      </c>
      <c r="K1613">
        <f>'[1]Processed Data'!K1613</f>
        <v>0</v>
      </c>
      <c r="L1613">
        <f>'[1]Processed Data'!L1613</f>
        <v>0</v>
      </c>
      <c r="M1613">
        <f>'[1]Processed Data'!M1613</f>
        <v>0</v>
      </c>
      <c r="N1613">
        <f>'[1]Processed Data'!N1613</f>
        <v>0</v>
      </c>
      <c r="O1613">
        <f>'[1]Processed Data'!O1613</f>
        <v>0</v>
      </c>
      <c r="P1613">
        <f>'[1]Processed Data'!P1613</f>
        <v>0</v>
      </c>
      <c r="Q1613">
        <f>'[1]Processed Data'!Q1613</f>
        <v>0</v>
      </c>
    </row>
    <row r="1614" spans="2:17" hidden="1">
      <c r="B1614">
        <f>'[1]Processed Data'!B1614</f>
        <v>2011</v>
      </c>
      <c r="C1614">
        <f>'[1]Processed Data'!C1614</f>
        <v>93</v>
      </c>
      <c r="D1614" t="str">
        <f>'[1]Processed Data'!D1614</f>
        <v>Eli Manning</v>
      </c>
      <c r="E1614">
        <v>2010</v>
      </c>
      <c r="F1614">
        <f>'[1]Processed Data'!F1614</f>
        <v>359</v>
      </c>
      <c r="G1614">
        <f>'[1]Processed Data'!G1614</f>
        <v>589</v>
      </c>
      <c r="H1614">
        <f>'[1]Processed Data'!H1614</f>
        <v>61</v>
      </c>
      <c r="I1614">
        <f>'[1]Processed Data'!I1614</f>
        <v>29</v>
      </c>
      <c r="J1614">
        <f>'[1]Processed Data'!J1614</f>
        <v>16</v>
      </c>
      <c r="K1614">
        <f>'[1]Processed Data'!K1614</f>
        <v>28</v>
      </c>
      <c r="L1614">
        <f>'[1]Processed Data'!L1614</f>
        <v>35</v>
      </c>
      <c r="M1614">
        <f>'[1]Processed Data'!M1614</f>
        <v>15</v>
      </c>
      <c r="N1614">
        <f>'[1]Processed Data'!N1614</f>
        <v>1</v>
      </c>
      <c r="O1614">
        <f>'[1]Processed Data'!O1614</f>
        <v>4</v>
      </c>
      <c r="P1614">
        <f>'[1]Processed Data'!P1614</f>
        <v>0</v>
      </c>
      <c r="Q1614">
        <f>'[1]Processed Data'!Q1614</f>
        <v>16</v>
      </c>
    </row>
    <row r="1615" spans="2:17" hidden="1">
      <c r="B1615">
        <f>'[1]Processed Data'!B1615</f>
        <v>2011</v>
      </c>
      <c r="C1615">
        <f>'[1]Processed Data'!C1615</f>
        <v>94</v>
      </c>
      <c r="D1615" t="str">
        <f>'[1]Processed Data'!D1615</f>
        <v>Derek Anderson</v>
      </c>
      <c r="E1615">
        <v>2010</v>
      </c>
      <c r="F1615">
        <f>'[1]Processed Data'!F1615</f>
        <v>0</v>
      </c>
      <c r="G1615">
        <f>'[1]Processed Data'!G1615</f>
        <v>0</v>
      </c>
      <c r="H1615">
        <f>'[1]Processed Data'!H1615</f>
        <v>0</v>
      </c>
      <c r="I1615">
        <f>'[1]Processed Data'!I1615</f>
        <v>0</v>
      </c>
      <c r="J1615">
        <f>'[1]Processed Data'!J1615</f>
        <v>0</v>
      </c>
      <c r="K1615">
        <f>'[1]Processed Data'!K1615</f>
        <v>0</v>
      </c>
      <c r="L1615">
        <f>'[1]Processed Data'!L1615</f>
        <v>2</v>
      </c>
      <c r="M1615">
        <f>'[1]Processed Data'!M1615</f>
        <v>-2</v>
      </c>
      <c r="N1615">
        <f>'[1]Processed Data'!N1615</f>
        <v>0</v>
      </c>
      <c r="O1615">
        <f>'[1]Processed Data'!O1615</f>
        <v>0</v>
      </c>
      <c r="P1615">
        <f>'[1]Processed Data'!P1615</f>
        <v>0</v>
      </c>
      <c r="Q1615">
        <f>'[1]Processed Data'!Q1615</f>
        <v>2</v>
      </c>
    </row>
    <row r="1616" spans="2:17" hidden="1">
      <c r="B1616">
        <f>'[1]Processed Data'!B1616</f>
        <v>2011</v>
      </c>
      <c r="C1616">
        <f>'[1]Processed Data'!C1616</f>
        <v>95</v>
      </c>
      <c r="D1616" t="str">
        <f>'[1]Processed Data'!D1616</f>
        <v>Curtis Painter</v>
      </c>
      <c r="E1616">
        <v>2010</v>
      </c>
      <c r="F1616">
        <f>'[1]Processed Data'!F1616</f>
        <v>132</v>
      </c>
      <c r="G1616">
        <f>'[1]Processed Data'!G1616</f>
        <v>243</v>
      </c>
      <c r="H1616">
        <f>'[1]Processed Data'!H1616</f>
        <v>54.3</v>
      </c>
      <c r="I1616">
        <f>'[1]Processed Data'!I1616</f>
        <v>6</v>
      </c>
      <c r="J1616">
        <f>'[1]Processed Data'!J1616</f>
        <v>9</v>
      </c>
      <c r="K1616">
        <f>'[1]Processed Data'!K1616</f>
        <v>16</v>
      </c>
      <c r="L1616">
        <f>'[1]Processed Data'!L1616</f>
        <v>17</v>
      </c>
      <c r="M1616">
        <f>'[1]Processed Data'!M1616</f>
        <v>107</v>
      </c>
      <c r="N1616">
        <f>'[1]Processed Data'!N1616</f>
        <v>0</v>
      </c>
      <c r="O1616">
        <f>'[1]Processed Data'!O1616</f>
        <v>3</v>
      </c>
      <c r="P1616">
        <f>'[1]Processed Data'!P1616</f>
        <v>0</v>
      </c>
      <c r="Q1616">
        <f>'[1]Processed Data'!Q1616</f>
        <v>9</v>
      </c>
    </row>
    <row r="1617" spans="2:17" hidden="1">
      <c r="B1617">
        <f>'[1]Processed Data'!B1617</f>
        <v>2011</v>
      </c>
      <c r="C1617">
        <f>'[1]Processed Data'!C1617</f>
        <v>96</v>
      </c>
      <c r="D1617" t="str">
        <f>'[1]Processed Data'!D1617</f>
        <v>Jason Campbell</v>
      </c>
      <c r="E1617">
        <v>2010</v>
      </c>
      <c r="F1617">
        <f>'[1]Processed Data'!F1617</f>
        <v>100</v>
      </c>
      <c r="G1617">
        <f>'[1]Processed Data'!G1617</f>
        <v>165</v>
      </c>
      <c r="H1617">
        <f>'[1]Processed Data'!H1617</f>
        <v>60.6</v>
      </c>
      <c r="I1617">
        <f>'[1]Processed Data'!I1617</f>
        <v>6</v>
      </c>
      <c r="J1617">
        <f>'[1]Processed Data'!J1617</f>
        <v>4</v>
      </c>
      <c r="K1617">
        <f>'[1]Processed Data'!K1617</f>
        <v>5</v>
      </c>
      <c r="L1617">
        <f>'[1]Processed Data'!L1617</f>
        <v>18</v>
      </c>
      <c r="M1617">
        <f>'[1]Processed Data'!M1617</f>
        <v>60</v>
      </c>
      <c r="N1617">
        <f>'[1]Processed Data'!N1617</f>
        <v>2</v>
      </c>
      <c r="O1617">
        <f>'[1]Processed Data'!O1617</f>
        <v>1</v>
      </c>
      <c r="P1617">
        <f>'[1]Processed Data'!P1617</f>
        <v>0</v>
      </c>
      <c r="Q1617">
        <f>'[1]Processed Data'!Q1617</f>
        <v>6</v>
      </c>
    </row>
    <row r="1618" spans="2:17" hidden="1">
      <c r="B1618">
        <f>'[1]Processed Data'!B1618</f>
        <v>2011</v>
      </c>
      <c r="C1618">
        <f>'[1]Processed Data'!C1618</f>
        <v>97</v>
      </c>
      <c r="D1618" t="str">
        <f>'[1]Processed Data'!D1618</f>
        <v>Jay Cutler</v>
      </c>
      <c r="E1618">
        <v>2010</v>
      </c>
      <c r="F1618">
        <f>'[1]Processed Data'!F1618</f>
        <v>182</v>
      </c>
      <c r="G1618">
        <f>'[1]Processed Data'!G1618</f>
        <v>314</v>
      </c>
      <c r="H1618">
        <f>'[1]Processed Data'!H1618</f>
        <v>58</v>
      </c>
      <c r="I1618">
        <f>'[1]Processed Data'!I1618</f>
        <v>13</v>
      </c>
      <c r="J1618">
        <f>'[1]Processed Data'!J1618</f>
        <v>7</v>
      </c>
      <c r="K1618">
        <f>'[1]Processed Data'!K1618</f>
        <v>23</v>
      </c>
      <c r="L1618">
        <f>'[1]Processed Data'!L1618</f>
        <v>18</v>
      </c>
      <c r="M1618">
        <f>'[1]Processed Data'!M1618</f>
        <v>55</v>
      </c>
      <c r="N1618">
        <f>'[1]Processed Data'!N1618</f>
        <v>1</v>
      </c>
      <c r="O1618">
        <f>'[1]Processed Data'!O1618</f>
        <v>3</v>
      </c>
      <c r="P1618">
        <f>'[1]Processed Data'!P1618</f>
        <v>0</v>
      </c>
      <c r="Q1618">
        <f>'[1]Processed Data'!Q1618</f>
        <v>10</v>
      </c>
    </row>
    <row r="1619" spans="2:17" hidden="1">
      <c r="B1619">
        <f>'[1]Processed Data'!B1619</f>
        <v>2011</v>
      </c>
      <c r="C1619">
        <f>'[1]Processed Data'!C1619</f>
        <v>98</v>
      </c>
      <c r="D1619" t="str">
        <f>'[1]Processed Data'!D1619</f>
        <v>Josh Freeman</v>
      </c>
      <c r="E1619">
        <v>2010</v>
      </c>
      <c r="F1619">
        <f>'[1]Processed Data'!F1619</f>
        <v>346</v>
      </c>
      <c r="G1619">
        <f>'[1]Processed Data'!G1619</f>
        <v>551</v>
      </c>
      <c r="H1619">
        <f>'[1]Processed Data'!H1619</f>
        <v>62.8</v>
      </c>
      <c r="I1619">
        <f>'[1]Processed Data'!I1619</f>
        <v>16</v>
      </c>
      <c r="J1619">
        <f>'[1]Processed Data'!J1619</f>
        <v>22</v>
      </c>
      <c r="K1619">
        <f>'[1]Processed Data'!K1619</f>
        <v>29</v>
      </c>
      <c r="L1619">
        <f>'[1]Processed Data'!L1619</f>
        <v>55</v>
      </c>
      <c r="M1619">
        <f>'[1]Processed Data'!M1619</f>
        <v>238</v>
      </c>
      <c r="N1619">
        <f>'[1]Processed Data'!N1619</f>
        <v>4</v>
      </c>
      <c r="O1619">
        <f>'[1]Processed Data'!O1619</f>
        <v>5</v>
      </c>
      <c r="P1619">
        <f>'[1]Processed Data'!P1619</f>
        <v>0</v>
      </c>
      <c r="Q1619">
        <f>'[1]Processed Data'!Q1619</f>
        <v>15</v>
      </c>
    </row>
    <row r="1620" spans="2:17" hidden="1">
      <c r="B1620">
        <f>'[1]Processed Data'!B1620</f>
        <v>2011</v>
      </c>
      <c r="C1620">
        <f>'[1]Processed Data'!C1620</f>
        <v>99</v>
      </c>
      <c r="D1620" t="str">
        <f>'[1]Processed Data'!D1620</f>
        <v>Kellen Clemens</v>
      </c>
      <c r="E1620">
        <v>2010</v>
      </c>
      <c r="F1620">
        <f>'[1]Processed Data'!F1620</f>
        <v>48</v>
      </c>
      <c r="G1620">
        <f>'[1]Processed Data'!G1620</f>
        <v>91</v>
      </c>
      <c r="H1620">
        <f>'[1]Processed Data'!H1620</f>
        <v>52.7</v>
      </c>
      <c r="I1620">
        <f>'[1]Processed Data'!I1620</f>
        <v>2</v>
      </c>
      <c r="J1620">
        <f>'[1]Processed Data'!J1620</f>
        <v>1</v>
      </c>
      <c r="K1620">
        <f>'[1]Processed Data'!K1620</f>
        <v>9</v>
      </c>
      <c r="L1620">
        <f>'[1]Processed Data'!L1620</f>
        <v>6</v>
      </c>
      <c r="M1620">
        <f>'[1]Processed Data'!M1620</f>
        <v>37</v>
      </c>
      <c r="N1620">
        <f>'[1]Processed Data'!N1620</f>
        <v>1</v>
      </c>
      <c r="O1620">
        <f>'[1]Processed Data'!O1620</f>
        <v>0</v>
      </c>
      <c r="P1620">
        <f>'[1]Processed Data'!P1620</f>
        <v>0</v>
      </c>
      <c r="Q1620">
        <f>'[1]Processed Data'!Q1620</f>
        <v>3</v>
      </c>
    </row>
    <row r="1621" spans="2:17" hidden="1">
      <c r="B1621">
        <f>'[1]Processed Data'!B1621</f>
        <v>2011</v>
      </c>
      <c r="C1621">
        <f>'[1]Processed Data'!C1621</f>
        <v>100</v>
      </c>
      <c r="D1621" t="str">
        <f>'[1]Processed Data'!D1621</f>
        <v>Brett Ratliff</v>
      </c>
      <c r="E1621">
        <v>2010</v>
      </c>
      <c r="F1621">
        <f>'[1]Processed Data'!F1621</f>
        <v>0</v>
      </c>
      <c r="G1621">
        <f>'[1]Processed Data'!G1621</f>
        <v>0</v>
      </c>
      <c r="H1621">
        <f>'[1]Processed Data'!H1621</f>
        <v>0</v>
      </c>
      <c r="I1621">
        <f>'[1]Processed Data'!I1621</f>
        <v>0</v>
      </c>
      <c r="J1621">
        <f>'[1]Processed Data'!J1621</f>
        <v>0</v>
      </c>
      <c r="K1621">
        <f>'[1]Processed Data'!K1621</f>
        <v>0</v>
      </c>
      <c r="L1621">
        <f>'[1]Processed Data'!L1621</f>
        <v>0</v>
      </c>
      <c r="M1621">
        <f>'[1]Processed Data'!M1621</f>
        <v>0</v>
      </c>
      <c r="N1621">
        <f>'[1]Processed Data'!N1621</f>
        <v>0</v>
      </c>
      <c r="O1621">
        <f>'[1]Processed Data'!O1621</f>
        <v>0</v>
      </c>
      <c r="P1621">
        <f>'[1]Processed Data'!P1621</f>
        <v>0</v>
      </c>
      <c r="Q1621">
        <f>'[1]Processed Data'!Q1621</f>
        <v>0</v>
      </c>
    </row>
    <row r="1622" spans="2:17" hidden="1">
      <c r="B1622">
        <f>'[1]Processed Data'!B1622</f>
        <v>2011</v>
      </c>
      <c r="C1622">
        <f>'[1]Processed Data'!C1622</f>
        <v>101</v>
      </c>
      <c r="D1622" t="str">
        <f>'[1]Processed Data'!D1622</f>
        <v>Brian Brohm</v>
      </c>
      <c r="E1622">
        <v>2010</v>
      </c>
      <c r="F1622">
        <f>'[1]Processed Data'!F1622</f>
        <v>0</v>
      </c>
      <c r="G1622">
        <f>'[1]Processed Data'!G1622</f>
        <v>0</v>
      </c>
      <c r="H1622">
        <f>'[1]Processed Data'!H1622</f>
        <v>0</v>
      </c>
      <c r="I1622">
        <f>'[1]Processed Data'!I1622</f>
        <v>0</v>
      </c>
      <c r="J1622">
        <f>'[1]Processed Data'!J1622</f>
        <v>0</v>
      </c>
      <c r="K1622">
        <f>'[1]Processed Data'!K1622</f>
        <v>0</v>
      </c>
      <c r="L1622">
        <f>'[1]Processed Data'!L1622</f>
        <v>0</v>
      </c>
      <c r="M1622">
        <f>'[1]Processed Data'!M1622</f>
        <v>0</v>
      </c>
      <c r="N1622">
        <f>'[1]Processed Data'!N1622</f>
        <v>0</v>
      </c>
      <c r="O1622">
        <f>'[1]Processed Data'!O1622</f>
        <v>0</v>
      </c>
      <c r="P1622">
        <f>'[1]Processed Data'!P1622</f>
        <v>0</v>
      </c>
      <c r="Q1622">
        <f>'[1]Processed Data'!Q1622</f>
        <v>0</v>
      </c>
    </row>
    <row r="1623" spans="2:17" hidden="1">
      <c r="B1623">
        <f>'[1]Processed Data'!B1623</f>
        <v>2011</v>
      </c>
      <c r="C1623">
        <f>'[1]Processed Data'!C1623</f>
        <v>102</v>
      </c>
      <c r="D1623" t="str">
        <f>'[1]Processed Data'!D1623</f>
        <v>Bruce Gradkowski</v>
      </c>
      <c r="E1623">
        <v>2010</v>
      </c>
      <c r="F1623">
        <f>'[1]Processed Data'!F1623</f>
        <v>8</v>
      </c>
      <c r="G1623">
        <f>'[1]Processed Data'!G1623</f>
        <v>18</v>
      </c>
      <c r="H1623">
        <f>'[1]Processed Data'!H1623</f>
        <v>44.4</v>
      </c>
      <c r="I1623">
        <f>'[1]Processed Data'!I1623</f>
        <v>1</v>
      </c>
      <c r="J1623">
        <f>'[1]Processed Data'!J1623</f>
        <v>1</v>
      </c>
      <c r="K1623">
        <f>'[1]Processed Data'!K1623</f>
        <v>1</v>
      </c>
      <c r="L1623">
        <f>'[1]Processed Data'!L1623</f>
        <v>3</v>
      </c>
      <c r="M1623">
        <f>'[1]Processed Data'!M1623</f>
        <v>1</v>
      </c>
      <c r="N1623">
        <f>'[1]Processed Data'!N1623</f>
        <v>0</v>
      </c>
      <c r="O1623">
        <f>'[1]Processed Data'!O1623</f>
        <v>0</v>
      </c>
      <c r="P1623">
        <f>'[1]Processed Data'!P1623</f>
        <v>0</v>
      </c>
      <c r="Q1623">
        <f>'[1]Processed Data'!Q1623</f>
        <v>2</v>
      </c>
    </row>
    <row r="1624" spans="2:17" hidden="1">
      <c r="B1624">
        <f>'[1]Processed Data'!B1624</f>
        <v>2011</v>
      </c>
      <c r="C1624">
        <f>'[1]Processed Data'!C1624</f>
        <v>103</v>
      </c>
      <c r="D1624" t="str">
        <f>'[1]Processed Data'!D1624</f>
        <v>Caleb Hanie</v>
      </c>
      <c r="E1624">
        <v>2010</v>
      </c>
      <c r="F1624">
        <f>'[1]Processed Data'!F1624</f>
        <v>51</v>
      </c>
      <c r="G1624">
        <f>'[1]Processed Data'!G1624</f>
        <v>102</v>
      </c>
      <c r="H1624">
        <f>'[1]Processed Data'!H1624</f>
        <v>50</v>
      </c>
      <c r="I1624">
        <f>'[1]Processed Data'!I1624</f>
        <v>3</v>
      </c>
      <c r="J1624">
        <f>'[1]Processed Data'!J1624</f>
        <v>9</v>
      </c>
      <c r="K1624">
        <f>'[1]Processed Data'!K1624</f>
        <v>19</v>
      </c>
      <c r="L1624">
        <f>'[1]Processed Data'!L1624</f>
        <v>13</v>
      </c>
      <c r="M1624">
        <f>'[1]Processed Data'!M1624</f>
        <v>98</v>
      </c>
      <c r="N1624">
        <f>'[1]Processed Data'!N1624</f>
        <v>0</v>
      </c>
      <c r="O1624">
        <f>'[1]Processed Data'!O1624</f>
        <v>0</v>
      </c>
      <c r="P1624">
        <f>'[1]Processed Data'!P1624</f>
        <v>0</v>
      </c>
      <c r="Q1624">
        <f>'[1]Processed Data'!Q1624</f>
        <v>6</v>
      </c>
    </row>
    <row r="1625" spans="2:17" hidden="1">
      <c r="B1625">
        <f>'[1]Processed Data'!B1625</f>
        <v>2011</v>
      </c>
      <c r="C1625">
        <f>'[1]Processed Data'!C1625</f>
        <v>104</v>
      </c>
      <c r="D1625" t="str">
        <f>'[1]Processed Data'!D1625</f>
        <v>Carson Palmer</v>
      </c>
      <c r="E1625">
        <v>2010</v>
      </c>
      <c r="F1625">
        <f>'[1]Processed Data'!F1625</f>
        <v>199</v>
      </c>
      <c r="G1625">
        <f>'[1]Processed Data'!G1625</f>
        <v>328</v>
      </c>
      <c r="H1625">
        <f>'[1]Processed Data'!H1625</f>
        <v>60.7</v>
      </c>
      <c r="I1625">
        <f>'[1]Processed Data'!I1625</f>
        <v>13</v>
      </c>
      <c r="J1625">
        <f>'[1]Processed Data'!J1625</f>
        <v>16</v>
      </c>
      <c r="K1625">
        <f>'[1]Processed Data'!K1625</f>
        <v>17</v>
      </c>
      <c r="L1625">
        <f>'[1]Processed Data'!L1625</f>
        <v>16</v>
      </c>
      <c r="M1625">
        <f>'[1]Processed Data'!M1625</f>
        <v>20</v>
      </c>
      <c r="N1625">
        <f>'[1]Processed Data'!N1625</f>
        <v>1</v>
      </c>
      <c r="O1625">
        <f>'[1]Processed Data'!O1625</f>
        <v>1</v>
      </c>
      <c r="P1625">
        <f>'[1]Processed Data'!P1625</f>
        <v>0</v>
      </c>
      <c r="Q1625">
        <f>'[1]Processed Data'!Q1625</f>
        <v>10</v>
      </c>
    </row>
    <row r="1626" spans="2:17" hidden="1">
      <c r="B1626">
        <f>'[1]Processed Data'!B1626</f>
        <v>2011</v>
      </c>
      <c r="C1626">
        <f>'[1]Processed Data'!C1626</f>
        <v>105</v>
      </c>
      <c r="D1626" t="str">
        <f>'[1]Processed Data'!D1626</f>
        <v>Keith Null</v>
      </c>
      <c r="E1626">
        <v>2010</v>
      </c>
      <c r="F1626">
        <f>'[1]Processed Data'!F1626</f>
        <v>0</v>
      </c>
      <c r="G1626">
        <f>'[1]Processed Data'!G1626</f>
        <v>0</v>
      </c>
      <c r="H1626">
        <f>'[1]Processed Data'!H1626</f>
        <v>0</v>
      </c>
      <c r="I1626">
        <f>'[1]Processed Data'!I1626</f>
        <v>0</v>
      </c>
      <c r="J1626">
        <f>'[1]Processed Data'!J1626</f>
        <v>0</v>
      </c>
      <c r="K1626">
        <f>'[1]Processed Data'!K1626</f>
        <v>0</v>
      </c>
      <c r="L1626">
        <f>'[1]Processed Data'!L1626</f>
        <v>0</v>
      </c>
      <c r="M1626">
        <f>'[1]Processed Data'!M1626</f>
        <v>0</v>
      </c>
      <c r="N1626">
        <f>'[1]Processed Data'!N1626</f>
        <v>0</v>
      </c>
      <c r="O1626">
        <f>'[1]Processed Data'!O1626</f>
        <v>0</v>
      </c>
      <c r="P1626">
        <f>'[1]Processed Data'!P1626</f>
        <v>0</v>
      </c>
      <c r="Q1626">
        <f>'[1]Processed Data'!Q1626</f>
        <v>0</v>
      </c>
    </row>
    <row r="1627" spans="2:17" hidden="1">
      <c r="B1627">
        <f>'[1]Processed Data'!B1627</f>
        <v>2011</v>
      </c>
      <c r="C1627">
        <f>'[1]Processed Data'!C1627</f>
        <v>106</v>
      </c>
      <c r="D1627" t="str">
        <f>'[1]Processed Data'!D1627</f>
        <v>Sam Bradford</v>
      </c>
      <c r="E1627">
        <v>2010</v>
      </c>
      <c r="F1627">
        <f>'[1]Processed Data'!F1627</f>
        <v>191</v>
      </c>
      <c r="G1627">
        <f>'[1]Processed Data'!G1627</f>
        <v>357</v>
      </c>
      <c r="H1627">
        <f>'[1]Processed Data'!H1627</f>
        <v>53.5</v>
      </c>
      <c r="I1627">
        <f>'[1]Processed Data'!I1627</f>
        <v>6</v>
      </c>
      <c r="J1627">
        <f>'[1]Processed Data'!J1627</f>
        <v>6</v>
      </c>
      <c r="K1627">
        <f>'[1]Processed Data'!K1627</f>
        <v>36</v>
      </c>
      <c r="L1627">
        <f>'[1]Processed Data'!L1627</f>
        <v>18</v>
      </c>
      <c r="M1627">
        <f>'[1]Processed Data'!M1627</f>
        <v>26</v>
      </c>
      <c r="N1627">
        <f>'[1]Processed Data'!N1627</f>
        <v>0</v>
      </c>
      <c r="O1627">
        <f>'[1]Processed Data'!O1627</f>
        <v>7</v>
      </c>
      <c r="P1627">
        <f>'[1]Processed Data'!P1627</f>
        <v>0</v>
      </c>
      <c r="Q1627">
        <f>'[1]Processed Data'!Q1627</f>
        <v>10</v>
      </c>
    </row>
    <row r="1628" spans="2:17" hidden="1">
      <c r="B1628">
        <f>'[1]Processed Data'!B1628</f>
        <v>2011</v>
      </c>
      <c r="C1628">
        <f>'[1]Processed Data'!C1628</f>
        <v>107</v>
      </c>
      <c r="D1628" t="str">
        <f>'[1]Processed Data'!D1628</f>
        <v>Tony Romo</v>
      </c>
      <c r="E1628">
        <v>2010</v>
      </c>
      <c r="F1628">
        <f>'[1]Processed Data'!F1628</f>
        <v>346</v>
      </c>
      <c r="G1628">
        <f>'[1]Processed Data'!G1628</f>
        <v>522</v>
      </c>
      <c r="H1628">
        <f>'[1]Processed Data'!H1628</f>
        <v>66.3</v>
      </c>
      <c r="I1628">
        <f>'[1]Processed Data'!I1628</f>
        <v>31</v>
      </c>
      <c r="J1628">
        <f>'[1]Processed Data'!J1628</f>
        <v>10</v>
      </c>
      <c r="K1628">
        <f>'[1]Processed Data'!K1628</f>
        <v>36</v>
      </c>
      <c r="L1628">
        <f>'[1]Processed Data'!L1628</f>
        <v>22</v>
      </c>
      <c r="M1628">
        <f>'[1]Processed Data'!M1628</f>
        <v>46</v>
      </c>
      <c r="N1628">
        <f>'[1]Processed Data'!N1628</f>
        <v>1</v>
      </c>
      <c r="O1628">
        <f>'[1]Processed Data'!O1628</f>
        <v>3</v>
      </c>
      <c r="P1628">
        <f>'[1]Processed Data'!P1628</f>
        <v>0</v>
      </c>
      <c r="Q1628">
        <f>'[1]Processed Data'!Q1628</f>
        <v>16</v>
      </c>
    </row>
    <row r="1629" spans="2:17" hidden="1">
      <c r="B1629">
        <f>'[1]Processed Data'!B1629</f>
        <v>2011</v>
      </c>
      <c r="C1629">
        <f>'[1]Processed Data'!C1629</f>
        <v>108</v>
      </c>
      <c r="D1629" t="str">
        <f>'[1]Processed Data'!D1629</f>
        <v>Tyler Thigpen</v>
      </c>
      <c r="E1629">
        <v>2010</v>
      </c>
      <c r="F1629">
        <f>'[1]Processed Data'!F1629</f>
        <v>3</v>
      </c>
      <c r="G1629">
        <f>'[1]Processed Data'!G1629</f>
        <v>8</v>
      </c>
      <c r="H1629">
        <f>'[1]Processed Data'!H1629</f>
        <v>37.5</v>
      </c>
      <c r="I1629">
        <f>'[1]Processed Data'!I1629</f>
        <v>0</v>
      </c>
      <c r="J1629">
        <f>'[1]Processed Data'!J1629</f>
        <v>1</v>
      </c>
      <c r="K1629">
        <f>'[1]Processed Data'!K1629</f>
        <v>0</v>
      </c>
      <c r="L1629">
        <f>'[1]Processed Data'!L1629</f>
        <v>1</v>
      </c>
      <c r="M1629">
        <f>'[1]Processed Data'!M1629</f>
        <v>8</v>
      </c>
      <c r="N1629">
        <f>'[1]Processed Data'!N1629</f>
        <v>0</v>
      </c>
      <c r="O1629">
        <f>'[1]Processed Data'!O1629</f>
        <v>0</v>
      </c>
      <c r="P1629">
        <f>'[1]Processed Data'!P1629</f>
        <v>0</v>
      </c>
      <c r="Q1629">
        <f>'[1]Processed Data'!Q1629</f>
        <v>3</v>
      </c>
    </row>
    <row r="1630" spans="2:17" hidden="1">
      <c r="B1630">
        <f>'[1]Processed Data'!B1630</f>
        <v>2011</v>
      </c>
      <c r="C1630">
        <f>'[1]Processed Data'!C1630</f>
        <v>109</v>
      </c>
      <c r="D1630" t="str">
        <f>'[1]Processed Data'!D1630</f>
        <v>Shaun Hill</v>
      </c>
      <c r="E1630">
        <v>2010</v>
      </c>
      <c r="F1630">
        <f>'[1]Processed Data'!F1630</f>
        <v>2</v>
      </c>
      <c r="G1630">
        <f>'[1]Processed Data'!G1630</f>
        <v>3</v>
      </c>
      <c r="H1630">
        <f>'[1]Processed Data'!H1630</f>
        <v>66.7</v>
      </c>
      <c r="I1630">
        <f>'[1]Processed Data'!I1630</f>
        <v>0</v>
      </c>
      <c r="J1630">
        <f>'[1]Processed Data'!J1630</f>
        <v>0</v>
      </c>
      <c r="K1630">
        <f>'[1]Processed Data'!K1630</f>
        <v>0</v>
      </c>
      <c r="L1630">
        <f>'[1]Processed Data'!L1630</f>
        <v>1</v>
      </c>
      <c r="M1630">
        <f>'[1]Processed Data'!M1630</f>
        <v>-1</v>
      </c>
      <c r="N1630">
        <f>'[1]Processed Data'!N1630</f>
        <v>0</v>
      </c>
      <c r="O1630">
        <f>'[1]Processed Data'!O1630</f>
        <v>0</v>
      </c>
      <c r="P1630">
        <f>'[1]Processed Data'!P1630</f>
        <v>0</v>
      </c>
      <c r="Q1630">
        <f>'[1]Processed Data'!Q1630</f>
        <v>2</v>
      </c>
    </row>
    <row r="1631" spans="2:17" hidden="1">
      <c r="B1631">
        <f>'[1]Processed Data'!B1631</f>
        <v>2011</v>
      </c>
      <c r="C1631">
        <f>'[1]Processed Data'!C1631</f>
        <v>110</v>
      </c>
      <c r="D1631" t="str">
        <f>'[1]Processed Data'!D1631</f>
        <v>John Skelton</v>
      </c>
      <c r="E1631">
        <v>2010</v>
      </c>
      <c r="F1631">
        <f>'[1]Processed Data'!F1631</f>
        <v>151</v>
      </c>
      <c r="G1631">
        <f>'[1]Processed Data'!G1631</f>
        <v>275</v>
      </c>
      <c r="H1631">
        <f>'[1]Processed Data'!H1631</f>
        <v>54.9</v>
      </c>
      <c r="I1631">
        <f>'[1]Processed Data'!I1631</f>
        <v>11</v>
      </c>
      <c r="J1631">
        <f>'[1]Processed Data'!J1631</f>
        <v>14</v>
      </c>
      <c r="K1631">
        <f>'[1]Processed Data'!K1631</f>
        <v>23</v>
      </c>
      <c r="L1631">
        <f>'[1]Processed Data'!L1631</f>
        <v>28</v>
      </c>
      <c r="M1631">
        <f>'[1]Processed Data'!M1631</f>
        <v>128</v>
      </c>
      <c r="N1631">
        <f>'[1]Processed Data'!N1631</f>
        <v>0</v>
      </c>
      <c r="O1631">
        <f>'[1]Processed Data'!O1631</f>
        <v>1</v>
      </c>
      <c r="P1631">
        <f>'[1]Processed Data'!P1631</f>
        <v>0</v>
      </c>
      <c r="Q1631">
        <f>'[1]Processed Data'!Q1631</f>
        <v>8</v>
      </c>
    </row>
    <row r="1632" spans="2:17" hidden="1">
      <c r="B1632">
        <f>'[1]Processed Data'!B1632</f>
        <v>2011</v>
      </c>
      <c r="C1632">
        <f>'[1]Processed Data'!C1632</f>
        <v>111</v>
      </c>
      <c r="D1632" t="str">
        <f>'[1]Processed Data'!D1632</f>
        <v>Charlie Whitehurst</v>
      </c>
      <c r="E1632">
        <v>2009</v>
      </c>
      <c r="F1632">
        <f>'[1]Processed Data'!F1632</f>
        <v>27</v>
      </c>
      <c r="G1632">
        <f>'[1]Processed Data'!G1632</f>
        <v>56</v>
      </c>
      <c r="H1632">
        <f>'[1]Processed Data'!H1632</f>
        <v>48.2</v>
      </c>
      <c r="I1632">
        <f>'[1]Processed Data'!I1632</f>
        <v>1</v>
      </c>
      <c r="J1632">
        <f>'[1]Processed Data'!J1632</f>
        <v>1</v>
      </c>
      <c r="K1632">
        <f>'[1]Processed Data'!K1632</f>
        <v>8</v>
      </c>
      <c r="L1632">
        <f>'[1]Processed Data'!L1632</f>
        <v>4</v>
      </c>
      <c r="M1632">
        <f>'[1]Processed Data'!M1632</f>
        <v>13</v>
      </c>
      <c r="N1632">
        <f>'[1]Processed Data'!N1632</f>
        <v>0</v>
      </c>
      <c r="O1632">
        <f>'[1]Processed Data'!O1632</f>
        <v>1</v>
      </c>
      <c r="P1632">
        <f>'[1]Processed Data'!P1632</f>
        <v>0</v>
      </c>
      <c r="Q1632">
        <f>'[1]Processed Data'!Q1632</f>
        <v>3</v>
      </c>
    </row>
    <row r="1633" spans="2:17" hidden="1">
      <c r="B1633">
        <f>'[1]Processed Data'!B1633</f>
        <v>2011</v>
      </c>
      <c r="C1633">
        <f>'[1]Processed Data'!C1633</f>
        <v>112</v>
      </c>
      <c r="D1633" t="str">
        <f>'[1]Processed Data'!D1633</f>
        <v>Dan Orlovsky</v>
      </c>
      <c r="E1633">
        <v>2009</v>
      </c>
      <c r="F1633">
        <f>'[1]Processed Data'!F1633</f>
        <v>122</v>
      </c>
      <c r="G1633">
        <f>'[1]Processed Data'!G1633</f>
        <v>193</v>
      </c>
      <c r="H1633">
        <f>'[1]Processed Data'!H1633</f>
        <v>63.2</v>
      </c>
      <c r="I1633">
        <f>'[1]Processed Data'!I1633</f>
        <v>6</v>
      </c>
      <c r="J1633">
        <f>'[1]Processed Data'!J1633</f>
        <v>4</v>
      </c>
      <c r="K1633">
        <f>'[1]Processed Data'!K1633</f>
        <v>14</v>
      </c>
      <c r="L1633">
        <f>'[1]Processed Data'!L1633</f>
        <v>6</v>
      </c>
      <c r="M1633">
        <f>'[1]Processed Data'!M1633</f>
        <v>5</v>
      </c>
      <c r="N1633">
        <f>'[1]Processed Data'!N1633</f>
        <v>0</v>
      </c>
      <c r="O1633">
        <f>'[1]Processed Data'!O1633</f>
        <v>3</v>
      </c>
      <c r="P1633">
        <f>'[1]Processed Data'!P1633</f>
        <v>0</v>
      </c>
      <c r="Q1633">
        <f>'[1]Processed Data'!Q1633</f>
        <v>8</v>
      </c>
    </row>
    <row r="1634" spans="2:17" hidden="1">
      <c r="B1634">
        <f>'[1]Processed Data'!B1634</f>
        <v>2011</v>
      </c>
      <c r="C1634">
        <f>'[1]Processed Data'!C1634</f>
        <v>113</v>
      </c>
      <c r="D1634" t="str">
        <f>'[1]Processed Data'!D1634</f>
        <v>Tarvaris Jackson</v>
      </c>
      <c r="E1634">
        <v>2009</v>
      </c>
      <c r="F1634">
        <f>'[1]Processed Data'!F1634</f>
        <v>271</v>
      </c>
      <c r="G1634">
        <f>'[1]Processed Data'!G1634</f>
        <v>450</v>
      </c>
      <c r="H1634">
        <f>'[1]Processed Data'!H1634</f>
        <v>60.2</v>
      </c>
      <c r="I1634">
        <f>'[1]Processed Data'!I1634</f>
        <v>14</v>
      </c>
      <c r="J1634">
        <f>'[1]Processed Data'!J1634</f>
        <v>13</v>
      </c>
      <c r="K1634">
        <f>'[1]Processed Data'!K1634</f>
        <v>42</v>
      </c>
      <c r="L1634">
        <f>'[1]Processed Data'!L1634</f>
        <v>40</v>
      </c>
      <c r="M1634">
        <f>'[1]Processed Data'!M1634</f>
        <v>108</v>
      </c>
      <c r="N1634">
        <f>'[1]Processed Data'!N1634</f>
        <v>1</v>
      </c>
      <c r="O1634">
        <f>'[1]Processed Data'!O1634</f>
        <v>5</v>
      </c>
      <c r="P1634">
        <f>'[1]Processed Data'!P1634</f>
        <v>0</v>
      </c>
      <c r="Q1634">
        <f>'[1]Processed Data'!Q1634</f>
        <v>15</v>
      </c>
    </row>
    <row r="1635" spans="2:17" hidden="1">
      <c r="B1635">
        <f>'[1]Processed Data'!B1635</f>
        <v>2011</v>
      </c>
      <c r="C1635">
        <f>'[1]Processed Data'!C1635</f>
        <v>114</v>
      </c>
      <c r="D1635" t="str">
        <f>'[1]Processed Data'!D1635</f>
        <v>Seneca Wallace</v>
      </c>
      <c r="E1635">
        <v>2009</v>
      </c>
      <c r="F1635">
        <f>'[1]Processed Data'!F1635</f>
        <v>55</v>
      </c>
      <c r="G1635">
        <f>'[1]Processed Data'!G1635</f>
        <v>107</v>
      </c>
      <c r="H1635">
        <f>'[1]Processed Data'!H1635</f>
        <v>51.4</v>
      </c>
      <c r="I1635">
        <f>'[1]Processed Data'!I1635</f>
        <v>2</v>
      </c>
      <c r="J1635">
        <f>'[1]Processed Data'!J1635</f>
        <v>2</v>
      </c>
      <c r="K1635">
        <f>'[1]Processed Data'!K1635</f>
        <v>6</v>
      </c>
      <c r="L1635">
        <f>'[1]Processed Data'!L1635</f>
        <v>7</v>
      </c>
      <c r="M1635">
        <f>'[1]Processed Data'!M1635</f>
        <v>70</v>
      </c>
      <c r="N1635">
        <f>'[1]Processed Data'!N1635</f>
        <v>0</v>
      </c>
      <c r="O1635">
        <f>'[1]Processed Data'!O1635</f>
        <v>1</v>
      </c>
      <c r="P1635">
        <f>'[1]Processed Data'!P1635</f>
        <v>0</v>
      </c>
      <c r="Q1635">
        <f>'[1]Processed Data'!Q1635</f>
        <v>6</v>
      </c>
    </row>
    <row r="1636" spans="2:17" hidden="1">
      <c r="B1636">
        <f>'[1]Processed Data'!B1636</f>
        <v>2011</v>
      </c>
      <c r="C1636">
        <f>'[1]Processed Data'!C1636</f>
        <v>115</v>
      </c>
      <c r="D1636" t="str">
        <f>'[1]Processed Data'!D1636</f>
        <v>Kevin Kolb</v>
      </c>
      <c r="E1636">
        <v>2009</v>
      </c>
      <c r="F1636">
        <f>'[1]Processed Data'!F1636</f>
        <v>146</v>
      </c>
      <c r="G1636">
        <f>'[1]Processed Data'!G1636</f>
        <v>253</v>
      </c>
      <c r="H1636">
        <f>'[1]Processed Data'!H1636</f>
        <v>57.7</v>
      </c>
      <c r="I1636">
        <f>'[1]Processed Data'!I1636</f>
        <v>9</v>
      </c>
      <c r="J1636">
        <f>'[1]Processed Data'!J1636</f>
        <v>8</v>
      </c>
      <c r="K1636">
        <f>'[1]Processed Data'!K1636</f>
        <v>30</v>
      </c>
      <c r="L1636">
        <f>'[1]Processed Data'!L1636</f>
        <v>17</v>
      </c>
      <c r="M1636">
        <f>'[1]Processed Data'!M1636</f>
        <v>65</v>
      </c>
      <c r="N1636">
        <f>'[1]Processed Data'!N1636</f>
        <v>0</v>
      </c>
      <c r="O1636">
        <f>'[1]Processed Data'!O1636</f>
        <v>3</v>
      </c>
      <c r="P1636">
        <f>'[1]Processed Data'!P1636</f>
        <v>0</v>
      </c>
      <c r="Q1636">
        <f>'[1]Processed Data'!Q1636</f>
        <v>9</v>
      </c>
    </row>
    <row r="1637" spans="2:17" hidden="1">
      <c r="B1637">
        <f>'[1]Processed Data'!B1637</f>
        <v>2011</v>
      </c>
      <c r="C1637">
        <f>'[1]Processed Data'!C1637</f>
        <v>116</v>
      </c>
      <c r="D1637" t="str">
        <f>'[1]Processed Data'!D1637</f>
        <v>Matt Cassel</v>
      </c>
      <c r="E1637">
        <v>2009</v>
      </c>
      <c r="F1637">
        <f>'[1]Processed Data'!F1637</f>
        <v>160</v>
      </c>
      <c r="G1637">
        <f>'[1]Processed Data'!G1637</f>
        <v>269</v>
      </c>
      <c r="H1637">
        <f>'[1]Processed Data'!H1637</f>
        <v>59.5</v>
      </c>
      <c r="I1637">
        <f>'[1]Processed Data'!I1637</f>
        <v>10</v>
      </c>
      <c r="J1637">
        <f>'[1]Processed Data'!J1637</f>
        <v>9</v>
      </c>
      <c r="K1637">
        <f>'[1]Processed Data'!K1637</f>
        <v>22</v>
      </c>
      <c r="L1637">
        <f>'[1]Processed Data'!L1637</f>
        <v>25</v>
      </c>
      <c r="M1637">
        <f>'[1]Processed Data'!M1637</f>
        <v>99</v>
      </c>
      <c r="N1637">
        <f>'[1]Processed Data'!N1637</f>
        <v>0</v>
      </c>
      <c r="O1637">
        <f>'[1]Processed Data'!O1637</f>
        <v>2</v>
      </c>
      <c r="P1637">
        <f>'[1]Processed Data'!P1637</f>
        <v>0</v>
      </c>
      <c r="Q1637">
        <f>'[1]Processed Data'!Q1637</f>
        <v>9</v>
      </c>
    </row>
    <row r="1638" spans="2:17" hidden="1">
      <c r="B1638">
        <f>'[1]Processed Data'!B1638</f>
        <v>2011</v>
      </c>
      <c r="C1638">
        <f>'[1]Processed Data'!C1638</f>
        <v>117</v>
      </c>
      <c r="D1638" t="str">
        <f>'[1]Processed Data'!D1638</f>
        <v>Kyle Orton</v>
      </c>
      <c r="E1638">
        <v>2009</v>
      </c>
      <c r="F1638">
        <f>'[1]Processed Data'!F1638</f>
        <v>150</v>
      </c>
      <c r="G1638">
        <f>'[1]Processed Data'!G1638</f>
        <v>252</v>
      </c>
      <c r="H1638">
        <f>'[1]Processed Data'!H1638</f>
        <v>59.5</v>
      </c>
      <c r="I1638">
        <f>'[1]Processed Data'!I1638</f>
        <v>9</v>
      </c>
      <c r="J1638">
        <f>'[1]Processed Data'!J1638</f>
        <v>9</v>
      </c>
      <c r="K1638">
        <f>'[1]Processed Data'!K1638</f>
        <v>10</v>
      </c>
      <c r="L1638">
        <f>'[1]Processed Data'!L1638</f>
        <v>11</v>
      </c>
      <c r="M1638">
        <f>'[1]Processed Data'!M1638</f>
        <v>13</v>
      </c>
      <c r="N1638">
        <f>'[1]Processed Data'!N1638</f>
        <v>0</v>
      </c>
      <c r="O1638">
        <f>'[1]Processed Data'!O1638</f>
        <v>2</v>
      </c>
      <c r="P1638">
        <f>'[1]Processed Data'!P1638</f>
        <v>0</v>
      </c>
      <c r="Q1638">
        <f>'[1]Processed Data'!Q1638</f>
        <v>9</v>
      </c>
    </row>
    <row r="1639" spans="2:17" hidden="1">
      <c r="B1639">
        <f>'[1]Processed Data'!B1639</f>
        <v>2011</v>
      </c>
      <c r="C1639">
        <f>'[1]Processed Data'!C1639</f>
        <v>118</v>
      </c>
      <c r="D1639" t="str">
        <f>'[1]Processed Data'!D1639</f>
        <v>Mark Sanchez</v>
      </c>
      <c r="E1639">
        <v>2009</v>
      </c>
      <c r="F1639">
        <f>'[1]Processed Data'!F1639</f>
        <v>308</v>
      </c>
      <c r="G1639">
        <f>'[1]Processed Data'!G1639</f>
        <v>543</v>
      </c>
      <c r="H1639">
        <f>'[1]Processed Data'!H1639</f>
        <v>56.7</v>
      </c>
      <c r="I1639">
        <f>'[1]Processed Data'!I1639</f>
        <v>26</v>
      </c>
      <c r="J1639">
        <f>'[1]Processed Data'!J1639</f>
        <v>18</v>
      </c>
      <c r="K1639">
        <f>'[1]Processed Data'!K1639</f>
        <v>39</v>
      </c>
      <c r="L1639">
        <f>'[1]Processed Data'!L1639</f>
        <v>37</v>
      </c>
      <c r="M1639">
        <f>'[1]Processed Data'!M1639</f>
        <v>103</v>
      </c>
      <c r="N1639">
        <f>'[1]Processed Data'!N1639</f>
        <v>6</v>
      </c>
      <c r="O1639">
        <f>'[1]Processed Data'!O1639</f>
        <v>8</v>
      </c>
      <c r="P1639">
        <f>'[1]Processed Data'!P1639</f>
        <v>0</v>
      </c>
      <c r="Q1639">
        <f>'[1]Processed Data'!Q1639</f>
        <v>16</v>
      </c>
    </row>
    <row r="1640" spans="2:17" hidden="1">
      <c r="B1640">
        <f>'[1]Processed Data'!B1640</f>
        <v>2011</v>
      </c>
      <c r="C1640">
        <f>'[1]Processed Data'!C1640</f>
        <v>119</v>
      </c>
      <c r="D1640" t="str">
        <f>'[1]Processed Data'!D1640</f>
        <v>Matt Flynn</v>
      </c>
      <c r="E1640">
        <v>2009</v>
      </c>
      <c r="F1640">
        <f>'[1]Processed Data'!F1640</f>
        <v>33</v>
      </c>
      <c r="G1640">
        <f>'[1]Processed Data'!G1640</f>
        <v>49</v>
      </c>
      <c r="H1640">
        <f>'[1]Processed Data'!H1640</f>
        <v>67.3</v>
      </c>
      <c r="I1640">
        <f>'[1]Processed Data'!I1640</f>
        <v>6</v>
      </c>
      <c r="J1640">
        <f>'[1]Processed Data'!J1640</f>
        <v>2</v>
      </c>
      <c r="K1640">
        <f>'[1]Processed Data'!K1640</f>
        <v>5</v>
      </c>
      <c r="L1640">
        <f>'[1]Processed Data'!L1640</f>
        <v>13</v>
      </c>
      <c r="M1640">
        <f>'[1]Processed Data'!M1640</f>
        <v>-6</v>
      </c>
      <c r="N1640">
        <f>'[1]Processed Data'!N1640</f>
        <v>1</v>
      </c>
      <c r="O1640">
        <f>'[1]Processed Data'!O1640</f>
        <v>1</v>
      </c>
      <c r="P1640">
        <f>'[1]Processed Data'!P1640</f>
        <v>0</v>
      </c>
      <c r="Q1640">
        <f>'[1]Processed Data'!Q1640</f>
        <v>5</v>
      </c>
    </row>
    <row r="1641" spans="2:17" hidden="1">
      <c r="B1641">
        <f>'[1]Processed Data'!B1641</f>
        <v>2011</v>
      </c>
      <c r="C1641">
        <f>'[1]Processed Data'!C1641</f>
        <v>120</v>
      </c>
      <c r="D1641" t="str">
        <f>'[1]Processed Data'!D1641</f>
        <v>Rex Grossman</v>
      </c>
      <c r="E1641">
        <v>2009</v>
      </c>
      <c r="F1641">
        <f>'[1]Processed Data'!F1641</f>
        <v>265</v>
      </c>
      <c r="G1641">
        <f>'[1]Processed Data'!G1641</f>
        <v>458</v>
      </c>
      <c r="H1641">
        <f>'[1]Processed Data'!H1641</f>
        <v>57.9</v>
      </c>
      <c r="I1641">
        <f>'[1]Processed Data'!I1641</f>
        <v>16</v>
      </c>
      <c r="J1641">
        <f>'[1]Processed Data'!J1641</f>
        <v>20</v>
      </c>
      <c r="K1641">
        <f>'[1]Processed Data'!K1641</f>
        <v>25</v>
      </c>
      <c r="L1641">
        <f>'[1]Processed Data'!L1641</f>
        <v>20</v>
      </c>
      <c r="M1641">
        <f>'[1]Processed Data'!M1641</f>
        <v>11</v>
      </c>
      <c r="N1641">
        <f>'[1]Processed Data'!N1641</f>
        <v>1</v>
      </c>
      <c r="O1641">
        <f>'[1]Processed Data'!O1641</f>
        <v>5</v>
      </c>
      <c r="P1641">
        <f>'[1]Processed Data'!P1641</f>
        <v>0</v>
      </c>
      <c r="Q1641">
        <f>'[1]Processed Data'!Q1641</f>
        <v>13</v>
      </c>
    </row>
    <row r="1642" spans="2:17" hidden="1">
      <c r="B1642">
        <f>'[1]Processed Data'!B1642</f>
        <v>2011</v>
      </c>
      <c r="C1642">
        <f>'[1]Processed Data'!C1642</f>
        <v>121</v>
      </c>
      <c r="D1642" t="str">
        <f>'[1]Processed Data'!D1642</f>
        <v>Matt Hasselbeck</v>
      </c>
      <c r="E1642">
        <v>2009</v>
      </c>
      <c r="F1642">
        <f>'[1]Processed Data'!F1642</f>
        <v>319</v>
      </c>
      <c r="G1642">
        <f>'[1]Processed Data'!G1642</f>
        <v>518</v>
      </c>
      <c r="H1642">
        <f>'[1]Processed Data'!H1642</f>
        <v>61.6</v>
      </c>
      <c r="I1642">
        <f>'[1]Processed Data'!I1642</f>
        <v>18</v>
      </c>
      <c r="J1642">
        <f>'[1]Processed Data'!J1642</f>
        <v>14</v>
      </c>
      <c r="K1642">
        <f>'[1]Processed Data'!K1642</f>
        <v>19</v>
      </c>
      <c r="L1642">
        <f>'[1]Processed Data'!L1642</f>
        <v>20</v>
      </c>
      <c r="M1642">
        <f>'[1]Processed Data'!M1642</f>
        <v>52</v>
      </c>
      <c r="N1642">
        <f>'[1]Processed Data'!N1642</f>
        <v>0</v>
      </c>
      <c r="O1642">
        <f>'[1]Processed Data'!O1642</f>
        <v>1</v>
      </c>
      <c r="P1642">
        <f>'[1]Processed Data'!P1642</f>
        <v>0</v>
      </c>
      <c r="Q1642">
        <f>'[1]Processed Data'!Q1642</f>
        <v>16</v>
      </c>
    </row>
    <row r="1643" spans="2:17" hidden="1">
      <c r="B1643">
        <f>'[1]Processed Data'!B1643</f>
        <v>2011</v>
      </c>
      <c r="C1643">
        <f>'[1]Processed Data'!C1643</f>
        <v>122</v>
      </c>
      <c r="D1643" t="str">
        <f>'[1]Processed Data'!D1643</f>
        <v>Michael Vick</v>
      </c>
      <c r="E1643">
        <v>2009</v>
      </c>
      <c r="F1643">
        <f>'[1]Processed Data'!F1643</f>
        <v>253</v>
      </c>
      <c r="G1643">
        <f>'[1]Processed Data'!G1643</f>
        <v>423</v>
      </c>
      <c r="H1643">
        <f>'[1]Processed Data'!H1643</f>
        <v>59.8</v>
      </c>
      <c r="I1643">
        <f>'[1]Processed Data'!I1643</f>
        <v>18</v>
      </c>
      <c r="J1643">
        <f>'[1]Processed Data'!J1643</f>
        <v>14</v>
      </c>
      <c r="K1643">
        <f>'[1]Processed Data'!K1643</f>
        <v>23</v>
      </c>
      <c r="L1643">
        <f>'[1]Processed Data'!L1643</f>
        <v>76</v>
      </c>
      <c r="M1643">
        <f>'[1]Processed Data'!M1643</f>
        <v>589</v>
      </c>
      <c r="N1643">
        <f>'[1]Processed Data'!N1643</f>
        <v>1</v>
      </c>
      <c r="O1643">
        <f>'[1]Processed Data'!O1643</f>
        <v>4</v>
      </c>
      <c r="P1643">
        <f>'[1]Processed Data'!P1643</f>
        <v>0</v>
      </c>
      <c r="Q1643">
        <f>'[1]Processed Data'!Q1643</f>
        <v>13</v>
      </c>
    </row>
    <row r="1644" spans="2:17" hidden="1">
      <c r="B1644">
        <f>'[1]Processed Data'!B1644</f>
        <v>2011</v>
      </c>
      <c r="C1644">
        <f>'[1]Processed Data'!C1644</f>
        <v>123</v>
      </c>
      <c r="D1644" t="str">
        <f>'[1]Processed Data'!D1644</f>
        <v>Philip Rivers</v>
      </c>
      <c r="E1644">
        <v>2009</v>
      </c>
      <c r="F1644">
        <f>'[1]Processed Data'!F1644</f>
        <v>366</v>
      </c>
      <c r="G1644">
        <f>'[1]Processed Data'!G1644</f>
        <v>582</v>
      </c>
      <c r="H1644">
        <f>'[1]Processed Data'!H1644</f>
        <v>62.9</v>
      </c>
      <c r="I1644">
        <f>'[1]Processed Data'!I1644</f>
        <v>27</v>
      </c>
      <c r="J1644">
        <f>'[1]Processed Data'!J1644</f>
        <v>20</v>
      </c>
      <c r="K1644">
        <f>'[1]Processed Data'!K1644</f>
        <v>30</v>
      </c>
      <c r="L1644">
        <f>'[1]Processed Data'!L1644</f>
        <v>26</v>
      </c>
      <c r="M1644">
        <f>'[1]Processed Data'!M1644</f>
        <v>36</v>
      </c>
      <c r="N1644">
        <f>'[1]Processed Data'!N1644</f>
        <v>1</v>
      </c>
      <c r="O1644">
        <f>'[1]Processed Data'!O1644</f>
        <v>5</v>
      </c>
      <c r="P1644">
        <f>'[1]Processed Data'!P1644</f>
        <v>0</v>
      </c>
      <c r="Q1644">
        <f>'[1]Processed Data'!Q1644</f>
        <v>16</v>
      </c>
    </row>
    <row r="1645" spans="2:17" hidden="1">
      <c r="B1645">
        <f>'[1]Processed Data'!B1645</f>
        <v>2011</v>
      </c>
      <c r="C1645">
        <f>'[1]Processed Data'!C1645</f>
        <v>124</v>
      </c>
      <c r="D1645" t="str">
        <f>'[1]Processed Data'!D1645</f>
        <v>Nate Sudfeld</v>
      </c>
      <c r="E1645">
        <v>2009</v>
      </c>
      <c r="F1645">
        <f>'[1]Processed Data'!F1645</f>
        <v>0</v>
      </c>
      <c r="G1645">
        <f>'[1]Processed Data'!G1645</f>
        <v>0</v>
      </c>
      <c r="H1645">
        <f>'[1]Processed Data'!H1645</f>
        <v>0</v>
      </c>
      <c r="I1645">
        <f>'[1]Processed Data'!I1645</f>
        <v>0</v>
      </c>
      <c r="J1645">
        <f>'[1]Processed Data'!J1645</f>
        <v>0</v>
      </c>
      <c r="K1645">
        <f>'[1]Processed Data'!K1645</f>
        <v>0</v>
      </c>
      <c r="L1645">
        <f>'[1]Processed Data'!L1645</f>
        <v>0</v>
      </c>
      <c r="M1645">
        <f>'[1]Processed Data'!M1645</f>
        <v>0</v>
      </c>
      <c r="N1645">
        <f>'[1]Processed Data'!N1645</f>
        <v>0</v>
      </c>
      <c r="O1645">
        <f>'[1]Processed Data'!O1645</f>
        <v>0</v>
      </c>
      <c r="P1645">
        <f>'[1]Processed Data'!P1645</f>
        <v>0</v>
      </c>
      <c r="Q1645">
        <f>'[1]Processed Data'!Q1645</f>
        <v>0</v>
      </c>
    </row>
    <row r="1646" spans="2:17" hidden="1">
      <c r="B1646">
        <f>'[1]Processed Data'!B1646</f>
        <v>2011</v>
      </c>
      <c r="C1646">
        <f>'[1]Processed Data'!C1646</f>
        <v>125</v>
      </c>
      <c r="D1646" t="str">
        <f>'[1]Processed Data'!D1646</f>
        <v>Kevin Hogan</v>
      </c>
      <c r="E1646">
        <v>2009</v>
      </c>
      <c r="F1646">
        <f>'[1]Processed Data'!F1646</f>
        <v>0</v>
      </c>
      <c r="G1646">
        <f>'[1]Processed Data'!G1646</f>
        <v>0</v>
      </c>
      <c r="H1646">
        <f>'[1]Processed Data'!H1646</f>
        <v>0</v>
      </c>
      <c r="I1646">
        <f>'[1]Processed Data'!I1646</f>
        <v>0</v>
      </c>
      <c r="J1646">
        <f>'[1]Processed Data'!J1646</f>
        <v>0</v>
      </c>
      <c r="K1646">
        <f>'[1]Processed Data'!K1646</f>
        <v>0</v>
      </c>
      <c r="L1646">
        <f>'[1]Processed Data'!L1646</f>
        <v>0</v>
      </c>
      <c r="M1646">
        <f>'[1]Processed Data'!M1646</f>
        <v>0</v>
      </c>
      <c r="N1646">
        <f>'[1]Processed Data'!N1646</f>
        <v>0</v>
      </c>
      <c r="O1646">
        <f>'[1]Processed Data'!O1646</f>
        <v>0</v>
      </c>
      <c r="P1646">
        <f>'[1]Processed Data'!P1646</f>
        <v>0</v>
      </c>
      <c r="Q1646">
        <f>'[1]Processed Data'!Q1646</f>
        <v>0</v>
      </c>
    </row>
    <row r="1647" spans="2:17" hidden="1">
      <c r="B1647">
        <f>'[1]Processed Data'!B1647</f>
        <v>2011</v>
      </c>
      <c r="C1647">
        <f>'[1]Processed Data'!C1647</f>
        <v>126</v>
      </c>
      <c r="D1647" t="str">
        <f>'[1]Processed Data'!D1647</f>
        <v>Carson Wentz</v>
      </c>
      <c r="E1647">
        <v>2009</v>
      </c>
      <c r="F1647">
        <f>'[1]Processed Data'!F1647</f>
        <v>0</v>
      </c>
      <c r="G1647">
        <f>'[1]Processed Data'!G1647</f>
        <v>0</v>
      </c>
      <c r="H1647">
        <f>'[1]Processed Data'!H1647</f>
        <v>0</v>
      </c>
      <c r="I1647">
        <f>'[1]Processed Data'!I1647</f>
        <v>0</v>
      </c>
      <c r="J1647">
        <f>'[1]Processed Data'!J1647</f>
        <v>0</v>
      </c>
      <c r="K1647">
        <f>'[1]Processed Data'!K1647</f>
        <v>0</v>
      </c>
      <c r="L1647">
        <f>'[1]Processed Data'!L1647</f>
        <v>0</v>
      </c>
      <c r="M1647">
        <f>'[1]Processed Data'!M1647</f>
        <v>0</v>
      </c>
      <c r="N1647">
        <f>'[1]Processed Data'!N1647</f>
        <v>0</v>
      </c>
      <c r="O1647">
        <f>'[1]Processed Data'!O1647</f>
        <v>0</v>
      </c>
      <c r="P1647">
        <f>'[1]Processed Data'!P1647</f>
        <v>0</v>
      </c>
      <c r="Q1647">
        <f>'[1]Processed Data'!Q1647</f>
        <v>0</v>
      </c>
    </row>
    <row r="1648" spans="2:17" hidden="1">
      <c r="B1648">
        <f>'[1]Processed Data'!B1648</f>
        <v>2011</v>
      </c>
      <c r="C1648">
        <f>'[1]Processed Data'!C1648</f>
        <v>127</v>
      </c>
      <c r="D1648" t="str">
        <f>'[1]Processed Data'!D1648</f>
        <v>Jared Goff</v>
      </c>
      <c r="E1648">
        <v>2009</v>
      </c>
      <c r="F1648">
        <f>'[1]Processed Data'!F1648</f>
        <v>0</v>
      </c>
      <c r="G1648">
        <f>'[1]Processed Data'!G1648</f>
        <v>0</v>
      </c>
      <c r="H1648">
        <f>'[1]Processed Data'!H1648</f>
        <v>0</v>
      </c>
      <c r="I1648">
        <f>'[1]Processed Data'!I1648</f>
        <v>0</v>
      </c>
      <c r="J1648">
        <f>'[1]Processed Data'!J1648</f>
        <v>0</v>
      </c>
      <c r="K1648">
        <f>'[1]Processed Data'!K1648</f>
        <v>0</v>
      </c>
      <c r="L1648">
        <f>'[1]Processed Data'!L1648</f>
        <v>0</v>
      </c>
      <c r="M1648">
        <f>'[1]Processed Data'!M1648</f>
        <v>0</v>
      </c>
      <c r="N1648">
        <f>'[1]Processed Data'!N1648</f>
        <v>0</v>
      </c>
      <c r="O1648">
        <f>'[1]Processed Data'!O1648</f>
        <v>0</v>
      </c>
      <c r="P1648">
        <f>'[1]Processed Data'!P1648</f>
        <v>0</v>
      </c>
      <c r="Q1648">
        <f>'[1]Processed Data'!Q1648</f>
        <v>0</v>
      </c>
    </row>
    <row r="1649" spans="2:17" hidden="1">
      <c r="B1649">
        <f>'[1]Processed Data'!B1649</f>
        <v>2011</v>
      </c>
      <c r="C1649">
        <f>'[1]Processed Data'!C1649</f>
        <v>128</v>
      </c>
      <c r="D1649" t="str">
        <f>'[1]Processed Data'!D1649</f>
        <v>Dak Prescott</v>
      </c>
      <c r="E1649">
        <v>2009</v>
      </c>
      <c r="F1649">
        <f>'[1]Processed Data'!F1649</f>
        <v>0</v>
      </c>
      <c r="G1649">
        <f>'[1]Processed Data'!G1649</f>
        <v>0</v>
      </c>
      <c r="H1649">
        <f>'[1]Processed Data'!H1649</f>
        <v>0</v>
      </c>
      <c r="I1649">
        <f>'[1]Processed Data'!I1649</f>
        <v>0</v>
      </c>
      <c r="J1649">
        <f>'[1]Processed Data'!J1649</f>
        <v>0</v>
      </c>
      <c r="K1649">
        <f>'[1]Processed Data'!K1649</f>
        <v>0</v>
      </c>
      <c r="L1649">
        <f>'[1]Processed Data'!L1649</f>
        <v>0</v>
      </c>
      <c r="M1649">
        <f>'[1]Processed Data'!M1649</f>
        <v>0</v>
      </c>
      <c r="N1649">
        <f>'[1]Processed Data'!N1649</f>
        <v>0</v>
      </c>
      <c r="O1649">
        <f>'[1]Processed Data'!O1649</f>
        <v>0</v>
      </c>
      <c r="P1649">
        <f>'[1]Processed Data'!P1649</f>
        <v>0</v>
      </c>
      <c r="Q1649">
        <f>'[1]Processed Data'!Q1649</f>
        <v>0</v>
      </c>
    </row>
    <row r="1650" spans="2:17" hidden="1">
      <c r="B1650">
        <f>'[1]Processed Data'!B1650</f>
        <v>2011</v>
      </c>
      <c r="C1650">
        <f>'[1]Processed Data'!C1650</f>
        <v>129</v>
      </c>
      <c r="D1650" t="str">
        <f>'[1]Processed Data'!D1650</f>
        <v>Brandon Allen</v>
      </c>
      <c r="E1650">
        <v>2009</v>
      </c>
      <c r="F1650">
        <f>'[1]Processed Data'!F1650</f>
        <v>0</v>
      </c>
      <c r="G1650">
        <f>'[1]Processed Data'!G1650</f>
        <v>0</v>
      </c>
      <c r="H1650">
        <f>'[1]Processed Data'!H1650</f>
        <v>0</v>
      </c>
      <c r="I1650">
        <f>'[1]Processed Data'!I1650</f>
        <v>0</v>
      </c>
      <c r="J1650">
        <f>'[1]Processed Data'!J1650</f>
        <v>0</v>
      </c>
      <c r="K1650">
        <f>'[1]Processed Data'!K1650</f>
        <v>0</v>
      </c>
      <c r="L1650">
        <f>'[1]Processed Data'!L1650</f>
        <v>0</v>
      </c>
      <c r="M1650">
        <f>'[1]Processed Data'!M1650</f>
        <v>0</v>
      </c>
      <c r="N1650">
        <f>'[1]Processed Data'!N1650</f>
        <v>0</v>
      </c>
      <c r="O1650">
        <f>'[1]Processed Data'!O1650</f>
        <v>0</v>
      </c>
      <c r="P1650">
        <f>'[1]Processed Data'!P1650</f>
        <v>0</v>
      </c>
      <c r="Q1650">
        <f>'[1]Processed Data'!Q1650</f>
        <v>0</v>
      </c>
    </row>
    <row r="1651" spans="2:17" hidden="1">
      <c r="B1651">
        <f>'[1]Processed Data'!B1651</f>
        <v>2011</v>
      </c>
      <c r="C1651">
        <f>'[1]Processed Data'!C1651</f>
        <v>130</v>
      </c>
      <c r="D1651" t="str">
        <f>'[1]Processed Data'!D1651</f>
        <v>Jeff Driskel</v>
      </c>
      <c r="E1651">
        <v>2009</v>
      </c>
      <c r="F1651">
        <f>'[1]Processed Data'!F1651</f>
        <v>0</v>
      </c>
      <c r="G1651">
        <f>'[1]Processed Data'!G1651</f>
        <v>0</v>
      </c>
      <c r="H1651">
        <f>'[1]Processed Data'!H1651</f>
        <v>0</v>
      </c>
      <c r="I1651">
        <f>'[1]Processed Data'!I1651</f>
        <v>0</v>
      </c>
      <c r="J1651">
        <f>'[1]Processed Data'!J1651</f>
        <v>0</v>
      </c>
      <c r="K1651">
        <f>'[1]Processed Data'!K1651</f>
        <v>0</v>
      </c>
      <c r="L1651">
        <f>'[1]Processed Data'!L1651</f>
        <v>0</v>
      </c>
      <c r="M1651">
        <f>'[1]Processed Data'!M1651</f>
        <v>0</v>
      </c>
      <c r="N1651">
        <f>'[1]Processed Data'!N1651</f>
        <v>0</v>
      </c>
      <c r="O1651">
        <f>'[1]Processed Data'!O1651</f>
        <v>0</v>
      </c>
      <c r="P1651">
        <f>'[1]Processed Data'!P1651</f>
        <v>0</v>
      </c>
      <c r="Q1651">
        <f>'[1]Processed Data'!Q1651</f>
        <v>0</v>
      </c>
    </row>
    <row r="1652" spans="2:17" hidden="1">
      <c r="B1652">
        <f>'[1]Processed Data'!B1652</f>
        <v>2011</v>
      </c>
      <c r="C1652">
        <f>'[1]Processed Data'!C1652</f>
        <v>131</v>
      </c>
      <c r="D1652" t="str">
        <f>'[1]Processed Data'!D1652</f>
        <v>Jacoby Brissett</v>
      </c>
      <c r="E1652">
        <v>2009</v>
      </c>
      <c r="F1652">
        <f>'[1]Processed Data'!F1652</f>
        <v>0</v>
      </c>
      <c r="G1652">
        <f>'[1]Processed Data'!G1652</f>
        <v>0</v>
      </c>
      <c r="H1652">
        <f>'[1]Processed Data'!H1652</f>
        <v>0</v>
      </c>
      <c r="I1652">
        <f>'[1]Processed Data'!I1652</f>
        <v>0</v>
      </c>
      <c r="J1652">
        <f>'[1]Processed Data'!J1652</f>
        <v>0</v>
      </c>
      <c r="K1652">
        <f>'[1]Processed Data'!K1652</f>
        <v>0</v>
      </c>
      <c r="L1652">
        <f>'[1]Processed Data'!L1652</f>
        <v>0</v>
      </c>
      <c r="M1652">
        <f>'[1]Processed Data'!M1652</f>
        <v>0</v>
      </c>
      <c r="N1652">
        <f>'[1]Processed Data'!N1652</f>
        <v>0</v>
      </c>
      <c r="O1652">
        <f>'[1]Processed Data'!O1652</f>
        <v>0</v>
      </c>
      <c r="P1652">
        <f>'[1]Processed Data'!P1652</f>
        <v>0</v>
      </c>
      <c r="Q1652">
        <f>'[1]Processed Data'!Q1652</f>
        <v>0</v>
      </c>
    </row>
    <row r="1653" spans="2:17" hidden="1">
      <c r="B1653">
        <f>'[1]Processed Data'!B1653</f>
        <v>2011</v>
      </c>
      <c r="C1653">
        <f>'[1]Processed Data'!C1653</f>
        <v>132</v>
      </c>
      <c r="D1653" t="str">
        <f>'[1]Processed Data'!D1653</f>
        <v>Mitchell Trubisky</v>
      </c>
      <c r="E1653">
        <v>2009</v>
      </c>
      <c r="F1653">
        <f>'[1]Processed Data'!F1653</f>
        <v>0</v>
      </c>
      <c r="G1653">
        <f>'[1]Processed Data'!G1653</f>
        <v>0</v>
      </c>
      <c r="H1653">
        <f>'[1]Processed Data'!H1653</f>
        <v>0</v>
      </c>
      <c r="I1653">
        <f>'[1]Processed Data'!I1653</f>
        <v>0</v>
      </c>
      <c r="J1653">
        <f>'[1]Processed Data'!J1653</f>
        <v>0</v>
      </c>
      <c r="K1653">
        <f>'[1]Processed Data'!K1653</f>
        <v>0</v>
      </c>
      <c r="L1653">
        <f>'[1]Processed Data'!L1653</f>
        <v>0</v>
      </c>
      <c r="M1653">
        <f>'[1]Processed Data'!M1653</f>
        <v>0</v>
      </c>
      <c r="N1653">
        <f>'[1]Processed Data'!N1653</f>
        <v>0</v>
      </c>
      <c r="O1653">
        <f>'[1]Processed Data'!O1653</f>
        <v>0</v>
      </c>
      <c r="P1653">
        <f>'[1]Processed Data'!P1653</f>
        <v>0</v>
      </c>
      <c r="Q1653">
        <f>'[1]Processed Data'!Q1653</f>
        <v>0</v>
      </c>
    </row>
    <row r="1654" spans="2:17" hidden="1">
      <c r="B1654">
        <f>'[1]Processed Data'!B1654</f>
        <v>2011</v>
      </c>
      <c r="C1654">
        <f>'[1]Processed Data'!C1654</f>
        <v>133</v>
      </c>
      <c r="D1654" t="str">
        <f>'[1]Processed Data'!D1654</f>
        <v>Deshaun Watson</v>
      </c>
      <c r="E1654">
        <v>2009</v>
      </c>
      <c r="F1654">
        <f>'[1]Processed Data'!F1654</f>
        <v>0</v>
      </c>
      <c r="G1654">
        <f>'[1]Processed Data'!G1654</f>
        <v>0</v>
      </c>
      <c r="H1654">
        <f>'[1]Processed Data'!H1654</f>
        <v>0</v>
      </c>
      <c r="I1654">
        <f>'[1]Processed Data'!I1654</f>
        <v>0</v>
      </c>
      <c r="J1654">
        <f>'[1]Processed Data'!J1654</f>
        <v>0</v>
      </c>
      <c r="K1654">
        <f>'[1]Processed Data'!K1654</f>
        <v>0</v>
      </c>
      <c r="L1654">
        <f>'[1]Processed Data'!L1654</f>
        <v>0</v>
      </c>
      <c r="M1654">
        <f>'[1]Processed Data'!M1654</f>
        <v>0</v>
      </c>
      <c r="N1654">
        <f>'[1]Processed Data'!N1654</f>
        <v>0</v>
      </c>
      <c r="O1654">
        <f>'[1]Processed Data'!O1654</f>
        <v>0</v>
      </c>
      <c r="P1654">
        <f>'[1]Processed Data'!P1654</f>
        <v>0</v>
      </c>
      <c r="Q1654">
        <f>'[1]Processed Data'!Q1654</f>
        <v>0</v>
      </c>
    </row>
    <row r="1655" spans="2:17" hidden="1">
      <c r="B1655">
        <f>'[1]Processed Data'!B1655</f>
        <v>2011</v>
      </c>
      <c r="C1655">
        <f>'[1]Processed Data'!C1655</f>
        <v>134</v>
      </c>
      <c r="D1655" t="str">
        <f>'[1]Processed Data'!D1655</f>
        <v>Mason Rudolph</v>
      </c>
      <c r="E1655">
        <v>2009</v>
      </c>
      <c r="F1655">
        <f>'[1]Processed Data'!F1655</f>
        <v>0</v>
      </c>
      <c r="G1655">
        <f>'[1]Processed Data'!G1655</f>
        <v>0</v>
      </c>
      <c r="H1655">
        <f>'[1]Processed Data'!H1655</f>
        <v>0</v>
      </c>
      <c r="I1655">
        <f>'[1]Processed Data'!I1655</f>
        <v>0</v>
      </c>
      <c r="J1655">
        <f>'[1]Processed Data'!J1655</f>
        <v>0</v>
      </c>
      <c r="K1655">
        <f>'[1]Processed Data'!K1655</f>
        <v>0</v>
      </c>
      <c r="L1655">
        <f>'[1]Processed Data'!L1655</f>
        <v>0</v>
      </c>
      <c r="M1655">
        <f>'[1]Processed Data'!M1655</f>
        <v>0</v>
      </c>
      <c r="N1655">
        <f>'[1]Processed Data'!N1655</f>
        <v>0</v>
      </c>
      <c r="O1655">
        <f>'[1]Processed Data'!O1655</f>
        <v>0</v>
      </c>
      <c r="P1655">
        <f>'[1]Processed Data'!P1655</f>
        <v>0</v>
      </c>
      <c r="Q1655">
        <f>'[1]Processed Data'!Q1655</f>
        <v>0</v>
      </c>
    </row>
    <row r="1656" spans="2:17" hidden="1">
      <c r="B1656">
        <f>'[1]Processed Data'!B1656</f>
        <v>2011</v>
      </c>
      <c r="C1656">
        <f>'[1]Processed Data'!C1656</f>
        <v>135</v>
      </c>
      <c r="D1656" t="str">
        <f>'[1]Processed Data'!D1656</f>
        <v>Taysom Hill</v>
      </c>
      <c r="E1656">
        <v>2009</v>
      </c>
      <c r="F1656">
        <f>'[1]Processed Data'!F1656</f>
        <v>0</v>
      </c>
      <c r="G1656">
        <f>'[1]Processed Data'!G1656</f>
        <v>0</v>
      </c>
      <c r="H1656">
        <f>'[1]Processed Data'!H1656</f>
        <v>0</v>
      </c>
      <c r="I1656">
        <f>'[1]Processed Data'!I1656</f>
        <v>0</v>
      </c>
      <c r="J1656">
        <f>'[1]Processed Data'!J1656</f>
        <v>0</v>
      </c>
      <c r="K1656">
        <f>'[1]Processed Data'!K1656</f>
        <v>0</v>
      </c>
      <c r="L1656">
        <f>'[1]Processed Data'!L1656</f>
        <v>0</v>
      </c>
      <c r="M1656">
        <f>'[1]Processed Data'!M1656</f>
        <v>0</v>
      </c>
      <c r="N1656">
        <f>'[1]Processed Data'!N1656</f>
        <v>0</v>
      </c>
      <c r="O1656">
        <f>'[1]Processed Data'!O1656</f>
        <v>0</v>
      </c>
      <c r="P1656">
        <f>'[1]Processed Data'!P1656</f>
        <v>0</v>
      </c>
      <c r="Q1656">
        <f>'[1]Processed Data'!Q1656</f>
        <v>0</v>
      </c>
    </row>
    <row r="1657" spans="2:17" hidden="1">
      <c r="B1657">
        <f>'[1]Processed Data'!B1657</f>
        <v>2011</v>
      </c>
      <c r="C1657">
        <f>'[1]Processed Data'!C1657</f>
        <v>136</v>
      </c>
      <c r="D1657" t="str">
        <f>'[1]Processed Data'!D1657</f>
        <v>Josh Rosen</v>
      </c>
      <c r="E1657">
        <v>2009</v>
      </c>
      <c r="F1657">
        <f>'[1]Processed Data'!F1657</f>
        <v>0</v>
      </c>
      <c r="G1657">
        <f>'[1]Processed Data'!G1657</f>
        <v>0</v>
      </c>
      <c r="H1657">
        <f>'[1]Processed Data'!H1657</f>
        <v>0</v>
      </c>
      <c r="I1657">
        <f>'[1]Processed Data'!I1657</f>
        <v>0</v>
      </c>
      <c r="J1657">
        <f>'[1]Processed Data'!J1657</f>
        <v>0</v>
      </c>
      <c r="K1657">
        <f>'[1]Processed Data'!K1657</f>
        <v>0</v>
      </c>
      <c r="L1657">
        <f>'[1]Processed Data'!L1657</f>
        <v>0</v>
      </c>
      <c r="M1657">
        <f>'[1]Processed Data'!M1657</f>
        <v>0</v>
      </c>
      <c r="N1657">
        <f>'[1]Processed Data'!N1657</f>
        <v>0</v>
      </c>
      <c r="O1657">
        <f>'[1]Processed Data'!O1657</f>
        <v>0</v>
      </c>
      <c r="P1657">
        <f>'[1]Processed Data'!P1657</f>
        <v>0</v>
      </c>
      <c r="Q1657">
        <f>'[1]Processed Data'!Q1657</f>
        <v>0</v>
      </c>
    </row>
    <row r="1658" spans="2:17" hidden="1">
      <c r="B1658">
        <f>'[1]Processed Data'!B1658</f>
        <v>2011</v>
      </c>
      <c r="C1658">
        <f>'[1]Processed Data'!C1658</f>
        <v>137</v>
      </c>
      <c r="D1658" t="str">
        <f>'[1]Processed Data'!D1658</f>
        <v>Sam Darnold</v>
      </c>
      <c r="E1658">
        <v>2009</v>
      </c>
      <c r="F1658">
        <f>'[1]Processed Data'!F1658</f>
        <v>0</v>
      </c>
      <c r="G1658">
        <f>'[1]Processed Data'!G1658</f>
        <v>0</v>
      </c>
      <c r="H1658">
        <f>'[1]Processed Data'!H1658</f>
        <v>0</v>
      </c>
      <c r="I1658">
        <f>'[1]Processed Data'!I1658</f>
        <v>0</v>
      </c>
      <c r="J1658">
        <f>'[1]Processed Data'!J1658</f>
        <v>0</v>
      </c>
      <c r="K1658">
        <f>'[1]Processed Data'!K1658</f>
        <v>0</v>
      </c>
      <c r="L1658">
        <f>'[1]Processed Data'!L1658</f>
        <v>0</v>
      </c>
      <c r="M1658">
        <f>'[1]Processed Data'!M1658</f>
        <v>0</v>
      </c>
      <c r="N1658">
        <f>'[1]Processed Data'!N1658</f>
        <v>0</v>
      </c>
      <c r="O1658">
        <f>'[1]Processed Data'!O1658</f>
        <v>0</v>
      </c>
      <c r="P1658">
        <f>'[1]Processed Data'!P1658</f>
        <v>0</v>
      </c>
      <c r="Q1658">
        <f>'[1]Processed Data'!Q1658</f>
        <v>0</v>
      </c>
    </row>
    <row r="1659" spans="2:17" hidden="1">
      <c r="B1659">
        <f>'[1]Processed Data'!B1659</f>
        <v>2011</v>
      </c>
      <c r="C1659">
        <f>'[1]Processed Data'!C1659</f>
        <v>138</v>
      </c>
      <c r="D1659" t="str">
        <f>'[1]Processed Data'!D1659</f>
        <v>Baker Mayfield</v>
      </c>
      <c r="E1659">
        <v>2009</v>
      </c>
      <c r="F1659">
        <f>'[1]Processed Data'!F1659</f>
        <v>0</v>
      </c>
      <c r="G1659">
        <f>'[1]Processed Data'!G1659</f>
        <v>0</v>
      </c>
      <c r="H1659">
        <f>'[1]Processed Data'!H1659</f>
        <v>0</v>
      </c>
      <c r="I1659">
        <f>'[1]Processed Data'!I1659</f>
        <v>0</v>
      </c>
      <c r="J1659">
        <f>'[1]Processed Data'!J1659</f>
        <v>0</v>
      </c>
      <c r="K1659">
        <f>'[1]Processed Data'!K1659</f>
        <v>0</v>
      </c>
      <c r="L1659">
        <f>'[1]Processed Data'!L1659</f>
        <v>0</v>
      </c>
      <c r="M1659">
        <f>'[1]Processed Data'!M1659</f>
        <v>0</v>
      </c>
      <c r="N1659">
        <f>'[1]Processed Data'!N1659</f>
        <v>0</v>
      </c>
      <c r="O1659">
        <f>'[1]Processed Data'!O1659</f>
        <v>0</v>
      </c>
      <c r="P1659">
        <f>'[1]Processed Data'!P1659</f>
        <v>0</v>
      </c>
      <c r="Q1659">
        <f>'[1]Processed Data'!Q1659</f>
        <v>0</v>
      </c>
    </row>
    <row r="1660" spans="2:17" hidden="1">
      <c r="B1660">
        <f>'[1]Processed Data'!B1660</f>
        <v>2011</v>
      </c>
      <c r="C1660">
        <f>'[1]Processed Data'!C1660</f>
        <v>139</v>
      </c>
      <c r="D1660" t="str">
        <f>'[1]Processed Data'!D1660</f>
        <v>Logan Woodside</v>
      </c>
      <c r="E1660">
        <v>2009</v>
      </c>
      <c r="F1660">
        <f>'[1]Processed Data'!F1660</f>
        <v>0</v>
      </c>
      <c r="G1660">
        <f>'[1]Processed Data'!G1660</f>
        <v>0</v>
      </c>
      <c r="H1660">
        <f>'[1]Processed Data'!H1660</f>
        <v>0</v>
      </c>
      <c r="I1660">
        <f>'[1]Processed Data'!I1660</f>
        <v>0</v>
      </c>
      <c r="J1660">
        <f>'[1]Processed Data'!J1660</f>
        <v>0</v>
      </c>
      <c r="K1660">
        <f>'[1]Processed Data'!K1660</f>
        <v>0</v>
      </c>
      <c r="L1660">
        <f>'[1]Processed Data'!L1660</f>
        <v>0</v>
      </c>
      <c r="M1660">
        <f>'[1]Processed Data'!M1660</f>
        <v>0</v>
      </c>
      <c r="N1660">
        <f>'[1]Processed Data'!N1660</f>
        <v>0</v>
      </c>
      <c r="O1660">
        <f>'[1]Processed Data'!O1660</f>
        <v>0</v>
      </c>
      <c r="P1660">
        <f>'[1]Processed Data'!P1660</f>
        <v>0</v>
      </c>
      <c r="Q1660">
        <f>'[1]Processed Data'!Q1660</f>
        <v>0</v>
      </c>
    </row>
    <row r="1661" spans="2:17" hidden="1">
      <c r="B1661">
        <f>'[1]Processed Data'!B1661</f>
        <v>2011</v>
      </c>
      <c r="C1661">
        <f>'[1]Processed Data'!C1661</f>
        <v>140</v>
      </c>
      <c r="D1661" t="str">
        <f>'[1]Processed Data'!D1661</f>
        <v>Josh Allen</v>
      </c>
      <c r="E1661">
        <v>2009</v>
      </c>
      <c r="F1661">
        <f>'[1]Processed Data'!F1661</f>
        <v>0</v>
      </c>
      <c r="G1661">
        <f>'[1]Processed Data'!G1661</f>
        <v>0</v>
      </c>
      <c r="H1661">
        <f>'[1]Processed Data'!H1661</f>
        <v>0</v>
      </c>
      <c r="I1661">
        <f>'[1]Processed Data'!I1661</f>
        <v>0</v>
      </c>
      <c r="J1661">
        <f>'[1]Processed Data'!J1661</f>
        <v>0</v>
      </c>
      <c r="K1661">
        <f>'[1]Processed Data'!K1661</f>
        <v>0</v>
      </c>
      <c r="L1661">
        <f>'[1]Processed Data'!L1661</f>
        <v>0</v>
      </c>
      <c r="M1661">
        <f>'[1]Processed Data'!M1661</f>
        <v>0</v>
      </c>
      <c r="N1661">
        <f>'[1]Processed Data'!N1661</f>
        <v>0</v>
      </c>
      <c r="O1661">
        <f>'[1]Processed Data'!O1661</f>
        <v>0</v>
      </c>
      <c r="P1661">
        <f>'[1]Processed Data'!P1661</f>
        <v>0</v>
      </c>
      <c r="Q1661">
        <f>'[1]Processed Data'!Q1661</f>
        <v>0</v>
      </c>
    </row>
    <row r="1662" spans="2:17" hidden="1">
      <c r="B1662">
        <f>'[1]Processed Data'!B1662</f>
        <v>2011</v>
      </c>
      <c r="C1662">
        <f>'[1]Processed Data'!C1662</f>
        <v>141</v>
      </c>
      <c r="D1662" t="str">
        <f>'[1]Processed Data'!D1662</f>
        <v>Patrick Mahomes II</v>
      </c>
      <c r="E1662">
        <v>2009</v>
      </c>
      <c r="F1662">
        <f>'[1]Processed Data'!F1662</f>
        <v>0</v>
      </c>
      <c r="G1662">
        <f>'[1]Processed Data'!G1662</f>
        <v>0</v>
      </c>
      <c r="H1662">
        <f>'[1]Processed Data'!H1662</f>
        <v>0</v>
      </c>
      <c r="I1662">
        <f>'[1]Processed Data'!I1662</f>
        <v>0</v>
      </c>
      <c r="J1662">
        <f>'[1]Processed Data'!J1662</f>
        <v>0</v>
      </c>
      <c r="K1662">
        <f>'[1]Processed Data'!K1662</f>
        <v>0</v>
      </c>
      <c r="L1662">
        <f>'[1]Processed Data'!L1662</f>
        <v>0</v>
      </c>
      <c r="M1662">
        <f>'[1]Processed Data'!M1662</f>
        <v>0</v>
      </c>
      <c r="N1662">
        <f>'[1]Processed Data'!N1662</f>
        <v>0</v>
      </c>
      <c r="O1662">
        <f>'[1]Processed Data'!O1662</f>
        <v>0</v>
      </c>
      <c r="P1662">
        <f>'[1]Processed Data'!P1662</f>
        <v>0</v>
      </c>
      <c r="Q1662">
        <f>'[1]Processed Data'!Q1662</f>
        <v>0</v>
      </c>
    </row>
    <row r="1663" spans="2:17" hidden="1">
      <c r="B1663">
        <f>'[1]Processed Data'!B1663</f>
        <v>2011</v>
      </c>
      <c r="C1663">
        <f>'[1]Processed Data'!C1663</f>
        <v>142</v>
      </c>
      <c r="D1663" t="str">
        <f>'[1]Processed Data'!D1663</f>
        <v>Joshua Dobbs</v>
      </c>
      <c r="E1663">
        <v>2009</v>
      </c>
      <c r="F1663">
        <f>'[1]Processed Data'!F1663</f>
        <v>0</v>
      </c>
      <c r="G1663">
        <f>'[1]Processed Data'!G1663</f>
        <v>0</v>
      </c>
      <c r="H1663">
        <f>'[1]Processed Data'!H1663</f>
        <v>0</v>
      </c>
      <c r="I1663">
        <f>'[1]Processed Data'!I1663</f>
        <v>0</v>
      </c>
      <c r="J1663">
        <f>'[1]Processed Data'!J1663</f>
        <v>0</v>
      </c>
      <c r="K1663">
        <f>'[1]Processed Data'!K1663</f>
        <v>0</v>
      </c>
      <c r="L1663">
        <f>'[1]Processed Data'!L1663</f>
        <v>0</v>
      </c>
      <c r="M1663">
        <f>'[1]Processed Data'!M1663</f>
        <v>0</v>
      </c>
      <c r="N1663">
        <f>'[1]Processed Data'!N1663</f>
        <v>0</v>
      </c>
      <c r="O1663">
        <f>'[1]Processed Data'!O1663</f>
        <v>0</v>
      </c>
      <c r="P1663">
        <f>'[1]Processed Data'!P1663</f>
        <v>0</v>
      </c>
      <c r="Q1663">
        <f>'[1]Processed Data'!Q1663</f>
        <v>0</v>
      </c>
    </row>
    <row r="1664" spans="2:17" hidden="1">
      <c r="B1664">
        <f>'[1]Processed Data'!B1664</f>
        <v>2011</v>
      </c>
      <c r="C1664">
        <f>'[1]Processed Data'!C1664</f>
        <v>143</v>
      </c>
      <c r="D1664" t="str">
        <f>'[1]Processed Data'!D1664</f>
        <v>Davis Webb</v>
      </c>
      <c r="E1664">
        <v>2009</v>
      </c>
      <c r="F1664">
        <f>'[1]Processed Data'!F1664</f>
        <v>0</v>
      </c>
      <c r="G1664">
        <f>'[1]Processed Data'!G1664</f>
        <v>0</v>
      </c>
      <c r="H1664">
        <f>'[1]Processed Data'!H1664</f>
        <v>0</v>
      </c>
      <c r="I1664">
        <f>'[1]Processed Data'!I1664</f>
        <v>0</v>
      </c>
      <c r="J1664">
        <f>'[1]Processed Data'!J1664</f>
        <v>0</v>
      </c>
      <c r="K1664">
        <f>'[1]Processed Data'!K1664</f>
        <v>0</v>
      </c>
      <c r="L1664">
        <f>'[1]Processed Data'!L1664</f>
        <v>0</v>
      </c>
      <c r="M1664">
        <f>'[1]Processed Data'!M1664</f>
        <v>0</v>
      </c>
      <c r="N1664">
        <f>'[1]Processed Data'!N1664</f>
        <v>0</v>
      </c>
      <c r="O1664">
        <f>'[1]Processed Data'!O1664</f>
        <v>0</v>
      </c>
      <c r="P1664">
        <f>'[1]Processed Data'!P1664</f>
        <v>0</v>
      </c>
      <c r="Q1664">
        <f>'[1]Processed Data'!Q1664</f>
        <v>0</v>
      </c>
    </row>
    <row r="1665" spans="2:17" hidden="1">
      <c r="B1665">
        <f>'[1]Processed Data'!B1665</f>
        <v>2011</v>
      </c>
      <c r="C1665">
        <f>'[1]Processed Data'!C1665</f>
        <v>144</v>
      </c>
      <c r="D1665" t="str">
        <f>'[1]Processed Data'!D1665</f>
        <v>C.J. Beathard</v>
      </c>
      <c r="E1665">
        <v>2009</v>
      </c>
      <c r="F1665">
        <f>'[1]Processed Data'!F1665</f>
        <v>0</v>
      </c>
      <c r="G1665">
        <f>'[1]Processed Data'!G1665</f>
        <v>0</v>
      </c>
      <c r="H1665">
        <f>'[1]Processed Data'!H1665</f>
        <v>0</v>
      </c>
      <c r="I1665">
        <f>'[1]Processed Data'!I1665</f>
        <v>0</v>
      </c>
      <c r="J1665">
        <f>'[1]Processed Data'!J1665</f>
        <v>0</v>
      </c>
      <c r="K1665">
        <f>'[1]Processed Data'!K1665</f>
        <v>0</v>
      </c>
      <c r="L1665">
        <f>'[1]Processed Data'!L1665</f>
        <v>0</v>
      </c>
      <c r="M1665">
        <f>'[1]Processed Data'!M1665</f>
        <v>0</v>
      </c>
      <c r="N1665">
        <f>'[1]Processed Data'!N1665</f>
        <v>0</v>
      </c>
      <c r="O1665">
        <f>'[1]Processed Data'!O1665</f>
        <v>0</v>
      </c>
      <c r="P1665">
        <f>'[1]Processed Data'!P1665</f>
        <v>0</v>
      </c>
      <c r="Q1665">
        <f>'[1]Processed Data'!Q1665</f>
        <v>0</v>
      </c>
    </row>
    <row r="1666" spans="2:17" hidden="1">
      <c r="B1666">
        <f>'[1]Processed Data'!B1666</f>
        <v>2011</v>
      </c>
      <c r="C1666">
        <f>'[1]Processed Data'!C1666</f>
        <v>145</v>
      </c>
      <c r="D1666" t="str">
        <f>'[1]Processed Data'!D1666</f>
        <v>Cooper Rush</v>
      </c>
      <c r="E1666">
        <v>2009</v>
      </c>
      <c r="F1666">
        <f>'[1]Processed Data'!F1666</f>
        <v>0</v>
      </c>
      <c r="G1666">
        <f>'[1]Processed Data'!G1666</f>
        <v>0</v>
      </c>
      <c r="H1666">
        <f>'[1]Processed Data'!H1666</f>
        <v>0</v>
      </c>
      <c r="I1666">
        <f>'[1]Processed Data'!I1666</f>
        <v>0</v>
      </c>
      <c r="J1666">
        <f>'[1]Processed Data'!J1666</f>
        <v>0</v>
      </c>
      <c r="K1666">
        <f>'[1]Processed Data'!K1666</f>
        <v>0</v>
      </c>
      <c r="L1666">
        <f>'[1]Processed Data'!L1666</f>
        <v>0</v>
      </c>
      <c r="M1666">
        <f>'[1]Processed Data'!M1666</f>
        <v>0</v>
      </c>
      <c r="N1666">
        <f>'[1]Processed Data'!N1666</f>
        <v>0</v>
      </c>
      <c r="O1666">
        <f>'[1]Processed Data'!O1666</f>
        <v>0</v>
      </c>
      <c r="P1666">
        <f>'[1]Processed Data'!P1666</f>
        <v>0</v>
      </c>
      <c r="Q1666">
        <f>'[1]Processed Data'!Q1666</f>
        <v>0</v>
      </c>
    </row>
    <row r="1667" spans="2:17" hidden="1">
      <c r="B1667">
        <f>'[1]Processed Data'!B1667</f>
        <v>2011</v>
      </c>
      <c r="C1667">
        <f>'[1]Processed Data'!C1667</f>
        <v>146</v>
      </c>
      <c r="D1667" t="str">
        <f>'[1]Processed Data'!D1667</f>
        <v>Nick Mullens</v>
      </c>
      <c r="E1667">
        <v>2009</v>
      </c>
      <c r="F1667">
        <f>'[1]Processed Data'!F1667</f>
        <v>0</v>
      </c>
      <c r="G1667">
        <f>'[1]Processed Data'!G1667</f>
        <v>0</v>
      </c>
      <c r="H1667">
        <f>'[1]Processed Data'!H1667</f>
        <v>0</v>
      </c>
      <c r="I1667">
        <f>'[1]Processed Data'!I1667</f>
        <v>0</v>
      </c>
      <c r="J1667">
        <f>'[1]Processed Data'!J1667</f>
        <v>0</v>
      </c>
      <c r="K1667">
        <f>'[1]Processed Data'!K1667</f>
        <v>0</v>
      </c>
      <c r="L1667">
        <f>'[1]Processed Data'!L1667</f>
        <v>0</v>
      </c>
      <c r="M1667">
        <f>'[1]Processed Data'!M1667</f>
        <v>0</v>
      </c>
      <c r="N1667">
        <f>'[1]Processed Data'!N1667</f>
        <v>0</v>
      </c>
      <c r="O1667">
        <f>'[1]Processed Data'!O1667</f>
        <v>0</v>
      </c>
      <c r="P1667">
        <f>'[1]Processed Data'!P1667</f>
        <v>0</v>
      </c>
      <c r="Q1667">
        <f>'[1]Processed Data'!Q1667</f>
        <v>0</v>
      </c>
    </row>
    <row r="1668" spans="2:17" hidden="1">
      <c r="B1668">
        <f>'[1]Processed Data'!B1668</f>
        <v>2011</v>
      </c>
      <c r="C1668">
        <f>'[1]Processed Data'!C1668</f>
        <v>147</v>
      </c>
      <c r="D1668" t="str">
        <f>'[1]Processed Data'!D1668</f>
        <v>P.J. Walker</v>
      </c>
      <c r="E1668">
        <v>2009</v>
      </c>
      <c r="F1668">
        <f>'[1]Processed Data'!F1668</f>
        <v>0</v>
      </c>
      <c r="G1668">
        <f>'[1]Processed Data'!G1668</f>
        <v>0</v>
      </c>
      <c r="H1668">
        <f>'[1]Processed Data'!H1668</f>
        <v>0</v>
      </c>
      <c r="I1668">
        <f>'[1]Processed Data'!I1668</f>
        <v>0</v>
      </c>
      <c r="J1668">
        <f>'[1]Processed Data'!J1668</f>
        <v>0</v>
      </c>
      <c r="K1668">
        <f>'[1]Processed Data'!K1668</f>
        <v>0</v>
      </c>
      <c r="L1668">
        <f>'[1]Processed Data'!L1668</f>
        <v>0</v>
      </c>
      <c r="M1668">
        <f>'[1]Processed Data'!M1668</f>
        <v>0</v>
      </c>
      <c r="N1668">
        <f>'[1]Processed Data'!N1668</f>
        <v>0</v>
      </c>
      <c r="O1668">
        <f>'[1]Processed Data'!O1668</f>
        <v>0</v>
      </c>
      <c r="P1668">
        <f>'[1]Processed Data'!P1668</f>
        <v>0</v>
      </c>
      <c r="Q1668">
        <f>'[1]Processed Data'!Q1668</f>
        <v>0</v>
      </c>
    </row>
    <row r="1669" spans="2:17" hidden="1">
      <c r="B1669">
        <f>'[1]Processed Data'!B1669</f>
        <v>2011</v>
      </c>
      <c r="C1669">
        <f>'[1]Processed Data'!C1669</f>
        <v>148</v>
      </c>
      <c r="D1669" t="str">
        <f>'[1]Processed Data'!D1669</f>
        <v>Jimmy Garoppolo</v>
      </c>
      <c r="E1669">
        <v>2009</v>
      </c>
      <c r="F1669">
        <f>'[1]Processed Data'!F1669</f>
        <v>0</v>
      </c>
      <c r="G1669">
        <f>'[1]Processed Data'!G1669</f>
        <v>0</v>
      </c>
      <c r="H1669">
        <f>'[1]Processed Data'!H1669</f>
        <v>0</v>
      </c>
      <c r="I1669">
        <f>'[1]Processed Data'!I1669</f>
        <v>0</v>
      </c>
      <c r="J1669">
        <f>'[1]Processed Data'!J1669</f>
        <v>0</v>
      </c>
      <c r="K1669">
        <f>'[1]Processed Data'!K1669</f>
        <v>0</v>
      </c>
      <c r="L1669">
        <f>'[1]Processed Data'!L1669</f>
        <v>0</v>
      </c>
      <c r="M1669">
        <f>'[1]Processed Data'!M1669</f>
        <v>0</v>
      </c>
      <c r="N1669">
        <f>'[1]Processed Data'!N1669</f>
        <v>0</v>
      </c>
      <c r="O1669">
        <f>'[1]Processed Data'!O1669</f>
        <v>0</v>
      </c>
      <c r="P1669">
        <f>'[1]Processed Data'!P1669</f>
        <v>0</v>
      </c>
      <c r="Q1669">
        <f>'[1]Processed Data'!Q1669</f>
        <v>0</v>
      </c>
    </row>
    <row r="1670" spans="2:17" hidden="1">
      <c r="B1670">
        <f>'[1]Processed Data'!B1670</f>
        <v>2011</v>
      </c>
      <c r="C1670">
        <f>'[1]Processed Data'!C1670</f>
        <v>149</v>
      </c>
      <c r="D1670" t="str">
        <f>'[1]Processed Data'!D1670</f>
        <v>Brett Smith</v>
      </c>
      <c r="E1670">
        <v>2009</v>
      </c>
      <c r="F1670">
        <f>'[1]Processed Data'!F1670</f>
        <v>0</v>
      </c>
      <c r="G1670">
        <f>'[1]Processed Data'!G1670</f>
        <v>0</v>
      </c>
      <c r="H1670">
        <f>'[1]Processed Data'!H1670</f>
        <v>0</v>
      </c>
      <c r="I1670">
        <f>'[1]Processed Data'!I1670</f>
        <v>0</v>
      </c>
      <c r="J1670">
        <f>'[1]Processed Data'!J1670</f>
        <v>0</v>
      </c>
      <c r="K1670">
        <f>'[1]Processed Data'!K1670</f>
        <v>0</v>
      </c>
      <c r="L1670">
        <f>'[1]Processed Data'!L1670</f>
        <v>0</v>
      </c>
      <c r="M1670">
        <f>'[1]Processed Data'!M1670</f>
        <v>0</v>
      </c>
      <c r="N1670">
        <f>'[1]Processed Data'!N1670</f>
        <v>0</v>
      </c>
      <c r="O1670">
        <f>'[1]Processed Data'!O1670</f>
        <v>0</v>
      </c>
      <c r="P1670">
        <f>'[1]Processed Data'!P1670</f>
        <v>0</v>
      </c>
      <c r="Q1670">
        <f>'[1]Processed Data'!Q1670</f>
        <v>0</v>
      </c>
    </row>
    <row r="1671" spans="2:17" hidden="1">
      <c r="B1671">
        <f>'[1]Processed Data'!B1671</f>
        <v>2011</v>
      </c>
      <c r="C1671">
        <f>'[1]Processed Data'!C1671</f>
        <v>150</v>
      </c>
      <c r="D1671" t="str">
        <f>'[1]Processed Data'!D1671</f>
        <v>David Fales</v>
      </c>
      <c r="E1671">
        <v>2009</v>
      </c>
      <c r="F1671">
        <f>'[1]Processed Data'!F1671</f>
        <v>0</v>
      </c>
      <c r="G1671">
        <f>'[1]Processed Data'!G1671</f>
        <v>0</v>
      </c>
      <c r="H1671">
        <f>'[1]Processed Data'!H1671</f>
        <v>0</v>
      </c>
      <c r="I1671">
        <f>'[1]Processed Data'!I1671</f>
        <v>0</v>
      </c>
      <c r="J1671">
        <f>'[1]Processed Data'!J1671</f>
        <v>0</v>
      </c>
      <c r="K1671">
        <f>'[1]Processed Data'!K1671</f>
        <v>0</v>
      </c>
      <c r="L1671">
        <f>'[1]Processed Data'!L1671</f>
        <v>0</v>
      </c>
      <c r="M1671">
        <f>'[1]Processed Data'!M1671</f>
        <v>0</v>
      </c>
      <c r="N1671">
        <f>'[1]Processed Data'!N1671</f>
        <v>0</v>
      </c>
      <c r="O1671">
        <f>'[1]Processed Data'!O1671</f>
        <v>0</v>
      </c>
      <c r="P1671">
        <f>'[1]Processed Data'!P1671</f>
        <v>0</v>
      </c>
      <c r="Q1671">
        <f>'[1]Processed Data'!Q1671</f>
        <v>0</v>
      </c>
    </row>
    <row r="1672" spans="2:17" hidden="1">
      <c r="B1672">
        <f>'[1]Processed Data'!B1672</f>
        <v>2011</v>
      </c>
      <c r="C1672">
        <f>'[1]Processed Data'!C1672</f>
        <v>151</v>
      </c>
      <c r="D1672" t="str">
        <f>'[1]Processed Data'!D1672</f>
        <v>Garrett Gilbert</v>
      </c>
      <c r="E1672">
        <v>2009</v>
      </c>
      <c r="F1672">
        <f>'[1]Processed Data'!F1672</f>
        <v>0</v>
      </c>
      <c r="G1672">
        <f>'[1]Processed Data'!G1672</f>
        <v>0</v>
      </c>
      <c r="H1672">
        <f>'[1]Processed Data'!H1672</f>
        <v>0</v>
      </c>
      <c r="I1672">
        <f>'[1]Processed Data'!I1672</f>
        <v>0</v>
      </c>
      <c r="J1672">
        <f>'[1]Processed Data'!J1672</f>
        <v>0</v>
      </c>
      <c r="K1672">
        <f>'[1]Processed Data'!K1672</f>
        <v>0</v>
      </c>
      <c r="L1672">
        <f>'[1]Processed Data'!L1672</f>
        <v>0</v>
      </c>
      <c r="M1672">
        <f>'[1]Processed Data'!M1672</f>
        <v>0</v>
      </c>
      <c r="N1672">
        <f>'[1]Processed Data'!N1672</f>
        <v>0</v>
      </c>
      <c r="O1672">
        <f>'[1]Processed Data'!O1672</f>
        <v>0</v>
      </c>
      <c r="P1672">
        <f>'[1]Processed Data'!P1672</f>
        <v>0</v>
      </c>
      <c r="Q1672">
        <f>'[1]Processed Data'!Q1672</f>
        <v>0</v>
      </c>
    </row>
    <row r="1673" spans="2:17" hidden="1">
      <c r="B1673">
        <f>'[1]Processed Data'!B1673</f>
        <v>2011</v>
      </c>
      <c r="C1673">
        <f>'[1]Processed Data'!C1673</f>
        <v>152</v>
      </c>
      <c r="D1673" t="str">
        <f>'[1]Processed Data'!D1673</f>
        <v>Geno Smith</v>
      </c>
      <c r="E1673">
        <v>2009</v>
      </c>
      <c r="F1673">
        <f>'[1]Processed Data'!F1673</f>
        <v>0</v>
      </c>
      <c r="G1673">
        <f>'[1]Processed Data'!G1673</f>
        <v>0</v>
      </c>
      <c r="H1673">
        <f>'[1]Processed Data'!H1673</f>
        <v>0</v>
      </c>
      <c r="I1673">
        <f>'[1]Processed Data'!I1673</f>
        <v>0</v>
      </c>
      <c r="J1673">
        <f>'[1]Processed Data'!J1673</f>
        <v>0</v>
      </c>
      <c r="K1673">
        <f>'[1]Processed Data'!K1673</f>
        <v>0</v>
      </c>
      <c r="L1673">
        <f>'[1]Processed Data'!L1673</f>
        <v>0</v>
      </c>
      <c r="M1673">
        <f>'[1]Processed Data'!M1673</f>
        <v>0</v>
      </c>
      <c r="N1673">
        <f>'[1]Processed Data'!N1673</f>
        <v>0</v>
      </c>
      <c r="O1673">
        <f>'[1]Processed Data'!O1673</f>
        <v>0</v>
      </c>
      <c r="P1673">
        <f>'[1]Processed Data'!P1673</f>
        <v>0</v>
      </c>
      <c r="Q1673">
        <f>'[1]Processed Data'!Q1673</f>
        <v>0</v>
      </c>
    </row>
    <row r="1674" spans="2:17" hidden="1">
      <c r="B1674">
        <f>'[1]Processed Data'!B1674</f>
        <v>2011</v>
      </c>
      <c r="C1674">
        <f>'[1]Processed Data'!C1674</f>
        <v>153</v>
      </c>
      <c r="D1674" t="str">
        <f>'[1]Processed Data'!D1674</f>
        <v>Mike Glennon</v>
      </c>
      <c r="E1674">
        <v>2009</v>
      </c>
      <c r="F1674">
        <f>'[1]Processed Data'!F1674</f>
        <v>0</v>
      </c>
      <c r="G1674">
        <f>'[1]Processed Data'!G1674</f>
        <v>0</v>
      </c>
      <c r="H1674">
        <f>'[1]Processed Data'!H1674</f>
        <v>0</v>
      </c>
      <c r="I1674">
        <f>'[1]Processed Data'!I1674</f>
        <v>0</v>
      </c>
      <c r="J1674">
        <f>'[1]Processed Data'!J1674</f>
        <v>0</v>
      </c>
      <c r="K1674">
        <f>'[1]Processed Data'!K1674</f>
        <v>0</v>
      </c>
      <c r="L1674">
        <f>'[1]Processed Data'!L1674</f>
        <v>0</v>
      </c>
      <c r="M1674">
        <f>'[1]Processed Data'!M1674</f>
        <v>0</v>
      </c>
      <c r="N1674">
        <f>'[1]Processed Data'!N1674</f>
        <v>0</v>
      </c>
      <c r="O1674">
        <f>'[1]Processed Data'!O1674</f>
        <v>0</v>
      </c>
      <c r="P1674">
        <f>'[1]Processed Data'!P1674</f>
        <v>0</v>
      </c>
      <c r="Q1674">
        <f>'[1]Processed Data'!Q1674</f>
        <v>0</v>
      </c>
    </row>
    <row r="1675" spans="2:17" hidden="1">
      <c r="B1675">
        <f>'[1]Processed Data'!B1675</f>
        <v>2011</v>
      </c>
      <c r="C1675">
        <f>'[1]Processed Data'!C1675</f>
        <v>154</v>
      </c>
      <c r="D1675" t="str">
        <f>'[1]Processed Data'!D1675</f>
        <v>Derek Carr</v>
      </c>
      <c r="E1675">
        <v>2009</v>
      </c>
      <c r="F1675">
        <f>'[1]Processed Data'!F1675</f>
        <v>0</v>
      </c>
      <c r="G1675">
        <f>'[1]Processed Data'!G1675</f>
        <v>0</v>
      </c>
      <c r="H1675">
        <f>'[1]Processed Data'!H1675</f>
        <v>0</v>
      </c>
      <c r="I1675">
        <f>'[1]Processed Data'!I1675</f>
        <v>0</v>
      </c>
      <c r="J1675">
        <f>'[1]Processed Data'!J1675</f>
        <v>0</v>
      </c>
      <c r="K1675">
        <f>'[1]Processed Data'!K1675</f>
        <v>0</v>
      </c>
      <c r="L1675">
        <f>'[1]Processed Data'!L1675</f>
        <v>0</v>
      </c>
      <c r="M1675">
        <f>'[1]Processed Data'!M1675</f>
        <v>0</v>
      </c>
      <c r="N1675">
        <f>'[1]Processed Data'!N1675</f>
        <v>0</v>
      </c>
      <c r="O1675">
        <f>'[1]Processed Data'!O1675</f>
        <v>0</v>
      </c>
      <c r="P1675">
        <f>'[1]Processed Data'!P1675</f>
        <v>0</v>
      </c>
      <c r="Q1675">
        <f>'[1]Processed Data'!Q1675</f>
        <v>0</v>
      </c>
    </row>
    <row r="1676" spans="2:17" hidden="1">
      <c r="B1676">
        <f>'[1]Processed Data'!B1676</f>
        <v>2011</v>
      </c>
      <c r="C1676">
        <f>'[1]Processed Data'!C1676</f>
        <v>155</v>
      </c>
      <c r="D1676" t="str">
        <f>'[1]Processed Data'!D1676</f>
        <v>Teddy Bridgewater</v>
      </c>
      <c r="E1676">
        <v>2009</v>
      </c>
      <c r="F1676">
        <f>'[1]Processed Data'!F1676</f>
        <v>0</v>
      </c>
      <c r="G1676">
        <f>'[1]Processed Data'!G1676</f>
        <v>0</v>
      </c>
      <c r="H1676">
        <f>'[1]Processed Data'!H1676</f>
        <v>0</v>
      </c>
      <c r="I1676">
        <f>'[1]Processed Data'!I1676</f>
        <v>0</v>
      </c>
      <c r="J1676">
        <f>'[1]Processed Data'!J1676</f>
        <v>0</v>
      </c>
      <c r="K1676">
        <f>'[1]Processed Data'!K1676</f>
        <v>0</v>
      </c>
      <c r="L1676">
        <f>'[1]Processed Data'!L1676</f>
        <v>0</v>
      </c>
      <c r="M1676">
        <f>'[1]Processed Data'!M1676</f>
        <v>0</v>
      </c>
      <c r="N1676">
        <f>'[1]Processed Data'!N1676</f>
        <v>0</v>
      </c>
      <c r="O1676">
        <f>'[1]Processed Data'!O1676</f>
        <v>0</v>
      </c>
      <c r="P1676">
        <f>'[1]Processed Data'!P1676</f>
        <v>0</v>
      </c>
      <c r="Q1676">
        <f>'[1]Processed Data'!Q1676</f>
        <v>0</v>
      </c>
    </row>
    <row r="1677" spans="2:17" hidden="1">
      <c r="B1677">
        <f>'[1]Processed Data'!B1677</f>
        <v>2011</v>
      </c>
      <c r="C1677">
        <f>'[1]Processed Data'!C1677</f>
        <v>156</v>
      </c>
      <c r="D1677" t="str">
        <f>'[1]Processed Data'!D1677</f>
        <v>Blake Bortles</v>
      </c>
      <c r="E1677">
        <v>2009</v>
      </c>
      <c r="F1677">
        <f>'[1]Processed Data'!F1677</f>
        <v>0</v>
      </c>
      <c r="G1677">
        <f>'[1]Processed Data'!G1677</f>
        <v>0</v>
      </c>
      <c r="H1677">
        <f>'[1]Processed Data'!H1677</f>
        <v>0</v>
      </c>
      <c r="I1677">
        <f>'[1]Processed Data'!I1677</f>
        <v>0</v>
      </c>
      <c r="J1677">
        <f>'[1]Processed Data'!J1677</f>
        <v>0</v>
      </c>
      <c r="K1677">
        <f>'[1]Processed Data'!K1677</f>
        <v>0</v>
      </c>
      <c r="L1677">
        <f>'[1]Processed Data'!L1677</f>
        <v>0</v>
      </c>
      <c r="M1677">
        <f>'[1]Processed Data'!M1677</f>
        <v>0</v>
      </c>
      <c r="N1677">
        <f>'[1]Processed Data'!N1677</f>
        <v>0</v>
      </c>
      <c r="O1677">
        <f>'[1]Processed Data'!O1677</f>
        <v>0</v>
      </c>
      <c r="P1677">
        <f>'[1]Processed Data'!P1677</f>
        <v>0</v>
      </c>
      <c r="Q1677">
        <f>'[1]Processed Data'!Q1677</f>
        <v>0</v>
      </c>
    </row>
    <row r="1678" spans="2:17" hidden="1">
      <c r="B1678">
        <f>'[1]Processed Data'!B1678</f>
        <v>2011</v>
      </c>
      <c r="C1678">
        <f>'[1]Processed Data'!C1678</f>
        <v>157</v>
      </c>
      <c r="D1678" t="str">
        <f>'[1]Processed Data'!D1678</f>
        <v>AJ McCarron</v>
      </c>
      <c r="E1678">
        <v>2009</v>
      </c>
      <c r="F1678">
        <f>'[1]Processed Data'!F1678</f>
        <v>0</v>
      </c>
      <c r="G1678">
        <f>'[1]Processed Data'!G1678</f>
        <v>0</v>
      </c>
      <c r="H1678">
        <f>'[1]Processed Data'!H1678</f>
        <v>0</v>
      </c>
      <c r="I1678">
        <f>'[1]Processed Data'!I1678</f>
        <v>0</v>
      </c>
      <c r="J1678">
        <f>'[1]Processed Data'!J1678</f>
        <v>0</v>
      </c>
      <c r="K1678">
        <f>'[1]Processed Data'!K1678</f>
        <v>0</v>
      </c>
      <c r="L1678">
        <f>'[1]Processed Data'!L1678</f>
        <v>0</v>
      </c>
      <c r="M1678">
        <f>'[1]Processed Data'!M1678</f>
        <v>0</v>
      </c>
      <c r="N1678">
        <f>'[1]Processed Data'!N1678</f>
        <v>0</v>
      </c>
      <c r="O1678">
        <f>'[1]Processed Data'!O1678</f>
        <v>0</v>
      </c>
      <c r="P1678">
        <f>'[1]Processed Data'!P1678</f>
        <v>0</v>
      </c>
      <c r="Q1678">
        <f>'[1]Processed Data'!Q1678</f>
        <v>0</v>
      </c>
    </row>
    <row r="1679" spans="2:17" hidden="1">
      <c r="B1679">
        <f>'[1]Processed Data'!B1679</f>
        <v>2011</v>
      </c>
      <c r="C1679">
        <f>'[1]Processed Data'!C1679</f>
        <v>158</v>
      </c>
      <c r="D1679" t="str">
        <f>'[1]Processed Data'!D1679</f>
        <v>Taylor Heinicke</v>
      </c>
      <c r="E1679">
        <v>2009</v>
      </c>
      <c r="F1679">
        <f>'[1]Processed Data'!F1679</f>
        <v>0</v>
      </c>
      <c r="G1679">
        <f>'[1]Processed Data'!G1679</f>
        <v>0</v>
      </c>
      <c r="H1679">
        <f>'[1]Processed Data'!H1679</f>
        <v>0</v>
      </c>
      <c r="I1679">
        <f>'[1]Processed Data'!I1679</f>
        <v>0</v>
      </c>
      <c r="J1679">
        <f>'[1]Processed Data'!J1679</f>
        <v>0</v>
      </c>
      <c r="K1679">
        <f>'[1]Processed Data'!K1679</f>
        <v>0</v>
      </c>
      <c r="L1679">
        <f>'[1]Processed Data'!L1679</f>
        <v>0</v>
      </c>
      <c r="M1679">
        <f>'[1]Processed Data'!M1679</f>
        <v>0</v>
      </c>
      <c r="N1679">
        <f>'[1]Processed Data'!N1679</f>
        <v>0</v>
      </c>
      <c r="O1679">
        <f>'[1]Processed Data'!O1679</f>
        <v>0</v>
      </c>
      <c r="P1679">
        <f>'[1]Processed Data'!P1679</f>
        <v>0</v>
      </c>
      <c r="Q1679">
        <f>'[1]Processed Data'!Q1679</f>
        <v>0</v>
      </c>
    </row>
    <row r="1680" spans="2:17" hidden="1">
      <c r="B1680">
        <f>'[1]Processed Data'!B1680</f>
        <v>2011</v>
      </c>
      <c r="C1680">
        <f>'[1]Processed Data'!C1680</f>
        <v>159</v>
      </c>
      <c r="D1680" t="str">
        <f>'[1]Processed Data'!D1680</f>
        <v>Sean Mannion</v>
      </c>
      <c r="E1680">
        <v>2008</v>
      </c>
      <c r="F1680">
        <f>'[1]Processed Data'!F1680</f>
        <v>0</v>
      </c>
      <c r="G1680">
        <f>'[1]Processed Data'!G1680</f>
        <v>0</v>
      </c>
      <c r="H1680">
        <f>'[1]Processed Data'!H1680</f>
        <v>0</v>
      </c>
      <c r="I1680">
        <f>'[1]Processed Data'!I1680</f>
        <v>0</v>
      </c>
      <c r="J1680">
        <f>'[1]Processed Data'!J1680</f>
        <v>0</v>
      </c>
      <c r="K1680">
        <f>'[1]Processed Data'!K1680</f>
        <v>0</v>
      </c>
      <c r="L1680">
        <f>'[1]Processed Data'!L1680</f>
        <v>0</v>
      </c>
      <c r="M1680">
        <f>'[1]Processed Data'!M1680</f>
        <v>0</v>
      </c>
      <c r="N1680">
        <f>'[1]Processed Data'!N1680</f>
        <v>0</v>
      </c>
      <c r="O1680">
        <f>'[1]Processed Data'!O1680</f>
        <v>0</v>
      </c>
      <c r="P1680">
        <f>'[1]Processed Data'!P1680</f>
        <v>0</v>
      </c>
      <c r="Q1680">
        <f>'[1]Processed Data'!Q1680</f>
        <v>0</v>
      </c>
    </row>
    <row r="1681" spans="2:17" hidden="1">
      <c r="B1681">
        <f>'[1]Processed Data'!B1681</f>
        <v>2011</v>
      </c>
      <c r="C1681">
        <f>'[1]Processed Data'!C1681</f>
        <v>160</v>
      </c>
      <c r="D1681" t="str">
        <f>'[1]Processed Data'!D1681</f>
        <v>Trevor Siemian</v>
      </c>
      <c r="E1681">
        <v>2008</v>
      </c>
      <c r="F1681">
        <f>'[1]Processed Data'!F1681</f>
        <v>0</v>
      </c>
      <c r="G1681">
        <f>'[1]Processed Data'!G1681</f>
        <v>0</v>
      </c>
      <c r="H1681">
        <f>'[1]Processed Data'!H1681</f>
        <v>0</v>
      </c>
      <c r="I1681">
        <f>'[1]Processed Data'!I1681</f>
        <v>0</v>
      </c>
      <c r="J1681">
        <f>'[1]Processed Data'!J1681</f>
        <v>0</v>
      </c>
      <c r="K1681">
        <f>'[1]Processed Data'!K1681</f>
        <v>0</v>
      </c>
      <c r="L1681">
        <f>'[1]Processed Data'!L1681</f>
        <v>0</v>
      </c>
      <c r="M1681">
        <f>'[1]Processed Data'!M1681</f>
        <v>0</v>
      </c>
      <c r="N1681">
        <f>'[1]Processed Data'!N1681</f>
        <v>0</v>
      </c>
      <c r="O1681">
        <f>'[1]Processed Data'!O1681</f>
        <v>0</v>
      </c>
      <c r="P1681">
        <f>'[1]Processed Data'!P1681</f>
        <v>0</v>
      </c>
      <c r="Q1681">
        <f>'[1]Processed Data'!Q1681</f>
        <v>0</v>
      </c>
    </row>
    <row r="1682" spans="2:17" hidden="1">
      <c r="B1682">
        <f>'[1]Processed Data'!B1682</f>
        <v>2011</v>
      </c>
      <c r="C1682">
        <f>'[1]Processed Data'!C1682</f>
        <v>161</v>
      </c>
      <c r="D1682" t="str">
        <f>'[1]Processed Data'!D1682</f>
        <v>Marcus Mariota</v>
      </c>
      <c r="E1682">
        <v>2008</v>
      </c>
      <c r="F1682">
        <f>'[1]Processed Data'!F1682</f>
        <v>0</v>
      </c>
      <c r="G1682">
        <f>'[1]Processed Data'!G1682</f>
        <v>0</v>
      </c>
      <c r="H1682">
        <f>'[1]Processed Data'!H1682</f>
        <v>0</v>
      </c>
      <c r="I1682">
        <f>'[1]Processed Data'!I1682</f>
        <v>0</v>
      </c>
      <c r="J1682">
        <f>'[1]Processed Data'!J1682</f>
        <v>0</v>
      </c>
      <c r="K1682">
        <f>'[1]Processed Data'!K1682</f>
        <v>0</v>
      </c>
      <c r="L1682">
        <f>'[1]Processed Data'!L1682</f>
        <v>0</v>
      </c>
      <c r="M1682">
        <f>'[1]Processed Data'!M1682</f>
        <v>0</v>
      </c>
      <c r="N1682">
        <f>'[1]Processed Data'!N1682</f>
        <v>0</v>
      </c>
      <c r="O1682">
        <f>'[1]Processed Data'!O1682</f>
        <v>0</v>
      </c>
      <c r="P1682">
        <f>'[1]Processed Data'!P1682</f>
        <v>0</v>
      </c>
      <c r="Q1682">
        <f>'[1]Processed Data'!Q1682</f>
        <v>0</v>
      </c>
    </row>
    <row r="1683" spans="2:17" hidden="1">
      <c r="B1683">
        <f>'[1]Processed Data'!B1683</f>
        <v>2011</v>
      </c>
      <c r="C1683">
        <f>'[1]Processed Data'!C1683</f>
        <v>162</v>
      </c>
      <c r="D1683" t="str">
        <f>'[1]Processed Data'!D1683</f>
        <v>Jameis Winston</v>
      </c>
      <c r="E1683">
        <v>2008</v>
      </c>
      <c r="F1683">
        <f>'[1]Processed Data'!F1683</f>
        <v>0</v>
      </c>
      <c r="G1683">
        <f>'[1]Processed Data'!G1683</f>
        <v>0</v>
      </c>
      <c r="H1683">
        <f>'[1]Processed Data'!H1683</f>
        <v>0</v>
      </c>
      <c r="I1683">
        <f>'[1]Processed Data'!I1683</f>
        <v>0</v>
      </c>
      <c r="J1683">
        <f>'[1]Processed Data'!J1683</f>
        <v>0</v>
      </c>
      <c r="K1683">
        <f>'[1]Processed Data'!K1683</f>
        <v>0</v>
      </c>
      <c r="L1683">
        <f>'[1]Processed Data'!L1683</f>
        <v>0</v>
      </c>
      <c r="M1683">
        <f>'[1]Processed Data'!M1683</f>
        <v>0</v>
      </c>
      <c r="N1683">
        <f>'[1]Processed Data'!N1683</f>
        <v>0</v>
      </c>
      <c r="O1683">
        <f>'[1]Processed Data'!O1683</f>
        <v>0</v>
      </c>
      <c r="P1683">
        <f>'[1]Processed Data'!P1683</f>
        <v>0</v>
      </c>
      <c r="Q1683">
        <f>'[1]Processed Data'!Q1683</f>
        <v>0</v>
      </c>
    </row>
    <row r="1684" spans="2:17" hidden="1">
      <c r="B1684">
        <f>'[1]Processed Data'!B1684</f>
        <v>2010</v>
      </c>
      <c r="C1684">
        <f>'[1]Processed Data'!C1684</f>
        <v>1</v>
      </c>
      <c r="D1684" t="str">
        <f>'[1]Processed Data'!D1684</f>
        <v>Aaron Rodgers</v>
      </c>
      <c r="E1684">
        <v>2008</v>
      </c>
      <c r="F1684">
        <f>'[1]Processed Data'!F1684</f>
        <v>312</v>
      </c>
      <c r="G1684">
        <f>'[1]Processed Data'!G1684</f>
        <v>475</v>
      </c>
      <c r="H1684">
        <f>'[1]Processed Data'!H1684</f>
        <v>65.7</v>
      </c>
      <c r="I1684">
        <f>'[1]Processed Data'!I1684</f>
        <v>28</v>
      </c>
      <c r="J1684">
        <f>'[1]Processed Data'!J1684</f>
        <v>11</v>
      </c>
      <c r="K1684">
        <f>'[1]Processed Data'!K1684</f>
        <v>31</v>
      </c>
      <c r="L1684">
        <f>'[1]Processed Data'!L1684</f>
        <v>64</v>
      </c>
      <c r="M1684">
        <f>'[1]Processed Data'!M1684</f>
        <v>356</v>
      </c>
      <c r="N1684">
        <f>'[1]Processed Data'!N1684</f>
        <v>4</v>
      </c>
      <c r="O1684">
        <f>'[1]Processed Data'!O1684</f>
        <v>1</v>
      </c>
      <c r="P1684">
        <f>'[1]Processed Data'!P1684</f>
        <v>304.39999999999998</v>
      </c>
      <c r="Q1684">
        <f>'[1]Processed Data'!Q1684</f>
        <v>15</v>
      </c>
    </row>
    <row r="1685" spans="2:17" hidden="1">
      <c r="B1685">
        <f>'[1]Processed Data'!B1685</f>
        <v>2010</v>
      </c>
      <c r="C1685">
        <f>'[1]Processed Data'!C1685</f>
        <v>2</v>
      </c>
      <c r="D1685" t="str">
        <f>'[1]Processed Data'!D1685</f>
        <v>Tom Brady</v>
      </c>
      <c r="E1685">
        <v>2008</v>
      </c>
      <c r="F1685">
        <f>'[1]Processed Data'!F1685</f>
        <v>324</v>
      </c>
      <c r="G1685">
        <f>'[1]Processed Data'!G1685</f>
        <v>492</v>
      </c>
      <c r="H1685">
        <f>'[1]Processed Data'!H1685</f>
        <v>65.900000000000006</v>
      </c>
      <c r="I1685">
        <f>'[1]Processed Data'!I1685</f>
        <v>36</v>
      </c>
      <c r="J1685">
        <f>'[1]Processed Data'!J1685</f>
        <v>4</v>
      </c>
      <c r="K1685">
        <f>'[1]Processed Data'!K1685</f>
        <v>25</v>
      </c>
      <c r="L1685">
        <f>'[1]Processed Data'!L1685</f>
        <v>31</v>
      </c>
      <c r="M1685">
        <f>'[1]Processed Data'!M1685</f>
        <v>30</v>
      </c>
      <c r="N1685">
        <f>'[1]Processed Data'!N1685</f>
        <v>1</v>
      </c>
      <c r="O1685">
        <f>'[1]Processed Data'!O1685</f>
        <v>1</v>
      </c>
      <c r="P1685">
        <f>'[1]Processed Data'!P1685</f>
        <v>299</v>
      </c>
      <c r="Q1685">
        <f>'[1]Processed Data'!Q1685</f>
        <v>16</v>
      </c>
    </row>
    <row r="1686" spans="2:17" hidden="1">
      <c r="B1686">
        <f>'[1]Processed Data'!B1686</f>
        <v>2010</v>
      </c>
      <c r="C1686">
        <f>'[1]Processed Data'!C1686</f>
        <v>3</v>
      </c>
      <c r="D1686" t="str">
        <f>'[1]Processed Data'!D1686</f>
        <v>Drew Brees</v>
      </c>
      <c r="E1686">
        <v>2008</v>
      </c>
      <c r="F1686">
        <f>'[1]Processed Data'!F1686</f>
        <v>448</v>
      </c>
      <c r="G1686">
        <f>'[1]Processed Data'!G1686</f>
        <v>658</v>
      </c>
      <c r="H1686">
        <f>'[1]Processed Data'!H1686</f>
        <v>68.099999999999994</v>
      </c>
      <c r="I1686">
        <f>'[1]Processed Data'!I1686</f>
        <v>33</v>
      </c>
      <c r="J1686">
        <f>'[1]Processed Data'!J1686</f>
        <v>22</v>
      </c>
      <c r="K1686">
        <f>'[1]Processed Data'!K1686</f>
        <v>25</v>
      </c>
      <c r="L1686">
        <f>'[1]Processed Data'!L1686</f>
        <v>18</v>
      </c>
      <c r="M1686">
        <f>'[1]Processed Data'!M1686</f>
        <v>-3</v>
      </c>
      <c r="N1686">
        <f>'[1]Processed Data'!N1686</f>
        <v>0</v>
      </c>
      <c r="O1686">
        <f>'[1]Processed Data'!O1686</f>
        <v>2</v>
      </c>
      <c r="P1686">
        <f>'[1]Processed Data'!P1686</f>
        <v>269.7</v>
      </c>
      <c r="Q1686">
        <f>'[1]Processed Data'!Q1686</f>
        <v>16</v>
      </c>
    </row>
    <row r="1687" spans="2:17" hidden="1">
      <c r="B1687">
        <f>'[1]Processed Data'!B1687</f>
        <v>2010</v>
      </c>
      <c r="C1687">
        <f>'[1]Processed Data'!C1687</f>
        <v>4</v>
      </c>
      <c r="D1687" t="str">
        <f>'[1]Processed Data'!D1687</f>
        <v>Matt Ryan</v>
      </c>
      <c r="E1687">
        <v>2008</v>
      </c>
      <c r="F1687">
        <f>'[1]Processed Data'!F1687</f>
        <v>357</v>
      </c>
      <c r="G1687">
        <f>'[1]Processed Data'!G1687</f>
        <v>571</v>
      </c>
      <c r="H1687">
        <f>'[1]Processed Data'!H1687</f>
        <v>62.5</v>
      </c>
      <c r="I1687">
        <f>'[1]Processed Data'!I1687</f>
        <v>28</v>
      </c>
      <c r="J1687">
        <f>'[1]Processed Data'!J1687</f>
        <v>9</v>
      </c>
      <c r="K1687">
        <f>'[1]Processed Data'!K1687</f>
        <v>23</v>
      </c>
      <c r="L1687">
        <f>'[1]Processed Data'!L1687</f>
        <v>46</v>
      </c>
      <c r="M1687">
        <f>'[1]Processed Data'!M1687</f>
        <v>122</v>
      </c>
      <c r="N1687">
        <f>'[1]Processed Data'!N1687</f>
        <v>0</v>
      </c>
      <c r="O1687">
        <f>'[1]Processed Data'!O1687</f>
        <v>3</v>
      </c>
      <c r="P1687">
        <f>'[1]Processed Data'!P1687</f>
        <v>248.4</v>
      </c>
      <c r="Q1687">
        <f>'[1]Processed Data'!Q1687</f>
        <v>16</v>
      </c>
    </row>
    <row r="1688" spans="2:17" hidden="1">
      <c r="B1688">
        <f>'[1]Processed Data'!B1688</f>
        <v>2010</v>
      </c>
      <c r="C1688">
        <f>'[1]Processed Data'!C1688</f>
        <v>5</v>
      </c>
      <c r="D1688" t="str">
        <f>'[1]Processed Data'!D1688</f>
        <v>Matt Schaub</v>
      </c>
      <c r="E1688">
        <v>2008</v>
      </c>
      <c r="F1688">
        <f>'[1]Processed Data'!F1688</f>
        <v>365</v>
      </c>
      <c r="G1688">
        <f>'[1]Processed Data'!G1688</f>
        <v>574</v>
      </c>
      <c r="H1688">
        <f>'[1]Processed Data'!H1688</f>
        <v>63.6</v>
      </c>
      <c r="I1688">
        <f>'[1]Processed Data'!I1688</f>
        <v>24</v>
      </c>
      <c r="J1688">
        <f>'[1]Processed Data'!J1688</f>
        <v>12</v>
      </c>
      <c r="K1688">
        <f>'[1]Processed Data'!K1688</f>
        <v>32</v>
      </c>
      <c r="L1688">
        <f>'[1]Processed Data'!L1688</f>
        <v>22</v>
      </c>
      <c r="M1688">
        <f>'[1]Processed Data'!M1688</f>
        <v>28</v>
      </c>
      <c r="N1688">
        <f>'[1]Processed Data'!N1688</f>
        <v>0</v>
      </c>
      <c r="O1688">
        <f>'[1]Processed Data'!O1688</f>
        <v>3</v>
      </c>
      <c r="P1688">
        <f>'[1]Processed Data'!P1688</f>
        <v>243.6</v>
      </c>
      <c r="Q1688">
        <f>'[1]Processed Data'!Q1688</f>
        <v>16</v>
      </c>
    </row>
    <row r="1689" spans="2:17" hidden="1">
      <c r="B1689">
        <f>'[1]Processed Data'!B1689</f>
        <v>2010</v>
      </c>
      <c r="C1689">
        <f>'[1]Processed Data'!C1689</f>
        <v>6</v>
      </c>
      <c r="D1689" t="str">
        <f>'[1]Processed Data'!D1689</f>
        <v>Joe Flacco</v>
      </c>
      <c r="E1689">
        <v>2008</v>
      </c>
      <c r="F1689">
        <f>'[1]Processed Data'!F1689</f>
        <v>306</v>
      </c>
      <c r="G1689">
        <f>'[1]Processed Data'!G1689</f>
        <v>489</v>
      </c>
      <c r="H1689">
        <f>'[1]Processed Data'!H1689</f>
        <v>62.6</v>
      </c>
      <c r="I1689">
        <f>'[1]Processed Data'!I1689</f>
        <v>25</v>
      </c>
      <c r="J1689">
        <f>'[1]Processed Data'!J1689</f>
        <v>10</v>
      </c>
      <c r="K1689">
        <f>'[1]Processed Data'!K1689</f>
        <v>40</v>
      </c>
      <c r="L1689">
        <f>'[1]Processed Data'!L1689</f>
        <v>43</v>
      </c>
      <c r="M1689">
        <f>'[1]Processed Data'!M1689</f>
        <v>84</v>
      </c>
      <c r="N1689">
        <f>'[1]Processed Data'!N1689</f>
        <v>1</v>
      </c>
      <c r="O1689">
        <f>'[1]Processed Data'!O1689</f>
        <v>4</v>
      </c>
      <c r="P1689">
        <f>'[1]Processed Data'!P1689</f>
        <v>231.2</v>
      </c>
      <c r="Q1689">
        <f>'[1]Processed Data'!Q1689</f>
        <v>16</v>
      </c>
    </row>
    <row r="1690" spans="2:17" hidden="1">
      <c r="B1690">
        <f>'[1]Processed Data'!B1690</f>
        <v>2010</v>
      </c>
      <c r="C1690">
        <f>'[1]Processed Data'!C1690</f>
        <v>7</v>
      </c>
      <c r="D1690" t="str">
        <f>'[1]Processed Data'!D1690</f>
        <v>Ben Roethlisberger</v>
      </c>
      <c r="E1690">
        <v>2008</v>
      </c>
      <c r="F1690">
        <f>'[1]Processed Data'!F1690</f>
        <v>240</v>
      </c>
      <c r="G1690">
        <f>'[1]Processed Data'!G1690</f>
        <v>389</v>
      </c>
      <c r="H1690">
        <f>'[1]Processed Data'!H1690</f>
        <v>61.7</v>
      </c>
      <c r="I1690">
        <f>'[1]Processed Data'!I1690</f>
        <v>17</v>
      </c>
      <c r="J1690">
        <f>'[1]Processed Data'!J1690</f>
        <v>5</v>
      </c>
      <c r="K1690">
        <f>'[1]Processed Data'!K1690</f>
        <v>32</v>
      </c>
      <c r="L1690">
        <f>'[1]Processed Data'!L1690</f>
        <v>34</v>
      </c>
      <c r="M1690">
        <f>'[1]Processed Data'!M1690</f>
        <v>176</v>
      </c>
      <c r="N1690">
        <f>'[1]Processed Data'!N1690</f>
        <v>2</v>
      </c>
      <c r="O1690">
        <f>'[1]Processed Data'!O1690</f>
        <v>3</v>
      </c>
      <c r="P1690">
        <f>'[1]Processed Data'!P1690</f>
        <v>209.6</v>
      </c>
      <c r="Q1690">
        <f>'[1]Processed Data'!Q1690</f>
        <v>12</v>
      </c>
    </row>
    <row r="1691" spans="2:17" hidden="1">
      <c r="B1691">
        <f>'[1]Processed Data'!B1691</f>
        <v>2010</v>
      </c>
      <c r="C1691">
        <f>'[1]Processed Data'!C1691</f>
        <v>8</v>
      </c>
      <c r="D1691" t="str">
        <f>'[1]Processed Data'!D1691</f>
        <v>Ryan Fitzpatrick</v>
      </c>
      <c r="E1691">
        <v>2008</v>
      </c>
      <c r="F1691">
        <f>'[1]Processed Data'!F1691</f>
        <v>255</v>
      </c>
      <c r="G1691">
        <f>'[1]Processed Data'!G1691</f>
        <v>441</v>
      </c>
      <c r="H1691">
        <f>'[1]Processed Data'!H1691</f>
        <v>57.8</v>
      </c>
      <c r="I1691">
        <f>'[1]Processed Data'!I1691</f>
        <v>23</v>
      </c>
      <c r="J1691">
        <f>'[1]Processed Data'!J1691</f>
        <v>15</v>
      </c>
      <c r="K1691">
        <f>'[1]Processed Data'!K1691</f>
        <v>24</v>
      </c>
      <c r="L1691">
        <f>'[1]Processed Data'!L1691</f>
        <v>40</v>
      </c>
      <c r="M1691">
        <f>'[1]Processed Data'!M1691</f>
        <v>269</v>
      </c>
      <c r="N1691">
        <f>'[1]Processed Data'!N1691</f>
        <v>0</v>
      </c>
      <c r="O1691">
        <f>'[1]Processed Data'!O1691</f>
        <v>5</v>
      </c>
      <c r="P1691">
        <f>'[1]Processed Data'!P1691</f>
        <v>198.8</v>
      </c>
      <c r="Q1691">
        <f>'[1]Processed Data'!Q1691</f>
        <v>13</v>
      </c>
    </row>
    <row r="1692" spans="2:17" hidden="1">
      <c r="B1692">
        <f>'[1]Processed Data'!B1692</f>
        <v>2010</v>
      </c>
      <c r="C1692">
        <f>'[1]Processed Data'!C1692</f>
        <v>9</v>
      </c>
      <c r="D1692" t="str">
        <f>'[1]Processed Data'!D1692</f>
        <v>Chad Henne</v>
      </c>
      <c r="E1692">
        <v>2008</v>
      </c>
      <c r="F1692">
        <f>'[1]Processed Data'!F1692</f>
        <v>301</v>
      </c>
      <c r="G1692">
        <f>'[1]Processed Data'!G1692</f>
        <v>490</v>
      </c>
      <c r="H1692">
        <f>'[1]Processed Data'!H1692</f>
        <v>61.4</v>
      </c>
      <c r="I1692">
        <f>'[1]Processed Data'!I1692</f>
        <v>15</v>
      </c>
      <c r="J1692">
        <f>'[1]Processed Data'!J1692</f>
        <v>19</v>
      </c>
      <c r="K1692">
        <f>'[1]Processed Data'!K1692</f>
        <v>30</v>
      </c>
      <c r="L1692">
        <f>'[1]Processed Data'!L1692</f>
        <v>35</v>
      </c>
      <c r="M1692">
        <f>'[1]Processed Data'!M1692</f>
        <v>52</v>
      </c>
      <c r="N1692">
        <f>'[1]Processed Data'!N1692</f>
        <v>0</v>
      </c>
      <c r="O1692">
        <f>'[1]Processed Data'!O1692</f>
        <v>2</v>
      </c>
      <c r="P1692">
        <f>'[1]Processed Data'!P1692</f>
        <v>155.19999999999999</v>
      </c>
      <c r="Q1692">
        <f>'[1]Processed Data'!Q1692</f>
        <v>15</v>
      </c>
    </row>
    <row r="1693" spans="2:17" hidden="1">
      <c r="B1693">
        <f>'[1]Processed Data'!B1693</f>
        <v>2010</v>
      </c>
      <c r="C1693">
        <f>'[1]Processed Data'!C1693</f>
        <v>10</v>
      </c>
      <c r="D1693" t="str">
        <f>'[1]Processed Data'!D1693</f>
        <v>Alex Smith</v>
      </c>
      <c r="E1693">
        <v>2008</v>
      </c>
      <c r="F1693">
        <f>'[1]Processed Data'!F1693</f>
        <v>204</v>
      </c>
      <c r="G1693">
        <f>'[1]Processed Data'!G1693</f>
        <v>342</v>
      </c>
      <c r="H1693">
        <f>'[1]Processed Data'!H1693</f>
        <v>59.6</v>
      </c>
      <c r="I1693">
        <f>'[1]Processed Data'!I1693</f>
        <v>14</v>
      </c>
      <c r="J1693">
        <f>'[1]Processed Data'!J1693</f>
        <v>10</v>
      </c>
      <c r="K1693">
        <f>'[1]Processed Data'!K1693</f>
        <v>25</v>
      </c>
      <c r="L1693">
        <f>'[1]Processed Data'!L1693</f>
        <v>18</v>
      </c>
      <c r="M1693">
        <f>'[1]Processed Data'!M1693</f>
        <v>60</v>
      </c>
      <c r="N1693">
        <f>'[1]Processed Data'!N1693</f>
        <v>0</v>
      </c>
      <c r="O1693">
        <f>'[1]Processed Data'!O1693</f>
        <v>2</v>
      </c>
      <c r="P1693">
        <f>'[1]Processed Data'!P1693</f>
        <v>132.80000000000001</v>
      </c>
      <c r="Q1693">
        <f>'[1]Processed Data'!Q1693</f>
        <v>11</v>
      </c>
    </row>
    <row r="1694" spans="2:17" hidden="1">
      <c r="B1694">
        <f>'[1]Processed Data'!B1694</f>
        <v>2010</v>
      </c>
      <c r="C1694">
        <f>'[1]Processed Data'!C1694</f>
        <v>11</v>
      </c>
      <c r="D1694" t="str">
        <f>'[1]Processed Data'!D1694</f>
        <v>Colt McCoy</v>
      </c>
      <c r="E1694">
        <v>2008</v>
      </c>
      <c r="F1694">
        <f>'[1]Processed Data'!F1694</f>
        <v>135</v>
      </c>
      <c r="G1694">
        <f>'[1]Processed Data'!G1694</f>
        <v>222</v>
      </c>
      <c r="H1694">
        <f>'[1]Processed Data'!H1694</f>
        <v>60.8</v>
      </c>
      <c r="I1694">
        <f>'[1]Processed Data'!I1694</f>
        <v>6</v>
      </c>
      <c r="J1694">
        <f>'[1]Processed Data'!J1694</f>
        <v>9</v>
      </c>
      <c r="K1694">
        <f>'[1]Processed Data'!K1694</f>
        <v>23</v>
      </c>
      <c r="L1694">
        <f>'[1]Processed Data'!L1694</f>
        <v>28</v>
      </c>
      <c r="M1694">
        <f>'[1]Processed Data'!M1694</f>
        <v>136</v>
      </c>
      <c r="N1694">
        <f>'[1]Processed Data'!N1694</f>
        <v>1</v>
      </c>
      <c r="O1694">
        <f>'[1]Processed Data'!O1694</f>
        <v>0</v>
      </c>
      <c r="P1694">
        <f>'[1]Processed Data'!P1694</f>
        <v>90.5</v>
      </c>
      <c r="Q1694">
        <f>'[1]Processed Data'!Q1694</f>
        <v>8</v>
      </c>
    </row>
    <row r="1695" spans="2:17" hidden="1">
      <c r="B1695">
        <f>'[1]Processed Data'!B1695</f>
        <v>2010</v>
      </c>
      <c r="C1695">
        <f>'[1]Processed Data'!C1695</f>
        <v>12</v>
      </c>
      <c r="D1695" t="str">
        <f>'[1]Processed Data'!D1695</f>
        <v>Drew Stanton</v>
      </c>
      <c r="E1695">
        <v>2008</v>
      </c>
      <c r="F1695">
        <f>'[1]Processed Data'!F1695</f>
        <v>69</v>
      </c>
      <c r="G1695">
        <f>'[1]Processed Data'!G1695</f>
        <v>119</v>
      </c>
      <c r="H1695">
        <f>'[1]Processed Data'!H1695</f>
        <v>58</v>
      </c>
      <c r="I1695">
        <f>'[1]Processed Data'!I1695</f>
        <v>4</v>
      </c>
      <c r="J1695">
        <f>'[1]Processed Data'!J1695</f>
        <v>3</v>
      </c>
      <c r="K1695">
        <f>'[1]Processed Data'!K1695</f>
        <v>6</v>
      </c>
      <c r="L1695">
        <f>'[1]Processed Data'!L1695</f>
        <v>18</v>
      </c>
      <c r="M1695">
        <f>'[1]Processed Data'!M1695</f>
        <v>113</v>
      </c>
      <c r="N1695">
        <f>'[1]Processed Data'!N1695</f>
        <v>1</v>
      </c>
      <c r="O1695">
        <f>'[1]Processed Data'!O1695</f>
        <v>1</v>
      </c>
      <c r="P1695">
        <f>'[1]Processed Data'!P1695</f>
        <v>56.5</v>
      </c>
      <c r="Q1695">
        <f>'[1]Processed Data'!Q1695</f>
        <v>6</v>
      </c>
    </row>
    <row r="1696" spans="2:17" hidden="1">
      <c r="B1696">
        <f>'[1]Processed Data'!B1696</f>
        <v>2010</v>
      </c>
      <c r="C1696">
        <f>'[1]Processed Data'!C1696</f>
        <v>13</v>
      </c>
      <c r="D1696" t="str">
        <f>'[1]Processed Data'!D1696</f>
        <v>Matthew Stafford</v>
      </c>
      <c r="E1696">
        <v>2008</v>
      </c>
      <c r="F1696">
        <f>'[1]Processed Data'!F1696</f>
        <v>57</v>
      </c>
      <c r="G1696">
        <f>'[1]Processed Data'!G1696</f>
        <v>96</v>
      </c>
      <c r="H1696">
        <f>'[1]Processed Data'!H1696</f>
        <v>59.4</v>
      </c>
      <c r="I1696">
        <f>'[1]Processed Data'!I1696</f>
        <v>6</v>
      </c>
      <c r="J1696">
        <f>'[1]Processed Data'!J1696</f>
        <v>1</v>
      </c>
      <c r="K1696">
        <f>'[1]Processed Data'!K1696</f>
        <v>4</v>
      </c>
      <c r="L1696">
        <f>'[1]Processed Data'!L1696</f>
        <v>4</v>
      </c>
      <c r="M1696">
        <f>'[1]Processed Data'!M1696</f>
        <v>11</v>
      </c>
      <c r="N1696">
        <f>'[1]Processed Data'!N1696</f>
        <v>1</v>
      </c>
      <c r="O1696">
        <f>'[1]Processed Data'!O1696</f>
        <v>1</v>
      </c>
      <c r="P1696">
        <f>'[1]Processed Data'!P1696</f>
        <v>48.5</v>
      </c>
      <c r="Q1696">
        <f>'[1]Processed Data'!Q1696</f>
        <v>3</v>
      </c>
    </row>
    <row r="1697" spans="2:17" hidden="1">
      <c r="B1697">
        <f>'[1]Processed Data'!B1697</f>
        <v>2010</v>
      </c>
      <c r="C1697">
        <f>'[1]Processed Data'!C1697</f>
        <v>14</v>
      </c>
      <c r="D1697" t="str">
        <f>'[1]Processed Data'!D1697</f>
        <v>Joe Webb III</v>
      </c>
      <c r="E1697">
        <v>2008</v>
      </c>
      <c r="F1697">
        <f>'[1]Processed Data'!F1697</f>
        <v>54</v>
      </c>
      <c r="G1697">
        <f>'[1]Processed Data'!G1697</f>
        <v>89</v>
      </c>
      <c r="H1697">
        <f>'[1]Processed Data'!H1697</f>
        <v>60.7</v>
      </c>
      <c r="I1697">
        <f>'[1]Processed Data'!I1697</f>
        <v>0</v>
      </c>
      <c r="J1697">
        <f>'[1]Processed Data'!J1697</f>
        <v>3</v>
      </c>
      <c r="K1697">
        <f>'[1]Processed Data'!K1697</f>
        <v>8</v>
      </c>
      <c r="L1697">
        <f>'[1]Processed Data'!L1697</f>
        <v>18</v>
      </c>
      <c r="M1697">
        <f>'[1]Processed Data'!M1697</f>
        <v>120</v>
      </c>
      <c r="N1697">
        <f>'[1]Processed Data'!N1697</f>
        <v>2</v>
      </c>
      <c r="O1697">
        <f>'[1]Processed Data'!O1697</f>
        <v>0</v>
      </c>
      <c r="P1697">
        <f>'[1]Processed Data'!P1697</f>
        <v>37.1</v>
      </c>
      <c r="Q1697">
        <f>'[1]Processed Data'!Q1697</f>
        <v>5</v>
      </c>
    </row>
    <row r="1698" spans="2:17" hidden="1">
      <c r="B1698">
        <f>'[1]Processed Data'!B1698</f>
        <v>2010</v>
      </c>
      <c r="C1698">
        <f>'[1]Processed Data'!C1698</f>
        <v>15</v>
      </c>
      <c r="D1698" t="str">
        <f>'[1]Processed Data'!D1698</f>
        <v>Matt Moore</v>
      </c>
      <c r="E1698">
        <v>2008</v>
      </c>
      <c r="F1698">
        <f>'[1]Processed Data'!F1698</f>
        <v>79</v>
      </c>
      <c r="G1698">
        <f>'[1]Processed Data'!G1698</f>
        <v>143</v>
      </c>
      <c r="H1698">
        <f>'[1]Processed Data'!H1698</f>
        <v>55.2</v>
      </c>
      <c r="I1698">
        <f>'[1]Processed Data'!I1698</f>
        <v>5</v>
      </c>
      <c r="J1698">
        <f>'[1]Processed Data'!J1698</f>
        <v>10</v>
      </c>
      <c r="K1698">
        <f>'[1]Processed Data'!K1698</f>
        <v>13</v>
      </c>
      <c r="L1698">
        <f>'[1]Processed Data'!L1698</f>
        <v>5</v>
      </c>
      <c r="M1698">
        <f>'[1]Processed Data'!M1698</f>
        <v>25</v>
      </c>
      <c r="N1698">
        <f>'[1]Processed Data'!N1698</f>
        <v>0</v>
      </c>
      <c r="O1698">
        <f>'[1]Processed Data'!O1698</f>
        <v>2</v>
      </c>
      <c r="P1698">
        <f>'[1]Processed Data'!P1698</f>
        <v>32.799999999999997</v>
      </c>
      <c r="Q1698">
        <f>'[1]Processed Data'!Q1698</f>
        <v>6</v>
      </c>
    </row>
    <row r="1699" spans="2:17" hidden="1">
      <c r="B1699">
        <f>'[1]Processed Data'!B1699</f>
        <v>2010</v>
      </c>
      <c r="C1699">
        <f>'[1]Processed Data'!C1699</f>
        <v>16</v>
      </c>
      <c r="D1699" t="str">
        <f>'[1]Processed Data'!D1699</f>
        <v>Josh Johnson</v>
      </c>
      <c r="E1699">
        <v>2008</v>
      </c>
      <c r="F1699">
        <f>'[1]Processed Data'!F1699</f>
        <v>14</v>
      </c>
      <c r="G1699">
        <f>'[1]Processed Data'!G1699</f>
        <v>16</v>
      </c>
      <c r="H1699">
        <f>'[1]Processed Data'!H1699</f>
        <v>87.5</v>
      </c>
      <c r="I1699">
        <f>'[1]Processed Data'!I1699</f>
        <v>0</v>
      </c>
      <c r="J1699">
        <f>'[1]Processed Data'!J1699</f>
        <v>0</v>
      </c>
      <c r="K1699">
        <f>'[1]Processed Data'!K1699</f>
        <v>2</v>
      </c>
      <c r="L1699">
        <f>'[1]Processed Data'!L1699</f>
        <v>4</v>
      </c>
      <c r="M1699">
        <f>'[1]Processed Data'!M1699</f>
        <v>39</v>
      </c>
      <c r="N1699">
        <f>'[1]Processed Data'!N1699</f>
        <v>0</v>
      </c>
      <c r="O1699">
        <f>'[1]Processed Data'!O1699</f>
        <v>0</v>
      </c>
      <c r="P1699">
        <f>'[1]Processed Data'!P1699</f>
        <v>8.4</v>
      </c>
      <c r="Q1699">
        <f>'[1]Processed Data'!Q1699</f>
        <v>11</v>
      </c>
    </row>
    <row r="1700" spans="2:17" hidden="1">
      <c r="B1700">
        <f>'[1]Processed Data'!B1700</f>
        <v>2010</v>
      </c>
      <c r="C1700">
        <f>'[1]Processed Data'!C1700</f>
        <v>17</v>
      </c>
      <c r="D1700" t="str">
        <f>'[1]Processed Data'!D1700</f>
        <v>Brian Hoyer</v>
      </c>
      <c r="E1700">
        <v>2008</v>
      </c>
      <c r="F1700">
        <f>'[1]Processed Data'!F1700</f>
        <v>7</v>
      </c>
      <c r="G1700">
        <f>'[1]Processed Data'!G1700</f>
        <v>15</v>
      </c>
      <c r="H1700">
        <f>'[1]Processed Data'!H1700</f>
        <v>46.7</v>
      </c>
      <c r="I1700">
        <f>'[1]Processed Data'!I1700</f>
        <v>1</v>
      </c>
      <c r="J1700">
        <f>'[1]Processed Data'!J1700</f>
        <v>1</v>
      </c>
      <c r="K1700">
        <f>'[1]Processed Data'!K1700</f>
        <v>0</v>
      </c>
      <c r="L1700">
        <f>'[1]Processed Data'!L1700</f>
        <v>10</v>
      </c>
      <c r="M1700">
        <f>'[1]Processed Data'!M1700</f>
        <v>-8</v>
      </c>
      <c r="N1700">
        <f>'[1]Processed Data'!N1700</f>
        <v>0</v>
      </c>
      <c r="O1700">
        <f>'[1]Processed Data'!O1700</f>
        <v>0</v>
      </c>
      <c r="P1700">
        <f>'[1]Processed Data'!P1700</f>
        <v>6.1</v>
      </c>
      <c r="Q1700">
        <f>'[1]Processed Data'!Q1700</f>
        <v>5</v>
      </c>
    </row>
    <row r="1701" spans="2:17" hidden="1">
      <c r="B1701">
        <f>'[1]Processed Data'!B1701</f>
        <v>2010</v>
      </c>
      <c r="C1701">
        <f>'[1]Processed Data'!C1701</f>
        <v>18</v>
      </c>
      <c r="D1701" t="str">
        <f>'[1]Processed Data'!D1701</f>
        <v>Luke McCown</v>
      </c>
      <c r="E1701">
        <v>2008</v>
      </c>
      <c r="F1701">
        <f>'[1]Processed Data'!F1701</f>
        <v>11</v>
      </c>
      <c r="G1701">
        <f>'[1]Processed Data'!G1701</f>
        <v>19</v>
      </c>
      <c r="H1701">
        <f>'[1]Processed Data'!H1701</f>
        <v>57.9</v>
      </c>
      <c r="I1701">
        <f>'[1]Processed Data'!I1701</f>
        <v>0</v>
      </c>
      <c r="J1701">
        <f>'[1]Processed Data'!J1701</f>
        <v>0</v>
      </c>
      <c r="K1701">
        <f>'[1]Processed Data'!K1701</f>
        <v>0</v>
      </c>
      <c r="L1701">
        <f>'[1]Processed Data'!L1701</f>
        <v>1</v>
      </c>
      <c r="M1701">
        <f>'[1]Processed Data'!M1701</f>
        <v>4</v>
      </c>
      <c r="N1701">
        <f>'[1]Processed Data'!N1701</f>
        <v>0</v>
      </c>
      <c r="O1701">
        <f>'[1]Processed Data'!O1701</f>
        <v>0</v>
      </c>
      <c r="P1701">
        <f>'[1]Processed Data'!P1701</f>
        <v>5.2</v>
      </c>
      <c r="Q1701">
        <f>'[1]Processed Data'!Q1701</f>
        <v>1</v>
      </c>
    </row>
    <row r="1702" spans="2:17" hidden="1">
      <c r="B1702">
        <f>'[1]Processed Data'!B1702</f>
        <v>2010</v>
      </c>
      <c r="C1702">
        <f>'[1]Processed Data'!C1702</f>
        <v>19</v>
      </c>
      <c r="D1702" t="str">
        <f>'[1]Processed Data'!D1702</f>
        <v>Chase Daniel</v>
      </c>
      <c r="E1702">
        <v>2008</v>
      </c>
      <c r="F1702">
        <f>'[1]Processed Data'!F1702</f>
        <v>2</v>
      </c>
      <c r="G1702">
        <f>'[1]Processed Data'!G1702</f>
        <v>3</v>
      </c>
      <c r="H1702">
        <f>'[1]Processed Data'!H1702</f>
        <v>66.7</v>
      </c>
      <c r="I1702">
        <f>'[1]Processed Data'!I1702</f>
        <v>0</v>
      </c>
      <c r="J1702">
        <f>'[1]Processed Data'!J1702</f>
        <v>0</v>
      </c>
      <c r="K1702">
        <f>'[1]Processed Data'!K1702</f>
        <v>1</v>
      </c>
      <c r="L1702">
        <f>'[1]Processed Data'!L1702</f>
        <v>2</v>
      </c>
      <c r="M1702">
        <f>'[1]Processed Data'!M1702</f>
        <v>16</v>
      </c>
      <c r="N1702">
        <f>'[1]Processed Data'!N1702</f>
        <v>0</v>
      </c>
      <c r="O1702">
        <f>'[1]Processed Data'!O1702</f>
        <v>0</v>
      </c>
      <c r="P1702">
        <f>'[1]Processed Data'!P1702</f>
        <v>2.2000000000000002</v>
      </c>
      <c r="Q1702">
        <f>'[1]Processed Data'!Q1702</f>
        <v>13</v>
      </c>
    </row>
    <row r="1703" spans="2:17" hidden="1">
      <c r="B1703">
        <f>'[1]Processed Data'!B1703</f>
        <v>2010</v>
      </c>
      <c r="C1703">
        <f>'[1]Processed Data'!C1703</f>
        <v>20</v>
      </c>
      <c r="D1703" t="str">
        <f>'[1]Processed Data'!D1703</f>
        <v>Reid Sinnett</v>
      </c>
      <c r="E1703">
        <v>2008</v>
      </c>
      <c r="F1703">
        <f>'[1]Processed Data'!F1703</f>
        <v>0</v>
      </c>
      <c r="G1703">
        <f>'[1]Processed Data'!G1703</f>
        <v>0</v>
      </c>
      <c r="H1703">
        <f>'[1]Processed Data'!H1703</f>
        <v>0</v>
      </c>
      <c r="I1703">
        <f>'[1]Processed Data'!I1703</f>
        <v>0</v>
      </c>
      <c r="J1703">
        <f>'[1]Processed Data'!J1703</f>
        <v>0</v>
      </c>
      <c r="K1703">
        <f>'[1]Processed Data'!K1703</f>
        <v>0</v>
      </c>
      <c r="L1703">
        <f>'[1]Processed Data'!L1703</f>
        <v>0</v>
      </c>
      <c r="M1703">
        <f>'[1]Processed Data'!M1703</f>
        <v>0</v>
      </c>
      <c r="N1703">
        <f>'[1]Processed Data'!N1703</f>
        <v>0</v>
      </c>
      <c r="O1703">
        <f>'[1]Processed Data'!O1703</f>
        <v>0</v>
      </c>
      <c r="P1703">
        <f>'[1]Processed Data'!P1703</f>
        <v>0</v>
      </c>
      <c r="Q1703">
        <f>'[1]Processed Data'!Q1703</f>
        <v>0</v>
      </c>
    </row>
    <row r="1704" spans="2:17" hidden="1">
      <c r="B1704">
        <f>'[1]Processed Data'!B1704</f>
        <v>2010</v>
      </c>
      <c r="C1704">
        <f>'[1]Processed Data'!C1704</f>
        <v>21</v>
      </c>
      <c r="D1704" t="str">
        <f>'[1]Processed Data'!D1704</f>
        <v>Jalen Morton</v>
      </c>
      <c r="E1704">
        <v>2008</v>
      </c>
      <c r="F1704">
        <f>'[1]Processed Data'!F1704</f>
        <v>0</v>
      </c>
      <c r="G1704">
        <f>'[1]Processed Data'!G1704</f>
        <v>0</v>
      </c>
      <c r="H1704">
        <f>'[1]Processed Data'!H1704</f>
        <v>0</v>
      </c>
      <c r="I1704">
        <f>'[1]Processed Data'!I1704</f>
        <v>0</v>
      </c>
      <c r="J1704">
        <f>'[1]Processed Data'!J1704</f>
        <v>0</v>
      </c>
      <c r="K1704">
        <f>'[1]Processed Data'!K1704</f>
        <v>0</v>
      </c>
      <c r="L1704">
        <f>'[1]Processed Data'!L1704</f>
        <v>0</v>
      </c>
      <c r="M1704">
        <f>'[1]Processed Data'!M1704</f>
        <v>0</v>
      </c>
      <c r="N1704">
        <f>'[1]Processed Data'!N1704</f>
        <v>0</v>
      </c>
      <c r="O1704">
        <f>'[1]Processed Data'!O1704</f>
        <v>0</v>
      </c>
      <c r="P1704">
        <f>'[1]Processed Data'!P1704</f>
        <v>0</v>
      </c>
      <c r="Q1704">
        <f>'[1]Processed Data'!Q1704</f>
        <v>0</v>
      </c>
    </row>
    <row r="1705" spans="2:17" hidden="1">
      <c r="B1705">
        <f>'[1]Processed Data'!B1705</f>
        <v>2010</v>
      </c>
      <c r="C1705">
        <f>'[1]Processed Data'!C1705</f>
        <v>22</v>
      </c>
      <c r="D1705" t="str">
        <f>'[1]Processed Data'!D1705</f>
        <v>Justin Fields</v>
      </c>
      <c r="E1705">
        <v>2008</v>
      </c>
      <c r="F1705">
        <f>'[1]Processed Data'!F1705</f>
        <v>0</v>
      </c>
      <c r="G1705">
        <f>'[1]Processed Data'!G1705</f>
        <v>0</v>
      </c>
      <c r="H1705">
        <f>'[1]Processed Data'!H1705</f>
        <v>0</v>
      </c>
      <c r="I1705">
        <f>'[1]Processed Data'!I1705</f>
        <v>0</v>
      </c>
      <c r="J1705">
        <f>'[1]Processed Data'!J1705</f>
        <v>0</v>
      </c>
      <c r="K1705">
        <f>'[1]Processed Data'!K1705</f>
        <v>0</v>
      </c>
      <c r="L1705">
        <f>'[1]Processed Data'!L1705</f>
        <v>0</v>
      </c>
      <c r="M1705">
        <f>'[1]Processed Data'!M1705</f>
        <v>0</v>
      </c>
      <c r="N1705">
        <f>'[1]Processed Data'!N1705</f>
        <v>0</v>
      </c>
      <c r="O1705">
        <f>'[1]Processed Data'!O1705</f>
        <v>0</v>
      </c>
      <c r="P1705">
        <f>'[1]Processed Data'!P1705</f>
        <v>0</v>
      </c>
      <c r="Q1705">
        <f>'[1]Processed Data'!Q1705</f>
        <v>0</v>
      </c>
    </row>
    <row r="1706" spans="2:17" hidden="1">
      <c r="B1706">
        <f>'[1]Processed Data'!B1706</f>
        <v>2010</v>
      </c>
      <c r="C1706">
        <f>'[1]Processed Data'!C1706</f>
        <v>23</v>
      </c>
      <c r="D1706" t="str">
        <f>'[1]Processed Data'!D1706</f>
        <v>Chris Streveler</v>
      </c>
      <c r="E1706">
        <v>2008</v>
      </c>
      <c r="F1706">
        <f>'[1]Processed Data'!F1706</f>
        <v>0</v>
      </c>
      <c r="G1706">
        <f>'[1]Processed Data'!G1706</f>
        <v>0</v>
      </c>
      <c r="H1706">
        <f>'[1]Processed Data'!H1706</f>
        <v>0</v>
      </c>
      <c r="I1706">
        <f>'[1]Processed Data'!I1706</f>
        <v>0</v>
      </c>
      <c r="J1706">
        <f>'[1]Processed Data'!J1706</f>
        <v>0</v>
      </c>
      <c r="K1706">
        <f>'[1]Processed Data'!K1706</f>
        <v>0</v>
      </c>
      <c r="L1706">
        <f>'[1]Processed Data'!L1706</f>
        <v>0</v>
      </c>
      <c r="M1706">
        <f>'[1]Processed Data'!M1706</f>
        <v>0</v>
      </c>
      <c r="N1706">
        <f>'[1]Processed Data'!N1706</f>
        <v>0</v>
      </c>
      <c r="O1706">
        <f>'[1]Processed Data'!O1706</f>
        <v>0</v>
      </c>
      <c r="P1706">
        <f>'[1]Processed Data'!P1706</f>
        <v>0</v>
      </c>
      <c r="Q1706">
        <f>'[1]Processed Data'!Q1706</f>
        <v>0</v>
      </c>
    </row>
    <row r="1707" spans="2:17" hidden="1">
      <c r="B1707">
        <f>'[1]Processed Data'!B1707</f>
        <v>2010</v>
      </c>
      <c r="C1707">
        <f>'[1]Processed Data'!C1707</f>
        <v>24</v>
      </c>
      <c r="D1707" t="str">
        <f>'[1]Processed Data'!D1707</f>
        <v>Trevor Lawrence</v>
      </c>
      <c r="E1707">
        <v>2008</v>
      </c>
      <c r="F1707">
        <f>'[1]Processed Data'!F1707</f>
        <v>0</v>
      </c>
      <c r="G1707">
        <f>'[1]Processed Data'!G1707</f>
        <v>0</v>
      </c>
      <c r="H1707">
        <f>'[1]Processed Data'!H1707</f>
        <v>0</v>
      </c>
      <c r="I1707">
        <f>'[1]Processed Data'!I1707</f>
        <v>0</v>
      </c>
      <c r="J1707">
        <f>'[1]Processed Data'!J1707</f>
        <v>0</v>
      </c>
      <c r="K1707">
        <f>'[1]Processed Data'!K1707</f>
        <v>0</v>
      </c>
      <c r="L1707">
        <f>'[1]Processed Data'!L1707</f>
        <v>0</v>
      </c>
      <c r="M1707">
        <f>'[1]Processed Data'!M1707</f>
        <v>0</v>
      </c>
      <c r="N1707">
        <f>'[1]Processed Data'!N1707</f>
        <v>0</v>
      </c>
      <c r="O1707">
        <f>'[1]Processed Data'!O1707</f>
        <v>0</v>
      </c>
      <c r="P1707">
        <f>'[1]Processed Data'!P1707</f>
        <v>0</v>
      </c>
      <c r="Q1707">
        <f>'[1]Processed Data'!Q1707</f>
        <v>0</v>
      </c>
    </row>
    <row r="1708" spans="2:17" hidden="1">
      <c r="B1708">
        <f>'[1]Processed Data'!B1708</f>
        <v>2010</v>
      </c>
      <c r="C1708">
        <f>'[1]Processed Data'!C1708</f>
        <v>25</v>
      </c>
      <c r="D1708" t="str">
        <f>'[1]Processed Data'!D1708</f>
        <v>Kyle Trask</v>
      </c>
      <c r="E1708">
        <v>2008</v>
      </c>
      <c r="F1708">
        <f>'[1]Processed Data'!F1708</f>
        <v>0</v>
      </c>
      <c r="G1708">
        <f>'[1]Processed Data'!G1708</f>
        <v>0</v>
      </c>
      <c r="H1708">
        <f>'[1]Processed Data'!H1708</f>
        <v>0</v>
      </c>
      <c r="I1708">
        <f>'[1]Processed Data'!I1708</f>
        <v>0</v>
      </c>
      <c r="J1708">
        <f>'[1]Processed Data'!J1708</f>
        <v>0</v>
      </c>
      <c r="K1708">
        <f>'[1]Processed Data'!K1708</f>
        <v>0</v>
      </c>
      <c r="L1708">
        <f>'[1]Processed Data'!L1708</f>
        <v>0</v>
      </c>
      <c r="M1708">
        <f>'[1]Processed Data'!M1708</f>
        <v>0</v>
      </c>
      <c r="N1708">
        <f>'[1]Processed Data'!N1708</f>
        <v>0</v>
      </c>
      <c r="O1708">
        <f>'[1]Processed Data'!O1708</f>
        <v>0</v>
      </c>
      <c r="P1708">
        <f>'[1]Processed Data'!P1708</f>
        <v>0</v>
      </c>
      <c r="Q1708">
        <f>'[1]Processed Data'!Q1708</f>
        <v>0</v>
      </c>
    </row>
    <row r="1709" spans="2:17" hidden="1">
      <c r="B1709">
        <f>'[1]Processed Data'!B1709</f>
        <v>2010</v>
      </c>
      <c r="C1709">
        <f>'[1]Processed Data'!C1709</f>
        <v>26</v>
      </c>
      <c r="D1709" t="str">
        <f>'[1]Processed Data'!D1709</f>
        <v>Sam Ehlinger</v>
      </c>
      <c r="E1709">
        <v>2008</v>
      </c>
      <c r="F1709">
        <f>'[1]Processed Data'!F1709</f>
        <v>0</v>
      </c>
      <c r="G1709">
        <f>'[1]Processed Data'!G1709</f>
        <v>0</v>
      </c>
      <c r="H1709">
        <f>'[1]Processed Data'!H1709</f>
        <v>0</v>
      </c>
      <c r="I1709">
        <f>'[1]Processed Data'!I1709</f>
        <v>0</v>
      </c>
      <c r="J1709">
        <f>'[1]Processed Data'!J1709</f>
        <v>0</v>
      </c>
      <c r="K1709">
        <f>'[1]Processed Data'!K1709</f>
        <v>0</v>
      </c>
      <c r="L1709">
        <f>'[1]Processed Data'!L1709</f>
        <v>0</v>
      </c>
      <c r="M1709">
        <f>'[1]Processed Data'!M1709</f>
        <v>0</v>
      </c>
      <c r="N1709">
        <f>'[1]Processed Data'!N1709</f>
        <v>0</v>
      </c>
      <c r="O1709">
        <f>'[1]Processed Data'!O1709</f>
        <v>0</v>
      </c>
      <c r="P1709">
        <f>'[1]Processed Data'!P1709</f>
        <v>0</v>
      </c>
      <c r="Q1709">
        <f>'[1]Processed Data'!Q1709</f>
        <v>0</v>
      </c>
    </row>
    <row r="1710" spans="2:17" hidden="1">
      <c r="B1710">
        <f>'[1]Processed Data'!B1710</f>
        <v>2010</v>
      </c>
      <c r="C1710">
        <f>'[1]Processed Data'!C1710</f>
        <v>27</v>
      </c>
      <c r="D1710" t="str">
        <f>'[1]Processed Data'!D1710</f>
        <v>Ben DiNucci</v>
      </c>
      <c r="E1710">
        <v>2008</v>
      </c>
      <c r="F1710">
        <f>'[1]Processed Data'!F1710</f>
        <v>0</v>
      </c>
      <c r="G1710">
        <f>'[1]Processed Data'!G1710</f>
        <v>0</v>
      </c>
      <c r="H1710">
        <f>'[1]Processed Data'!H1710</f>
        <v>0</v>
      </c>
      <c r="I1710">
        <f>'[1]Processed Data'!I1710</f>
        <v>0</v>
      </c>
      <c r="J1710">
        <f>'[1]Processed Data'!J1710</f>
        <v>0</v>
      </c>
      <c r="K1710">
        <f>'[1]Processed Data'!K1710</f>
        <v>0</v>
      </c>
      <c r="L1710">
        <f>'[1]Processed Data'!L1710</f>
        <v>0</v>
      </c>
      <c r="M1710">
        <f>'[1]Processed Data'!M1710</f>
        <v>0</v>
      </c>
      <c r="N1710">
        <f>'[1]Processed Data'!N1710</f>
        <v>0</v>
      </c>
      <c r="O1710">
        <f>'[1]Processed Data'!O1710</f>
        <v>0</v>
      </c>
      <c r="P1710">
        <f>'[1]Processed Data'!P1710</f>
        <v>0</v>
      </c>
      <c r="Q1710">
        <f>'[1]Processed Data'!Q1710</f>
        <v>0</v>
      </c>
    </row>
    <row r="1711" spans="2:17" hidden="1">
      <c r="B1711">
        <f>'[1]Processed Data'!B1711</f>
        <v>2010</v>
      </c>
      <c r="C1711">
        <f>'[1]Processed Data'!C1711</f>
        <v>28</v>
      </c>
      <c r="D1711" t="str">
        <f>'[1]Processed Data'!D1711</f>
        <v>Feleipe Franks</v>
      </c>
      <c r="E1711">
        <v>2008</v>
      </c>
      <c r="F1711">
        <f>'[1]Processed Data'!F1711</f>
        <v>0</v>
      </c>
      <c r="G1711">
        <f>'[1]Processed Data'!G1711</f>
        <v>0</v>
      </c>
      <c r="H1711">
        <f>'[1]Processed Data'!H1711</f>
        <v>0</v>
      </c>
      <c r="I1711">
        <f>'[1]Processed Data'!I1711</f>
        <v>0</v>
      </c>
      <c r="J1711">
        <f>'[1]Processed Data'!J1711</f>
        <v>0</v>
      </c>
      <c r="K1711">
        <f>'[1]Processed Data'!K1711</f>
        <v>0</v>
      </c>
      <c r="L1711">
        <f>'[1]Processed Data'!L1711</f>
        <v>0</v>
      </c>
      <c r="M1711">
        <f>'[1]Processed Data'!M1711</f>
        <v>0</v>
      </c>
      <c r="N1711">
        <f>'[1]Processed Data'!N1711</f>
        <v>0</v>
      </c>
      <c r="O1711">
        <f>'[1]Processed Data'!O1711</f>
        <v>0</v>
      </c>
      <c r="P1711">
        <f>'[1]Processed Data'!P1711</f>
        <v>0</v>
      </c>
      <c r="Q1711">
        <f>'[1]Processed Data'!Q1711</f>
        <v>0</v>
      </c>
    </row>
    <row r="1712" spans="2:17" hidden="1">
      <c r="B1712">
        <f>'[1]Processed Data'!B1712</f>
        <v>2010</v>
      </c>
      <c r="C1712">
        <f>'[1]Processed Data'!C1712</f>
        <v>29</v>
      </c>
      <c r="D1712" t="str">
        <f>'[1]Processed Data'!D1712</f>
        <v>Trey Lance</v>
      </c>
      <c r="E1712">
        <v>2008</v>
      </c>
      <c r="F1712">
        <f>'[1]Processed Data'!F1712</f>
        <v>0</v>
      </c>
      <c r="G1712">
        <f>'[1]Processed Data'!G1712</f>
        <v>0</v>
      </c>
      <c r="H1712">
        <f>'[1]Processed Data'!H1712</f>
        <v>0</v>
      </c>
      <c r="I1712">
        <f>'[1]Processed Data'!I1712</f>
        <v>0</v>
      </c>
      <c r="J1712">
        <f>'[1]Processed Data'!J1712</f>
        <v>0</v>
      </c>
      <c r="K1712">
        <f>'[1]Processed Data'!K1712</f>
        <v>0</v>
      </c>
      <c r="L1712">
        <f>'[1]Processed Data'!L1712</f>
        <v>0</v>
      </c>
      <c r="M1712">
        <f>'[1]Processed Data'!M1712</f>
        <v>0</v>
      </c>
      <c r="N1712">
        <f>'[1]Processed Data'!N1712</f>
        <v>0</v>
      </c>
      <c r="O1712">
        <f>'[1]Processed Data'!O1712</f>
        <v>0</v>
      </c>
      <c r="P1712">
        <f>'[1]Processed Data'!P1712</f>
        <v>0</v>
      </c>
      <c r="Q1712">
        <f>'[1]Processed Data'!Q1712</f>
        <v>0</v>
      </c>
    </row>
    <row r="1713" spans="2:17" hidden="1">
      <c r="B1713">
        <f>'[1]Processed Data'!B1713</f>
        <v>2010</v>
      </c>
      <c r="C1713">
        <f>'[1]Processed Data'!C1713</f>
        <v>30</v>
      </c>
      <c r="D1713" t="str">
        <f>'[1]Processed Data'!D1713</f>
        <v>Ian Book</v>
      </c>
      <c r="E1713">
        <v>2008</v>
      </c>
      <c r="F1713">
        <f>'[1]Processed Data'!F1713</f>
        <v>0</v>
      </c>
      <c r="G1713">
        <f>'[1]Processed Data'!G1713</f>
        <v>0</v>
      </c>
      <c r="H1713">
        <f>'[1]Processed Data'!H1713</f>
        <v>0</v>
      </c>
      <c r="I1713">
        <f>'[1]Processed Data'!I1713</f>
        <v>0</v>
      </c>
      <c r="J1713">
        <f>'[1]Processed Data'!J1713</f>
        <v>0</v>
      </c>
      <c r="K1713">
        <f>'[1]Processed Data'!K1713</f>
        <v>0</v>
      </c>
      <c r="L1713">
        <f>'[1]Processed Data'!L1713</f>
        <v>0</v>
      </c>
      <c r="M1713">
        <f>'[1]Processed Data'!M1713</f>
        <v>0</v>
      </c>
      <c r="N1713">
        <f>'[1]Processed Data'!N1713</f>
        <v>0</v>
      </c>
      <c r="O1713">
        <f>'[1]Processed Data'!O1713</f>
        <v>0</v>
      </c>
      <c r="P1713">
        <f>'[1]Processed Data'!P1713</f>
        <v>0</v>
      </c>
      <c r="Q1713">
        <f>'[1]Processed Data'!Q1713</f>
        <v>0</v>
      </c>
    </row>
    <row r="1714" spans="2:17" hidden="1">
      <c r="B1714">
        <f>'[1]Processed Data'!B1714</f>
        <v>2010</v>
      </c>
      <c r="C1714">
        <f>'[1]Processed Data'!C1714</f>
        <v>31</v>
      </c>
      <c r="D1714" t="str">
        <f>'[1]Processed Data'!D1714</f>
        <v>Brian Lewerke</v>
      </c>
      <c r="E1714">
        <v>2008</v>
      </c>
      <c r="F1714">
        <f>'[1]Processed Data'!F1714</f>
        <v>0</v>
      </c>
      <c r="G1714">
        <f>'[1]Processed Data'!G1714</f>
        <v>0</v>
      </c>
      <c r="H1714">
        <f>'[1]Processed Data'!H1714</f>
        <v>0</v>
      </c>
      <c r="I1714">
        <f>'[1]Processed Data'!I1714</f>
        <v>0</v>
      </c>
      <c r="J1714">
        <f>'[1]Processed Data'!J1714</f>
        <v>0</v>
      </c>
      <c r="K1714">
        <f>'[1]Processed Data'!K1714</f>
        <v>0</v>
      </c>
      <c r="L1714">
        <f>'[1]Processed Data'!L1714</f>
        <v>0</v>
      </c>
      <c r="M1714">
        <f>'[1]Processed Data'!M1714</f>
        <v>0</v>
      </c>
      <c r="N1714">
        <f>'[1]Processed Data'!N1714</f>
        <v>0</v>
      </c>
      <c r="O1714">
        <f>'[1]Processed Data'!O1714</f>
        <v>0</v>
      </c>
      <c r="P1714">
        <f>'[1]Processed Data'!P1714</f>
        <v>0</v>
      </c>
      <c r="Q1714">
        <f>'[1]Processed Data'!Q1714</f>
        <v>0</v>
      </c>
    </row>
    <row r="1715" spans="2:17" hidden="1">
      <c r="B1715">
        <f>'[1]Processed Data'!B1715</f>
        <v>2010</v>
      </c>
      <c r="C1715">
        <f>'[1]Processed Data'!C1715</f>
        <v>32</v>
      </c>
      <c r="D1715" t="str">
        <f>'[1]Processed Data'!D1715</f>
        <v>Mac Jones</v>
      </c>
      <c r="E1715">
        <v>2008</v>
      </c>
      <c r="F1715">
        <f>'[1]Processed Data'!F1715</f>
        <v>0</v>
      </c>
      <c r="G1715">
        <f>'[1]Processed Data'!G1715</f>
        <v>0</v>
      </c>
      <c r="H1715">
        <f>'[1]Processed Data'!H1715</f>
        <v>0</v>
      </c>
      <c r="I1715">
        <f>'[1]Processed Data'!I1715</f>
        <v>0</v>
      </c>
      <c r="J1715">
        <f>'[1]Processed Data'!J1715</f>
        <v>0</v>
      </c>
      <c r="K1715">
        <f>'[1]Processed Data'!K1715</f>
        <v>0</v>
      </c>
      <c r="L1715">
        <f>'[1]Processed Data'!L1715</f>
        <v>0</v>
      </c>
      <c r="M1715">
        <f>'[1]Processed Data'!M1715</f>
        <v>0</v>
      </c>
      <c r="N1715">
        <f>'[1]Processed Data'!N1715</f>
        <v>0</v>
      </c>
      <c r="O1715">
        <f>'[1]Processed Data'!O1715</f>
        <v>0</v>
      </c>
      <c r="P1715">
        <f>'[1]Processed Data'!P1715</f>
        <v>0</v>
      </c>
      <c r="Q1715">
        <f>'[1]Processed Data'!Q1715</f>
        <v>0</v>
      </c>
    </row>
    <row r="1716" spans="2:17" hidden="1">
      <c r="B1716">
        <f>'[1]Processed Data'!B1716</f>
        <v>2010</v>
      </c>
      <c r="C1716">
        <f>'[1]Processed Data'!C1716</f>
        <v>33</v>
      </c>
      <c r="D1716" t="str">
        <f>'[1]Processed Data'!D1716</f>
        <v>Shane Buechele</v>
      </c>
      <c r="E1716">
        <v>2008</v>
      </c>
      <c r="F1716">
        <f>'[1]Processed Data'!F1716</f>
        <v>0</v>
      </c>
      <c r="G1716">
        <f>'[1]Processed Data'!G1716</f>
        <v>0</v>
      </c>
      <c r="H1716">
        <f>'[1]Processed Data'!H1716</f>
        <v>0</v>
      </c>
      <c r="I1716">
        <f>'[1]Processed Data'!I1716</f>
        <v>0</v>
      </c>
      <c r="J1716">
        <f>'[1]Processed Data'!J1716</f>
        <v>0</v>
      </c>
      <c r="K1716">
        <f>'[1]Processed Data'!K1716</f>
        <v>0</v>
      </c>
      <c r="L1716">
        <f>'[1]Processed Data'!L1716</f>
        <v>0</v>
      </c>
      <c r="M1716">
        <f>'[1]Processed Data'!M1716</f>
        <v>0</v>
      </c>
      <c r="N1716">
        <f>'[1]Processed Data'!N1716</f>
        <v>0</v>
      </c>
      <c r="O1716">
        <f>'[1]Processed Data'!O1716</f>
        <v>0</v>
      </c>
      <c r="P1716">
        <f>'[1]Processed Data'!P1716</f>
        <v>0</v>
      </c>
      <c r="Q1716">
        <f>'[1]Processed Data'!Q1716</f>
        <v>0</v>
      </c>
    </row>
    <row r="1717" spans="2:17" hidden="1">
      <c r="B1717">
        <f>'[1]Processed Data'!B1717</f>
        <v>2010</v>
      </c>
      <c r="C1717">
        <f>'[1]Processed Data'!C1717</f>
        <v>34</v>
      </c>
      <c r="D1717" t="str">
        <f>'[1]Processed Data'!D1717</f>
        <v>James Morgan</v>
      </c>
      <c r="E1717">
        <v>2008</v>
      </c>
      <c r="F1717">
        <f>'[1]Processed Data'!F1717</f>
        <v>0</v>
      </c>
      <c r="G1717">
        <f>'[1]Processed Data'!G1717</f>
        <v>0</v>
      </c>
      <c r="H1717">
        <f>'[1]Processed Data'!H1717</f>
        <v>0</v>
      </c>
      <c r="I1717">
        <f>'[1]Processed Data'!I1717</f>
        <v>0</v>
      </c>
      <c r="J1717">
        <f>'[1]Processed Data'!J1717</f>
        <v>0</v>
      </c>
      <c r="K1717">
        <f>'[1]Processed Data'!K1717</f>
        <v>0</v>
      </c>
      <c r="L1717">
        <f>'[1]Processed Data'!L1717</f>
        <v>0</v>
      </c>
      <c r="M1717">
        <f>'[1]Processed Data'!M1717</f>
        <v>0</v>
      </c>
      <c r="N1717">
        <f>'[1]Processed Data'!N1717</f>
        <v>0</v>
      </c>
      <c r="O1717">
        <f>'[1]Processed Data'!O1717</f>
        <v>0</v>
      </c>
      <c r="P1717">
        <f>'[1]Processed Data'!P1717</f>
        <v>0</v>
      </c>
      <c r="Q1717">
        <f>'[1]Processed Data'!Q1717</f>
        <v>0</v>
      </c>
    </row>
    <row r="1718" spans="2:17" hidden="1">
      <c r="B1718">
        <f>'[1]Processed Data'!B1718</f>
        <v>2010</v>
      </c>
      <c r="C1718">
        <f>'[1]Processed Data'!C1718</f>
        <v>35</v>
      </c>
      <c r="D1718" t="str">
        <f>'[1]Processed Data'!D1718</f>
        <v>Drew Lock</v>
      </c>
      <c r="E1718">
        <v>2008</v>
      </c>
      <c r="F1718">
        <f>'[1]Processed Data'!F1718</f>
        <v>0</v>
      </c>
      <c r="G1718">
        <f>'[1]Processed Data'!G1718</f>
        <v>0</v>
      </c>
      <c r="H1718">
        <f>'[1]Processed Data'!H1718</f>
        <v>0</v>
      </c>
      <c r="I1718">
        <f>'[1]Processed Data'!I1718</f>
        <v>0</v>
      </c>
      <c r="J1718">
        <f>'[1]Processed Data'!J1718</f>
        <v>0</v>
      </c>
      <c r="K1718">
        <f>'[1]Processed Data'!K1718</f>
        <v>0</v>
      </c>
      <c r="L1718">
        <f>'[1]Processed Data'!L1718</f>
        <v>0</v>
      </c>
      <c r="M1718">
        <f>'[1]Processed Data'!M1718</f>
        <v>0</v>
      </c>
      <c r="N1718">
        <f>'[1]Processed Data'!N1718</f>
        <v>0</v>
      </c>
      <c r="O1718">
        <f>'[1]Processed Data'!O1718</f>
        <v>0</v>
      </c>
      <c r="P1718">
        <f>'[1]Processed Data'!P1718</f>
        <v>0</v>
      </c>
      <c r="Q1718">
        <f>'[1]Processed Data'!Q1718</f>
        <v>0</v>
      </c>
    </row>
    <row r="1719" spans="2:17" hidden="1">
      <c r="B1719">
        <f>'[1]Processed Data'!B1719</f>
        <v>2010</v>
      </c>
      <c r="C1719">
        <f>'[1]Processed Data'!C1719</f>
        <v>36</v>
      </c>
      <c r="D1719" t="str">
        <f>'[1]Processed Data'!D1719</f>
        <v>John Wolford</v>
      </c>
      <c r="E1719">
        <v>2007</v>
      </c>
      <c r="F1719">
        <f>'[1]Processed Data'!F1719</f>
        <v>0</v>
      </c>
      <c r="G1719">
        <f>'[1]Processed Data'!G1719</f>
        <v>0</v>
      </c>
      <c r="H1719">
        <f>'[1]Processed Data'!H1719</f>
        <v>0</v>
      </c>
      <c r="I1719">
        <f>'[1]Processed Data'!I1719</f>
        <v>0</v>
      </c>
      <c r="J1719">
        <f>'[1]Processed Data'!J1719</f>
        <v>0</v>
      </c>
      <c r="K1719">
        <f>'[1]Processed Data'!K1719</f>
        <v>0</v>
      </c>
      <c r="L1719">
        <f>'[1]Processed Data'!L1719</f>
        <v>0</v>
      </c>
      <c r="M1719">
        <f>'[1]Processed Data'!M1719</f>
        <v>0</v>
      </c>
      <c r="N1719">
        <f>'[1]Processed Data'!N1719</f>
        <v>0</v>
      </c>
      <c r="O1719">
        <f>'[1]Processed Data'!O1719</f>
        <v>0</v>
      </c>
      <c r="P1719">
        <f>'[1]Processed Data'!P1719</f>
        <v>0</v>
      </c>
      <c r="Q1719">
        <f>'[1]Processed Data'!Q1719</f>
        <v>0</v>
      </c>
    </row>
    <row r="1720" spans="2:17" hidden="1">
      <c r="B1720">
        <f>'[1]Processed Data'!B1720</f>
        <v>2010</v>
      </c>
      <c r="C1720">
        <f>'[1]Processed Data'!C1720</f>
        <v>37</v>
      </c>
      <c r="D1720" t="str">
        <f>'[1]Processed Data'!D1720</f>
        <v>Dwayne Haskins</v>
      </c>
      <c r="E1720">
        <v>2007</v>
      </c>
      <c r="F1720">
        <f>'[1]Processed Data'!F1720</f>
        <v>0</v>
      </c>
      <c r="G1720">
        <f>'[1]Processed Data'!G1720</f>
        <v>0</v>
      </c>
      <c r="H1720">
        <f>'[1]Processed Data'!H1720</f>
        <v>0</v>
      </c>
      <c r="I1720">
        <f>'[1]Processed Data'!I1720</f>
        <v>0</v>
      </c>
      <c r="J1720">
        <f>'[1]Processed Data'!J1720</f>
        <v>0</v>
      </c>
      <c r="K1720">
        <f>'[1]Processed Data'!K1720</f>
        <v>0</v>
      </c>
      <c r="L1720">
        <f>'[1]Processed Data'!L1720</f>
        <v>0</v>
      </c>
      <c r="M1720">
        <f>'[1]Processed Data'!M1720</f>
        <v>0</v>
      </c>
      <c r="N1720">
        <f>'[1]Processed Data'!N1720</f>
        <v>0</v>
      </c>
      <c r="O1720">
        <f>'[1]Processed Data'!O1720</f>
        <v>0</v>
      </c>
      <c r="P1720">
        <f>'[1]Processed Data'!P1720</f>
        <v>0</v>
      </c>
      <c r="Q1720">
        <f>'[1]Processed Data'!Q1720</f>
        <v>0</v>
      </c>
    </row>
    <row r="1721" spans="2:17" hidden="1">
      <c r="B1721">
        <f>'[1]Processed Data'!B1721</f>
        <v>2010</v>
      </c>
      <c r="C1721">
        <f>'[1]Processed Data'!C1721</f>
        <v>38</v>
      </c>
      <c r="D1721" t="str">
        <f>'[1]Processed Data'!D1721</f>
        <v>Daniel Jones</v>
      </c>
      <c r="E1721">
        <v>2007</v>
      </c>
      <c r="F1721">
        <f>'[1]Processed Data'!F1721</f>
        <v>0</v>
      </c>
      <c r="G1721">
        <f>'[1]Processed Data'!G1721</f>
        <v>0</v>
      </c>
      <c r="H1721">
        <f>'[1]Processed Data'!H1721</f>
        <v>0</v>
      </c>
      <c r="I1721">
        <f>'[1]Processed Data'!I1721</f>
        <v>0</v>
      </c>
      <c r="J1721">
        <f>'[1]Processed Data'!J1721</f>
        <v>0</v>
      </c>
      <c r="K1721">
        <f>'[1]Processed Data'!K1721</f>
        <v>0</v>
      </c>
      <c r="L1721">
        <f>'[1]Processed Data'!L1721</f>
        <v>0</v>
      </c>
      <c r="M1721">
        <f>'[1]Processed Data'!M1721</f>
        <v>0</v>
      </c>
      <c r="N1721">
        <f>'[1]Processed Data'!N1721</f>
        <v>0</v>
      </c>
      <c r="O1721">
        <f>'[1]Processed Data'!O1721</f>
        <v>0</v>
      </c>
      <c r="P1721">
        <f>'[1]Processed Data'!P1721</f>
        <v>0</v>
      </c>
      <c r="Q1721">
        <f>'[1]Processed Data'!Q1721</f>
        <v>0</v>
      </c>
    </row>
    <row r="1722" spans="2:17" hidden="1">
      <c r="B1722">
        <f>'[1]Processed Data'!B1722</f>
        <v>2010</v>
      </c>
      <c r="C1722">
        <f>'[1]Processed Data'!C1722</f>
        <v>39</v>
      </c>
      <c r="D1722" t="str">
        <f>'[1]Processed Data'!D1722</f>
        <v>Will Grier</v>
      </c>
      <c r="E1722">
        <v>2007</v>
      </c>
      <c r="F1722">
        <f>'[1]Processed Data'!F1722</f>
        <v>0</v>
      </c>
      <c r="G1722">
        <f>'[1]Processed Data'!G1722</f>
        <v>0</v>
      </c>
      <c r="H1722">
        <f>'[1]Processed Data'!H1722</f>
        <v>0</v>
      </c>
      <c r="I1722">
        <f>'[1]Processed Data'!I1722</f>
        <v>0</v>
      </c>
      <c r="J1722">
        <f>'[1]Processed Data'!J1722</f>
        <v>0</v>
      </c>
      <c r="K1722">
        <f>'[1]Processed Data'!K1722</f>
        <v>0</v>
      </c>
      <c r="L1722">
        <f>'[1]Processed Data'!L1722</f>
        <v>0</v>
      </c>
      <c r="M1722">
        <f>'[1]Processed Data'!M1722</f>
        <v>0</v>
      </c>
      <c r="N1722">
        <f>'[1]Processed Data'!N1722</f>
        <v>0</v>
      </c>
      <c r="O1722">
        <f>'[1]Processed Data'!O1722</f>
        <v>0</v>
      </c>
      <c r="P1722">
        <f>'[1]Processed Data'!P1722</f>
        <v>0</v>
      </c>
      <c r="Q1722">
        <f>'[1]Processed Data'!Q1722</f>
        <v>0</v>
      </c>
    </row>
    <row r="1723" spans="2:17" hidden="1">
      <c r="B1723">
        <f>'[1]Processed Data'!B1723</f>
        <v>2010</v>
      </c>
      <c r="C1723">
        <f>'[1]Processed Data'!C1723</f>
        <v>40</v>
      </c>
      <c r="D1723" t="str">
        <f>'[1]Processed Data'!D1723</f>
        <v>Brett Rypien</v>
      </c>
      <c r="E1723">
        <v>2007</v>
      </c>
      <c r="F1723">
        <f>'[1]Processed Data'!F1723</f>
        <v>0</v>
      </c>
      <c r="G1723">
        <f>'[1]Processed Data'!G1723</f>
        <v>0</v>
      </c>
      <c r="H1723">
        <f>'[1]Processed Data'!H1723</f>
        <v>0</v>
      </c>
      <c r="I1723">
        <f>'[1]Processed Data'!I1723</f>
        <v>0</v>
      </c>
      <c r="J1723">
        <f>'[1]Processed Data'!J1723</f>
        <v>0</v>
      </c>
      <c r="K1723">
        <f>'[1]Processed Data'!K1723</f>
        <v>0</v>
      </c>
      <c r="L1723">
        <f>'[1]Processed Data'!L1723</f>
        <v>0</v>
      </c>
      <c r="M1723">
        <f>'[1]Processed Data'!M1723</f>
        <v>0</v>
      </c>
      <c r="N1723">
        <f>'[1]Processed Data'!N1723</f>
        <v>0</v>
      </c>
      <c r="O1723">
        <f>'[1]Processed Data'!O1723</f>
        <v>0</v>
      </c>
      <c r="P1723">
        <f>'[1]Processed Data'!P1723</f>
        <v>0</v>
      </c>
      <c r="Q1723">
        <f>'[1]Processed Data'!Q1723</f>
        <v>0</v>
      </c>
    </row>
    <row r="1724" spans="2:17" hidden="1">
      <c r="B1724">
        <f>'[1]Processed Data'!B1724</f>
        <v>2010</v>
      </c>
      <c r="C1724">
        <f>'[1]Processed Data'!C1724</f>
        <v>41</v>
      </c>
      <c r="D1724" t="str">
        <f>'[1]Processed Data'!D1724</f>
        <v>Danny Etling</v>
      </c>
      <c r="E1724">
        <v>2007</v>
      </c>
      <c r="F1724">
        <f>'[1]Processed Data'!F1724</f>
        <v>0</v>
      </c>
      <c r="G1724">
        <f>'[1]Processed Data'!G1724</f>
        <v>0</v>
      </c>
      <c r="H1724">
        <f>'[1]Processed Data'!H1724</f>
        <v>0</v>
      </c>
      <c r="I1724">
        <f>'[1]Processed Data'!I1724</f>
        <v>0</v>
      </c>
      <c r="J1724">
        <f>'[1]Processed Data'!J1724</f>
        <v>0</v>
      </c>
      <c r="K1724">
        <f>'[1]Processed Data'!K1724</f>
        <v>0</v>
      </c>
      <c r="L1724">
        <f>'[1]Processed Data'!L1724</f>
        <v>0</v>
      </c>
      <c r="M1724">
        <f>'[1]Processed Data'!M1724</f>
        <v>0</v>
      </c>
      <c r="N1724">
        <f>'[1]Processed Data'!N1724</f>
        <v>0</v>
      </c>
      <c r="O1724">
        <f>'[1]Processed Data'!O1724</f>
        <v>0</v>
      </c>
      <c r="P1724">
        <f>'[1]Processed Data'!P1724</f>
        <v>0</v>
      </c>
      <c r="Q1724">
        <f>'[1]Processed Data'!Q1724</f>
        <v>0</v>
      </c>
    </row>
    <row r="1725" spans="2:17" hidden="1">
      <c r="B1725">
        <f>'[1]Processed Data'!B1725</f>
        <v>2010</v>
      </c>
      <c r="C1725">
        <f>'[1]Processed Data'!C1725</f>
        <v>42</v>
      </c>
      <c r="D1725" t="str">
        <f>'[1]Processed Data'!D1725</f>
        <v>Mike White</v>
      </c>
      <c r="E1725">
        <v>2007</v>
      </c>
      <c r="F1725">
        <f>'[1]Processed Data'!F1725</f>
        <v>0</v>
      </c>
      <c r="G1725">
        <f>'[1]Processed Data'!G1725</f>
        <v>0</v>
      </c>
      <c r="H1725">
        <f>'[1]Processed Data'!H1725</f>
        <v>0</v>
      </c>
      <c r="I1725">
        <f>'[1]Processed Data'!I1725</f>
        <v>0</v>
      </c>
      <c r="J1725">
        <f>'[1]Processed Data'!J1725</f>
        <v>0</v>
      </c>
      <c r="K1725">
        <f>'[1]Processed Data'!K1725</f>
        <v>0</v>
      </c>
      <c r="L1725">
        <f>'[1]Processed Data'!L1725</f>
        <v>0</v>
      </c>
      <c r="M1725">
        <f>'[1]Processed Data'!M1725</f>
        <v>0</v>
      </c>
      <c r="N1725">
        <f>'[1]Processed Data'!N1725</f>
        <v>0</v>
      </c>
      <c r="O1725">
        <f>'[1]Processed Data'!O1725</f>
        <v>0</v>
      </c>
      <c r="P1725">
        <f>'[1]Processed Data'!P1725</f>
        <v>0</v>
      </c>
      <c r="Q1725">
        <f>'[1]Processed Data'!Q1725</f>
        <v>0</v>
      </c>
    </row>
    <row r="1726" spans="2:17" hidden="1">
      <c r="B1726">
        <f>'[1]Processed Data'!B1726</f>
        <v>2010</v>
      </c>
      <c r="C1726">
        <f>'[1]Processed Data'!C1726</f>
        <v>43</v>
      </c>
      <c r="D1726" t="str">
        <f>'[1]Processed Data'!D1726</f>
        <v>Alex McGough</v>
      </c>
      <c r="E1726">
        <v>2007</v>
      </c>
      <c r="F1726">
        <f>'[1]Processed Data'!F1726</f>
        <v>0</v>
      </c>
      <c r="G1726">
        <f>'[1]Processed Data'!G1726</f>
        <v>0</v>
      </c>
      <c r="H1726">
        <f>'[1]Processed Data'!H1726</f>
        <v>0</v>
      </c>
      <c r="I1726">
        <f>'[1]Processed Data'!I1726</f>
        <v>0</v>
      </c>
      <c r="J1726">
        <f>'[1]Processed Data'!J1726</f>
        <v>0</v>
      </c>
      <c r="K1726">
        <f>'[1]Processed Data'!K1726</f>
        <v>0</v>
      </c>
      <c r="L1726">
        <f>'[1]Processed Data'!L1726</f>
        <v>0</v>
      </c>
      <c r="M1726">
        <f>'[1]Processed Data'!M1726</f>
        <v>0</v>
      </c>
      <c r="N1726">
        <f>'[1]Processed Data'!N1726</f>
        <v>0</v>
      </c>
      <c r="O1726">
        <f>'[1]Processed Data'!O1726</f>
        <v>0</v>
      </c>
      <c r="P1726">
        <f>'[1]Processed Data'!P1726</f>
        <v>0</v>
      </c>
      <c r="Q1726">
        <f>'[1]Processed Data'!Q1726</f>
        <v>0</v>
      </c>
    </row>
    <row r="1727" spans="2:17" hidden="1">
      <c r="B1727">
        <f>'[1]Processed Data'!B1727</f>
        <v>2010</v>
      </c>
      <c r="C1727">
        <f>'[1]Processed Data'!C1727</f>
        <v>44</v>
      </c>
      <c r="D1727" t="str">
        <f>'[1]Processed Data'!D1727</f>
        <v>Kyle Allen</v>
      </c>
      <c r="E1727">
        <v>2007</v>
      </c>
      <c r="F1727">
        <f>'[1]Processed Data'!F1727</f>
        <v>0</v>
      </c>
      <c r="G1727">
        <f>'[1]Processed Data'!G1727</f>
        <v>0</v>
      </c>
      <c r="H1727">
        <f>'[1]Processed Data'!H1727</f>
        <v>0</v>
      </c>
      <c r="I1727">
        <f>'[1]Processed Data'!I1727</f>
        <v>0</v>
      </c>
      <c r="J1727">
        <f>'[1]Processed Data'!J1727</f>
        <v>0</v>
      </c>
      <c r="K1727">
        <f>'[1]Processed Data'!K1727</f>
        <v>0</v>
      </c>
      <c r="L1727">
        <f>'[1]Processed Data'!L1727</f>
        <v>0</v>
      </c>
      <c r="M1727">
        <f>'[1]Processed Data'!M1727</f>
        <v>0</v>
      </c>
      <c r="N1727">
        <f>'[1]Processed Data'!N1727</f>
        <v>0</v>
      </c>
      <c r="O1727">
        <f>'[1]Processed Data'!O1727</f>
        <v>0</v>
      </c>
      <c r="P1727">
        <f>'[1]Processed Data'!P1727</f>
        <v>0</v>
      </c>
      <c r="Q1727">
        <f>'[1]Processed Data'!Q1727</f>
        <v>0</v>
      </c>
    </row>
    <row r="1728" spans="2:17" hidden="1">
      <c r="B1728">
        <f>'[1]Processed Data'!B1728</f>
        <v>2010</v>
      </c>
      <c r="C1728">
        <f>'[1]Processed Data'!C1728</f>
        <v>45</v>
      </c>
      <c r="D1728" t="str">
        <f>'[1]Processed Data'!D1728</f>
        <v>Tim Boyle</v>
      </c>
      <c r="E1728">
        <v>2007</v>
      </c>
      <c r="F1728">
        <f>'[1]Processed Data'!F1728</f>
        <v>0</v>
      </c>
      <c r="G1728">
        <f>'[1]Processed Data'!G1728</f>
        <v>0</v>
      </c>
      <c r="H1728">
        <f>'[1]Processed Data'!H1728</f>
        <v>0</v>
      </c>
      <c r="I1728">
        <f>'[1]Processed Data'!I1728</f>
        <v>0</v>
      </c>
      <c r="J1728">
        <f>'[1]Processed Data'!J1728</f>
        <v>0</v>
      </c>
      <c r="K1728">
        <f>'[1]Processed Data'!K1728</f>
        <v>0</v>
      </c>
      <c r="L1728">
        <f>'[1]Processed Data'!L1728</f>
        <v>0</v>
      </c>
      <c r="M1728">
        <f>'[1]Processed Data'!M1728</f>
        <v>0</v>
      </c>
      <c r="N1728">
        <f>'[1]Processed Data'!N1728</f>
        <v>0</v>
      </c>
      <c r="O1728">
        <f>'[1]Processed Data'!O1728</f>
        <v>0</v>
      </c>
      <c r="P1728">
        <f>'[1]Processed Data'!P1728</f>
        <v>0</v>
      </c>
      <c r="Q1728">
        <f>'[1]Processed Data'!Q1728</f>
        <v>0</v>
      </c>
    </row>
    <row r="1729" spans="2:17" hidden="1">
      <c r="B1729">
        <f>'[1]Processed Data'!B1729</f>
        <v>2010</v>
      </c>
      <c r="C1729">
        <f>'[1]Processed Data'!C1729</f>
        <v>46</v>
      </c>
      <c r="D1729" t="str">
        <f>'[1]Processed Data'!D1729</f>
        <v>Kurt Benkert</v>
      </c>
      <c r="E1729">
        <v>2007</v>
      </c>
      <c r="F1729">
        <f>'[1]Processed Data'!F1729</f>
        <v>0</v>
      </c>
      <c r="G1729">
        <f>'[1]Processed Data'!G1729</f>
        <v>0</v>
      </c>
      <c r="H1729">
        <f>'[1]Processed Data'!H1729</f>
        <v>0</v>
      </c>
      <c r="I1729">
        <f>'[1]Processed Data'!I1729</f>
        <v>0</v>
      </c>
      <c r="J1729">
        <f>'[1]Processed Data'!J1729</f>
        <v>0</v>
      </c>
      <c r="K1729">
        <f>'[1]Processed Data'!K1729</f>
        <v>0</v>
      </c>
      <c r="L1729">
        <f>'[1]Processed Data'!L1729</f>
        <v>0</v>
      </c>
      <c r="M1729">
        <f>'[1]Processed Data'!M1729</f>
        <v>0</v>
      </c>
      <c r="N1729">
        <f>'[1]Processed Data'!N1729</f>
        <v>0</v>
      </c>
      <c r="O1729">
        <f>'[1]Processed Data'!O1729</f>
        <v>0</v>
      </c>
      <c r="P1729">
        <f>'[1]Processed Data'!P1729</f>
        <v>0</v>
      </c>
      <c r="Q1729">
        <f>'[1]Processed Data'!Q1729</f>
        <v>0</v>
      </c>
    </row>
    <row r="1730" spans="2:17" hidden="1">
      <c r="B1730">
        <f>'[1]Processed Data'!B1730</f>
        <v>2010</v>
      </c>
      <c r="C1730">
        <f>'[1]Processed Data'!C1730</f>
        <v>47</v>
      </c>
      <c r="D1730" t="str">
        <f>'[1]Processed Data'!D1730</f>
        <v>Easton Stick</v>
      </c>
      <c r="E1730">
        <v>2007</v>
      </c>
      <c r="F1730">
        <f>'[1]Processed Data'!F1730</f>
        <v>0</v>
      </c>
      <c r="G1730">
        <f>'[1]Processed Data'!G1730</f>
        <v>0</v>
      </c>
      <c r="H1730">
        <f>'[1]Processed Data'!H1730</f>
        <v>0</v>
      </c>
      <c r="I1730">
        <f>'[1]Processed Data'!I1730</f>
        <v>0</v>
      </c>
      <c r="J1730">
        <f>'[1]Processed Data'!J1730</f>
        <v>0</v>
      </c>
      <c r="K1730">
        <f>'[1]Processed Data'!K1730</f>
        <v>0</v>
      </c>
      <c r="L1730">
        <f>'[1]Processed Data'!L1730</f>
        <v>0</v>
      </c>
      <c r="M1730">
        <f>'[1]Processed Data'!M1730</f>
        <v>0</v>
      </c>
      <c r="N1730">
        <f>'[1]Processed Data'!N1730</f>
        <v>0</v>
      </c>
      <c r="O1730">
        <f>'[1]Processed Data'!O1730</f>
        <v>0</v>
      </c>
      <c r="P1730">
        <f>'[1]Processed Data'!P1730</f>
        <v>0</v>
      </c>
      <c r="Q1730">
        <f>'[1]Processed Data'!Q1730</f>
        <v>0</v>
      </c>
    </row>
    <row r="1731" spans="2:17" hidden="1">
      <c r="B1731">
        <f>'[1]Processed Data'!B1731</f>
        <v>2010</v>
      </c>
      <c r="C1731">
        <f>'[1]Processed Data'!C1731</f>
        <v>48</v>
      </c>
      <c r="D1731" t="str">
        <f>'[1]Processed Data'!D1731</f>
        <v>Trace McSorley</v>
      </c>
      <c r="E1731">
        <v>2007</v>
      </c>
      <c r="F1731">
        <f>'[1]Processed Data'!F1731</f>
        <v>0</v>
      </c>
      <c r="G1731">
        <f>'[1]Processed Data'!G1731</f>
        <v>0</v>
      </c>
      <c r="H1731">
        <f>'[1]Processed Data'!H1731</f>
        <v>0</v>
      </c>
      <c r="I1731">
        <f>'[1]Processed Data'!I1731</f>
        <v>0</v>
      </c>
      <c r="J1731">
        <f>'[1]Processed Data'!J1731</f>
        <v>0</v>
      </c>
      <c r="K1731">
        <f>'[1]Processed Data'!K1731</f>
        <v>0</v>
      </c>
      <c r="L1731">
        <f>'[1]Processed Data'!L1731</f>
        <v>0</v>
      </c>
      <c r="M1731">
        <f>'[1]Processed Data'!M1731</f>
        <v>0</v>
      </c>
      <c r="N1731">
        <f>'[1]Processed Data'!N1731</f>
        <v>0</v>
      </c>
      <c r="O1731">
        <f>'[1]Processed Data'!O1731</f>
        <v>0</v>
      </c>
      <c r="P1731">
        <f>'[1]Processed Data'!P1731</f>
        <v>0</v>
      </c>
      <c r="Q1731">
        <f>'[1]Processed Data'!Q1731</f>
        <v>0</v>
      </c>
    </row>
    <row r="1732" spans="2:17" hidden="1">
      <c r="B1732">
        <f>'[1]Processed Data'!B1732</f>
        <v>2010</v>
      </c>
      <c r="C1732">
        <f>'[1]Processed Data'!C1732</f>
        <v>49</v>
      </c>
      <c r="D1732" t="str">
        <f>'[1]Processed Data'!D1732</f>
        <v>Jake Luton</v>
      </c>
      <c r="E1732">
        <v>2007</v>
      </c>
      <c r="F1732">
        <f>'[1]Processed Data'!F1732</f>
        <v>0</v>
      </c>
      <c r="G1732">
        <f>'[1]Processed Data'!G1732</f>
        <v>0</v>
      </c>
      <c r="H1732">
        <f>'[1]Processed Data'!H1732</f>
        <v>0</v>
      </c>
      <c r="I1732">
        <f>'[1]Processed Data'!I1732</f>
        <v>0</v>
      </c>
      <c r="J1732">
        <f>'[1]Processed Data'!J1732</f>
        <v>0</v>
      </c>
      <c r="K1732">
        <f>'[1]Processed Data'!K1732</f>
        <v>0</v>
      </c>
      <c r="L1732">
        <f>'[1]Processed Data'!L1732</f>
        <v>0</v>
      </c>
      <c r="M1732">
        <f>'[1]Processed Data'!M1732</f>
        <v>0</v>
      </c>
      <c r="N1732">
        <f>'[1]Processed Data'!N1732</f>
        <v>0</v>
      </c>
      <c r="O1732">
        <f>'[1]Processed Data'!O1732</f>
        <v>0</v>
      </c>
      <c r="P1732">
        <f>'[1]Processed Data'!P1732</f>
        <v>0</v>
      </c>
      <c r="Q1732">
        <f>'[1]Processed Data'!Q1732</f>
        <v>0</v>
      </c>
    </row>
    <row r="1733" spans="2:17" hidden="1">
      <c r="B1733">
        <f>'[1]Processed Data'!B1733</f>
        <v>2010</v>
      </c>
      <c r="C1733">
        <f>'[1]Processed Data'!C1733</f>
        <v>50</v>
      </c>
      <c r="D1733" t="str">
        <f>'[1]Processed Data'!D1733</f>
        <v>Tua Tagovailoa</v>
      </c>
      <c r="E1733">
        <v>2007</v>
      </c>
      <c r="F1733">
        <f>'[1]Processed Data'!F1733</f>
        <v>0</v>
      </c>
      <c r="G1733">
        <f>'[1]Processed Data'!G1733</f>
        <v>0</v>
      </c>
      <c r="H1733">
        <f>'[1]Processed Data'!H1733</f>
        <v>0</v>
      </c>
      <c r="I1733">
        <f>'[1]Processed Data'!I1733</f>
        <v>0</v>
      </c>
      <c r="J1733">
        <f>'[1]Processed Data'!J1733</f>
        <v>0</v>
      </c>
      <c r="K1733">
        <f>'[1]Processed Data'!K1733</f>
        <v>0</v>
      </c>
      <c r="L1733">
        <f>'[1]Processed Data'!L1733</f>
        <v>0</v>
      </c>
      <c r="M1733">
        <f>'[1]Processed Data'!M1733</f>
        <v>0</v>
      </c>
      <c r="N1733">
        <f>'[1]Processed Data'!N1733</f>
        <v>0</v>
      </c>
      <c r="O1733">
        <f>'[1]Processed Data'!O1733</f>
        <v>0</v>
      </c>
      <c r="P1733">
        <f>'[1]Processed Data'!P1733</f>
        <v>0</v>
      </c>
      <c r="Q1733">
        <f>'[1]Processed Data'!Q1733</f>
        <v>0</v>
      </c>
    </row>
    <row r="1734" spans="2:17" hidden="1">
      <c r="B1734">
        <f>'[1]Processed Data'!B1734</f>
        <v>2010</v>
      </c>
      <c r="C1734">
        <f>'[1]Processed Data'!C1734</f>
        <v>51</v>
      </c>
      <c r="D1734" t="str">
        <f>'[1]Processed Data'!D1734</f>
        <v>Jacob Eason</v>
      </c>
      <c r="E1734">
        <v>2007</v>
      </c>
      <c r="F1734">
        <f>'[1]Processed Data'!F1734</f>
        <v>0</v>
      </c>
      <c r="G1734">
        <f>'[1]Processed Data'!G1734</f>
        <v>0</v>
      </c>
      <c r="H1734">
        <f>'[1]Processed Data'!H1734</f>
        <v>0</v>
      </c>
      <c r="I1734">
        <f>'[1]Processed Data'!I1734</f>
        <v>0</v>
      </c>
      <c r="J1734">
        <f>'[1]Processed Data'!J1734</f>
        <v>0</v>
      </c>
      <c r="K1734">
        <f>'[1]Processed Data'!K1734</f>
        <v>0</v>
      </c>
      <c r="L1734">
        <f>'[1]Processed Data'!L1734</f>
        <v>0</v>
      </c>
      <c r="M1734">
        <f>'[1]Processed Data'!M1734</f>
        <v>0</v>
      </c>
      <c r="N1734">
        <f>'[1]Processed Data'!N1734</f>
        <v>0</v>
      </c>
      <c r="O1734">
        <f>'[1]Processed Data'!O1734</f>
        <v>0</v>
      </c>
      <c r="P1734">
        <f>'[1]Processed Data'!P1734</f>
        <v>0</v>
      </c>
      <c r="Q1734">
        <f>'[1]Processed Data'!Q1734</f>
        <v>0</v>
      </c>
    </row>
    <row r="1735" spans="2:17" hidden="1">
      <c r="B1735">
        <f>'[1]Processed Data'!B1735</f>
        <v>2010</v>
      </c>
      <c r="C1735">
        <f>'[1]Processed Data'!C1735</f>
        <v>52</v>
      </c>
      <c r="D1735" t="str">
        <f>'[1]Processed Data'!D1735</f>
        <v>Jake Fromm</v>
      </c>
      <c r="E1735">
        <v>2007</v>
      </c>
      <c r="F1735">
        <f>'[1]Processed Data'!F1735</f>
        <v>0</v>
      </c>
      <c r="G1735">
        <f>'[1]Processed Data'!G1735</f>
        <v>0</v>
      </c>
      <c r="H1735">
        <f>'[1]Processed Data'!H1735</f>
        <v>0</v>
      </c>
      <c r="I1735">
        <f>'[1]Processed Data'!I1735</f>
        <v>0</v>
      </c>
      <c r="J1735">
        <f>'[1]Processed Data'!J1735</f>
        <v>0</v>
      </c>
      <c r="K1735">
        <f>'[1]Processed Data'!K1735</f>
        <v>0</v>
      </c>
      <c r="L1735">
        <f>'[1]Processed Data'!L1735</f>
        <v>0</v>
      </c>
      <c r="M1735">
        <f>'[1]Processed Data'!M1735</f>
        <v>0</v>
      </c>
      <c r="N1735">
        <f>'[1]Processed Data'!N1735</f>
        <v>0</v>
      </c>
      <c r="O1735">
        <f>'[1]Processed Data'!O1735</f>
        <v>0</v>
      </c>
      <c r="P1735">
        <f>'[1]Processed Data'!P1735</f>
        <v>0</v>
      </c>
      <c r="Q1735">
        <f>'[1]Processed Data'!Q1735</f>
        <v>0</v>
      </c>
    </row>
    <row r="1736" spans="2:17" hidden="1">
      <c r="B1736">
        <f>'[1]Processed Data'!B1736</f>
        <v>2010</v>
      </c>
      <c r="C1736">
        <f>'[1]Processed Data'!C1736</f>
        <v>53</v>
      </c>
      <c r="D1736" t="str">
        <f>'[1]Processed Data'!D1736</f>
        <v>Jordan Love</v>
      </c>
      <c r="E1736">
        <v>2007</v>
      </c>
      <c r="F1736">
        <f>'[1]Processed Data'!F1736</f>
        <v>0</v>
      </c>
      <c r="G1736">
        <f>'[1]Processed Data'!G1736</f>
        <v>0</v>
      </c>
      <c r="H1736">
        <f>'[1]Processed Data'!H1736</f>
        <v>0</v>
      </c>
      <c r="I1736">
        <f>'[1]Processed Data'!I1736</f>
        <v>0</v>
      </c>
      <c r="J1736">
        <f>'[1]Processed Data'!J1736</f>
        <v>0</v>
      </c>
      <c r="K1736">
        <f>'[1]Processed Data'!K1736</f>
        <v>0</v>
      </c>
      <c r="L1736">
        <f>'[1]Processed Data'!L1736</f>
        <v>0</v>
      </c>
      <c r="M1736">
        <f>'[1]Processed Data'!M1736</f>
        <v>0</v>
      </c>
      <c r="N1736">
        <f>'[1]Processed Data'!N1736</f>
        <v>0</v>
      </c>
      <c r="O1736">
        <f>'[1]Processed Data'!O1736</f>
        <v>0</v>
      </c>
      <c r="P1736">
        <f>'[1]Processed Data'!P1736</f>
        <v>0</v>
      </c>
      <c r="Q1736">
        <f>'[1]Processed Data'!Q1736</f>
        <v>0</v>
      </c>
    </row>
    <row r="1737" spans="2:17" hidden="1">
      <c r="B1737">
        <f>'[1]Processed Data'!B1737</f>
        <v>2010</v>
      </c>
      <c r="C1737">
        <f>'[1]Processed Data'!C1737</f>
        <v>54</v>
      </c>
      <c r="D1737" t="str">
        <f>'[1]Processed Data'!D1737</f>
        <v>Jalen Hurts</v>
      </c>
      <c r="E1737">
        <v>2007</v>
      </c>
      <c r="F1737">
        <f>'[1]Processed Data'!F1737</f>
        <v>0</v>
      </c>
      <c r="G1737">
        <f>'[1]Processed Data'!G1737</f>
        <v>0</v>
      </c>
      <c r="H1737">
        <f>'[1]Processed Data'!H1737</f>
        <v>0</v>
      </c>
      <c r="I1737">
        <f>'[1]Processed Data'!I1737</f>
        <v>0</v>
      </c>
      <c r="J1737">
        <f>'[1]Processed Data'!J1737</f>
        <v>0</v>
      </c>
      <c r="K1737">
        <f>'[1]Processed Data'!K1737</f>
        <v>0</v>
      </c>
      <c r="L1737">
        <f>'[1]Processed Data'!L1737</f>
        <v>0</v>
      </c>
      <c r="M1737">
        <f>'[1]Processed Data'!M1737</f>
        <v>0</v>
      </c>
      <c r="N1737">
        <f>'[1]Processed Data'!N1737</f>
        <v>0</v>
      </c>
      <c r="O1737">
        <f>'[1]Processed Data'!O1737</f>
        <v>0</v>
      </c>
      <c r="P1737">
        <f>'[1]Processed Data'!P1737</f>
        <v>0</v>
      </c>
      <c r="Q1737">
        <f>'[1]Processed Data'!Q1737</f>
        <v>0</v>
      </c>
    </row>
    <row r="1738" spans="2:17" hidden="1">
      <c r="B1738">
        <f>'[1]Processed Data'!B1738</f>
        <v>2010</v>
      </c>
      <c r="C1738">
        <f>'[1]Processed Data'!C1738</f>
        <v>55</v>
      </c>
      <c r="D1738" t="str">
        <f>'[1]Processed Data'!D1738</f>
        <v>Tyler Huntley</v>
      </c>
      <c r="E1738">
        <v>2007</v>
      </c>
      <c r="F1738">
        <f>'[1]Processed Data'!F1738</f>
        <v>0</v>
      </c>
      <c r="G1738">
        <f>'[1]Processed Data'!G1738</f>
        <v>0</v>
      </c>
      <c r="H1738">
        <f>'[1]Processed Data'!H1738</f>
        <v>0</v>
      </c>
      <c r="I1738">
        <f>'[1]Processed Data'!I1738</f>
        <v>0</v>
      </c>
      <c r="J1738">
        <f>'[1]Processed Data'!J1738</f>
        <v>0</v>
      </c>
      <c r="K1738">
        <f>'[1]Processed Data'!K1738</f>
        <v>0</v>
      </c>
      <c r="L1738">
        <f>'[1]Processed Data'!L1738</f>
        <v>0</v>
      </c>
      <c r="M1738">
        <f>'[1]Processed Data'!M1738</f>
        <v>0</v>
      </c>
      <c r="N1738">
        <f>'[1]Processed Data'!N1738</f>
        <v>0</v>
      </c>
      <c r="O1738">
        <f>'[1]Processed Data'!O1738</f>
        <v>0</v>
      </c>
      <c r="P1738">
        <f>'[1]Processed Data'!P1738</f>
        <v>0</v>
      </c>
      <c r="Q1738">
        <f>'[1]Processed Data'!Q1738</f>
        <v>0</v>
      </c>
    </row>
    <row r="1739" spans="2:17" hidden="1">
      <c r="B1739">
        <f>'[1]Processed Data'!B1739</f>
        <v>2010</v>
      </c>
      <c r="C1739">
        <f>'[1]Processed Data'!C1739</f>
        <v>56</v>
      </c>
      <c r="D1739" t="str">
        <f>'[1]Processed Data'!D1739</f>
        <v>Kellen Mond</v>
      </c>
      <c r="E1739">
        <v>2007</v>
      </c>
      <c r="F1739">
        <f>'[1]Processed Data'!F1739</f>
        <v>0</v>
      </c>
      <c r="G1739">
        <f>'[1]Processed Data'!G1739</f>
        <v>0</v>
      </c>
      <c r="H1739">
        <f>'[1]Processed Data'!H1739</f>
        <v>0</v>
      </c>
      <c r="I1739">
        <f>'[1]Processed Data'!I1739</f>
        <v>0</v>
      </c>
      <c r="J1739">
        <f>'[1]Processed Data'!J1739</f>
        <v>0</v>
      </c>
      <c r="K1739">
        <f>'[1]Processed Data'!K1739</f>
        <v>0</v>
      </c>
      <c r="L1739">
        <f>'[1]Processed Data'!L1739</f>
        <v>0</v>
      </c>
      <c r="M1739">
        <f>'[1]Processed Data'!M1739</f>
        <v>0</v>
      </c>
      <c r="N1739">
        <f>'[1]Processed Data'!N1739</f>
        <v>0</v>
      </c>
      <c r="O1739">
        <f>'[1]Processed Data'!O1739</f>
        <v>0</v>
      </c>
      <c r="P1739">
        <f>'[1]Processed Data'!P1739</f>
        <v>0</v>
      </c>
      <c r="Q1739">
        <f>'[1]Processed Data'!Q1739</f>
        <v>0</v>
      </c>
    </row>
    <row r="1740" spans="2:17" hidden="1">
      <c r="B1740">
        <f>'[1]Processed Data'!B1740</f>
        <v>2010</v>
      </c>
      <c r="C1740">
        <f>'[1]Processed Data'!C1740</f>
        <v>57</v>
      </c>
      <c r="D1740" t="str">
        <f>'[1]Processed Data'!D1740</f>
        <v>Bryce Perkins</v>
      </c>
      <c r="E1740">
        <v>2007</v>
      </c>
      <c r="F1740">
        <f>'[1]Processed Data'!F1740</f>
        <v>0</v>
      </c>
      <c r="G1740">
        <f>'[1]Processed Data'!G1740</f>
        <v>0</v>
      </c>
      <c r="H1740">
        <f>'[1]Processed Data'!H1740</f>
        <v>0</v>
      </c>
      <c r="I1740">
        <f>'[1]Processed Data'!I1740</f>
        <v>0</v>
      </c>
      <c r="J1740">
        <f>'[1]Processed Data'!J1740</f>
        <v>0</v>
      </c>
      <c r="K1740">
        <f>'[1]Processed Data'!K1740</f>
        <v>0</v>
      </c>
      <c r="L1740">
        <f>'[1]Processed Data'!L1740</f>
        <v>0</v>
      </c>
      <c r="M1740">
        <f>'[1]Processed Data'!M1740</f>
        <v>0</v>
      </c>
      <c r="N1740">
        <f>'[1]Processed Data'!N1740</f>
        <v>0</v>
      </c>
      <c r="O1740">
        <f>'[1]Processed Data'!O1740</f>
        <v>0</v>
      </c>
      <c r="P1740">
        <f>'[1]Processed Data'!P1740</f>
        <v>0</v>
      </c>
      <c r="Q1740">
        <f>'[1]Processed Data'!Q1740</f>
        <v>0</v>
      </c>
    </row>
    <row r="1741" spans="2:17" hidden="1">
      <c r="B1741">
        <f>'[1]Processed Data'!B1741</f>
        <v>2010</v>
      </c>
      <c r="C1741">
        <f>'[1]Processed Data'!C1741</f>
        <v>58</v>
      </c>
      <c r="D1741" t="str">
        <f>'[1]Processed Data'!D1741</f>
        <v>Steven Montez</v>
      </c>
      <c r="E1741">
        <v>2007</v>
      </c>
      <c r="F1741">
        <f>'[1]Processed Data'!F1741</f>
        <v>0</v>
      </c>
      <c r="G1741">
        <f>'[1]Processed Data'!G1741</f>
        <v>0</v>
      </c>
      <c r="H1741">
        <f>'[1]Processed Data'!H1741</f>
        <v>0</v>
      </c>
      <c r="I1741">
        <f>'[1]Processed Data'!I1741</f>
        <v>0</v>
      </c>
      <c r="J1741">
        <f>'[1]Processed Data'!J1741</f>
        <v>0</v>
      </c>
      <c r="K1741">
        <f>'[1]Processed Data'!K1741</f>
        <v>0</v>
      </c>
      <c r="L1741">
        <f>'[1]Processed Data'!L1741</f>
        <v>0</v>
      </c>
      <c r="M1741">
        <f>'[1]Processed Data'!M1741</f>
        <v>0</v>
      </c>
      <c r="N1741">
        <f>'[1]Processed Data'!N1741</f>
        <v>0</v>
      </c>
      <c r="O1741">
        <f>'[1]Processed Data'!O1741</f>
        <v>0</v>
      </c>
      <c r="P1741">
        <f>'[1]Processed Data'!P1741</f>
        <v>0</v>
      </c>
      <c r="Q1741">
        <f>'[1]Processed Data'!Q1741</f>
        <v>0</v>
      </c>
    </row>
    <row r="1742" spans="2:17" hidden="1">
      <c r="B1742">
        <f>'[1]Processed Data'!B1742</f>
        <v>2010</v>
      </c>
      <c r="C1742">
        <f>'[1]Processed Data'!C1742</f>
        <v>59</v>
      </c>
      <c r="D1742" t="str">
        <f>'[1]Processed Data'!D1742</f>
        <v>Joe Burrow</v>
      </c>
      <c r="E1742">
        <v>2007</v>
      </c>
      <c r="F1742">
        <f>'[1]Processed Data'!F1742</f>
        <v>0</v>
      </c>
      <c r="G1742">
        <f>'[1]Processed Data'!G1742</f>
        <v>0</v>
      </c>
      <c r="H1742">
        <f>'[1]Processed Data'!H1742</f>
        <v>0</v>
      </c>
      <c r="I1742">
        <f>'[1]Processed Data'!I1742</f>
        <v>0</v>
      </c>
      <c r="J1742">
        <f>'[1]Processed Data'!J1742</f>
        <v>0</v>
      </c>
      <c r="K1742">
        <f>'[1]Processed Data'!K1742</f>
        <v>0</v>
      </c>
      <c r="L1742">
        <f>'[1]Processed Data'!L1742</f>
        <v>0</v>
      </c>
      <c r="M1742">
        <f>'[1]Processed Data'!M1742</f>
        <v>0</v>
      </c>
      <c r="N1742">
        <f>'[1]Processed Data'!N1742</f>
        <v>0</v>
      </c>
      <c r="O1742">
        <f>'[1]Processed Data'!O1742</f>
        <v>0</v>
      </c>
      <c r="P1742">
        <f>'[1]Processed Data'!P1742</f>
        <v>0</v>
      </c>
      <c r="Q1742">
        <f>'[1]Processed Data'!Q1742</f>
        <v>0</v>
      </c>
    </row>
    <row r="1743" spans="2:17" hidden="1">
      <c r="B1743">
        <f>'[1]Processed Data'!B1743</f>
        <v>2010</v>
      </c>
      <c r="C1743">
        <f>'[1]Processed Data'!C1743</f>
        <v>60</v>
      </c>
      <c r="D1743" t="str">
        <f>'[1]Processed Data'!D1743</f>
        <v>Eric Dungey</v>
      </c>
      <c r="E1743">
        <v>2007</v>
      </c>
      <c r="F1743">
        <f>'[1]Processed Data'!F1743</f>
        <v>0</v>
      </c>
      <c r="G1743">
        <f>'[1]Processed Data'!G1743</f>
        <v>0</v>
      </c>
      <c r="H1743">
        <f>'[1]Processed Data'!H1743</f>
        <v>0</v>
      </c>
      <c r="I1743">
        <f>'[1]Processed Data'!I1743</f>
        <v>0</v>
      </c>
      <c r="J1743">
        <f>'[1]Processed Data'!J1743</f>
        <v>0</v>
      </c>
      <c r="K1743">
        <f>'[1]Processed Data'!K1743</f>
        <v>0</v>
      </c>
      <c r="L1743">
        <f>'[1]Processed Data'!L1743</f>
        <v>0</v>
      </c>
      <c r="M1743">
        <f>'[1]Processed Data'!M1743</f>
        <v>0</v>
      </c>
      <c r="N1743">
        <f>'[1]Processed Data'!N1743</f>
        <v>0</v>
      </c>
      <c r="O1743">
        <f>'[1]Processed Data'!O1743</f>
        <v>0</v>
      </c>
      <c r="P1743">
        <f>'[1]Processed Data'!P1743</f>
        <v>0</v>
      </c>
      <c r="Q1743">
        <f>'[1]Processed Data'!Q1743</f>
        <v>0</v>
      </c>
    </row>
    <row r="1744" spans="2:17" hidden="1">
      <c r="B1744">
        <f>'[1]Processed Data'!B1744</f>
        <v>2010</v>
      </c>
      <c r="C1744">
        <f>'[1]Processed Data'!C1744</f>
        <v>61</v>
      </c>
      <c r="D1744" t="str">
        <f>'[1]Processed Data'!D1744</f>
        <v>David Blough</v>
      </c>
      <c r="E1744">
        <v>2007</v>
      </c>
      <c r="F1744">
        <f>'[1]Processed Data'!F1744</f>
        <v>0</v>
      </c>
      <c r="G1744">
        <f>'[1]Processed Data'!G1744</f>
        <v>0</v>
      </c>
      <c r="H1744">
        <f>'[1]Processed Data'!H1744</f>
        <v>0</v>
      </c>
      <c r="I1744">
        <f>'[1]Processed Data'!I1744</f>
        <v>0</v>
      </c>
      <c r="J1744">
        <f>'[1]Processed Data'!J1744</f>
        <v>0</v>
      </c>
      <c r="K1744">
        <f>'[1]Processed Data'!K1744</f>
        <v>0</v>
      </c>
      <c r="L1744">
        <f>'[1]Processed Data'!L1744</f>
        <v>0</v>
      </c>
      <c r="M1744">
        <f>'[1]Processed Data'!M1744</f>
        <v>0</v>
      </c>
      <c r="N1744">
        <f>'[1]Processed Data'!N1744</f>
        <v>0</v>
      </c>
      <c r="O1744">
        <f>'[1]Processed Data'!O1744</f>
        <v>0</v>
      </c>
      <c r="P1744">
        <f>'[1]Processed Data'!P1744</f>
        <v>0</v>
      </c>
      <c r="Q1744">
        <f>'[1]Processed Data'!Q1744</f>
        <v>0</v>
      </c>
    </row>
    <row r="1745" spans="2:17" hidden="1">
      <c r="B1745">
        <f>'[1]Processed Data'!B1745</f>
        <v>2010</v>
      </c>
      <c r="C1745">
        <f>'[1]Processed Data'!C1745</f>
        <v>62</v>
      </c>
      <c r="D1745" t="str">
        <f>'[1]Processed Data'!D1745</f>
        <v>Jake Browning</v>
      </c>
      <c r="E1745">
        <v>2007</v>
      </c>
      <c r="F1745">
        <f>'[1]Processed Data'!F1745</f>
        <v>0</v>
      </c>
      <c r="G1745">
        <f>'[1]Processed Data'!G1745</f>
        <v>0</v>
      </c>
      <c r="H1745">
        <f>'[1]Processed Data'!H1745</f>
        <v>0</v>
      </c>
      <c r="I1745">
        <f>'[1]Processed Data'!I1745</f>
        <v>0</v>
      </c>
      <c r="J1745">
        <f>'[1]Processed Data'!J1745</f>
        <v>0</v>
      </c>
      <c r="K1745">
        <f>'[1]Processed Data'!K1745</f>
        <v>0</v>
      </c>
      <c r="L1745">
        <f>'[1]Processed Data'!L1745</f>
        <v>0</v>
      </c>
      <c r="M1745">
        <f>'[1]Processed Data'!M1745</f>
        <v>0</v>
      </c>
      <c r="N1745">
        <f>'[1]Processed Data'!N1745</f>
        <v>0</v>
      </c>
      <c r="O1745">
        <f>'[1]Processed Data'!O1745</f>
        <v>0</v>
      </c>
      <c r="P1745">
        <f>'[1]Processed Data'!P1745</f>
        <v>0</v>
      </c>
      <c r="Q1745">
        <f>'[1]Processed Data'!Q1745</f>
        <v>0</v>
      </c>
    </row>
    <row r="1746" spans="2:17" hidden="1">
      <c r="B1746">
        <f>'[1]Processed Data'!B1746</f>
        <v>2010</v>
      </c>
      <c r="C1746">
        <f>'[1]Processed Data'!C1746</f>
        <v>63</v>
      </c>
      <c r="D1746" t="str">
        <f>'[1]Processed Data'!D1746</f>
        <v>Gardner Minshew II</v>
      </c>
      <c r="E1746">
        <v>2007</v>
      </c>
      <c r="F1746">
        <f>'[1]Processed Data'!F1746</f>
        <v>0</v>
      </c>
      <c r="G1746">
        <f>'[1]Processed Data'!G1746</f>
        <v>0</v>
      </c>
      <c r="H1746">
        <f>'[1]Processed Data'!H1746</f>
        <v>0</v>
      </c>
      <c r="I1746">
        <f>'[1]Processed Data'!I1746</f>
        <v>0</v>
      </c>
      <c r="J1746">
        <f>'[1]Processed Data'!J1746</f>
        <v>0</v>
      </c>
      <c r="K1746">
        <f>'[1]Processed Data'!K1746</f>
        <v>0</v>
      </c>
      <c r="L1746">
        <f>'[1]Processed Data'!L1746</f>
        <v>0</v>
      </c>
      <c r="M1746">
        <f>'[1]Processed Data'!M1746</f>
        <v>0</v>
      </c>
      <c r="N1746">
        <f>'[1]Processed Data'!N1746</f>
        <v>0</v>
      </c>
      <c r="O1746">
        <f>'[1]Processed Data'!O1746</f>
        <v>0</v>
      </c>
      <c r="P1746">
        <f>'[1]Processed Data'!P1746</f>
        <v>0</v>
      </c>
      <c r="Q1746">
        <f>'[1]Processed Data'!Q1746</f>
        <v>0</v>
      </c>
    </row>
    <row r="1747" spans="2:17" hidden="1">
      <c r="B1747">
        <f>'[1]Processed Data'!B1747</f>
        <v>2010</v>
      </c>
      <c r="C1747">
        <f>'[1]Processed Data'!C1747</f>
        <v>64</v>
      </c>
      <c r="D1747" t="str">
        <f>'[1]Processed Data'!D1747</f>
        <v>Kyler Murray</v>
      </c>
      <c r="E1747">
        <v>2007</v>
      </c>
      <c r="F1747">
        <f>'[1]Processed Data'!F1747</f>
        <v>0</v>
      </c>
      <c r="G1747">
        <f>'[1]Processed Data'!G1747</f>
        <v>0</v>
      </c>
      <c r="H1747">
        <f>'[1]Processed Data'!H1747</f>
        <v>0</v>
      </c>
      <c r="I1747">
        <f>'[1]Processed Data'!I1747</f>
        <v>0</v>
      </c>
      <c r="J1747">
        <f>'[1]Processed Data'!J1747</f>
        <v>0</v>
      </c>
      <c r="K1747">
        <f>'[1]Processed Data'!K1747</f>
        <v>0</v>
      </c>
      <c r="L1747">
        <f>'[1]Processed Data'!L1747</f>
        <v>0</v>
      </c>
      <c r="M1747">
        <f>'[1]Processed Data'!M1747</f>
        <v>0</v>
      </c>
      <c r="N1747">
        <f>'[1]Processed Data'!N1747</f>
        <v>0</v>
      </c>
      <c r="O1747">
        <f>'[1]Processed Data'!O1747</f>
        <v>0</v>
      </c>
      <c r="P1747">
        <f>'[1]Processed Data'!P1747</f>
        <v>0</v>
      </c>
      <c r="Q1747">
        <f>'[1]Processed Data'!Q1747</f>
        <v>0</v>
      </c>
    </row>
    <row r="1748" spans="2:17" hidden="1">
      <c r="B1748">
        <f>'[1]Processed Data'!B1748</f>
        <v>2010</v>
      </c>
      <c r="C1748">
        <f>'[1]Processed Data'!C1748</f>
        <v>65</v>
      </c>
      <c r="D1748" t="str">
        <f>'[1]Processed Data'!D1748</f>
        <v>Jarrett Stidham</v>
      </c>
      <c r="E1748">
        <v>2007</v>
      </c>
      <c r="F1748">
        <f>'[1]Processed Data'!F1748</f>
        <v>0</v>
      </c>
      <c r="G1748">
        <f>'[1]Processed Data'!G1748</f>
        <v>0</v>
      </c>
      <c r="H1748">
        <f>'[1]Processed Data'!H1748</f>
        <v>0</v>
      </c>
      <c r="I1748">
        <f>'[1]Processed Data'!I1748</f>
        <v>0</v>
      </c>
      <c r="J1748">
        <f>'[1]Processed Data'!J1748</f>
        <v>0</v>
      </c>
      <c r="K1748">
        <f>'[1]Processed Data'!K1748</f>
        <v>0</v>
      </c>
      <c r="L1748">
        <f>'[1]Processed Data'!L1748</f>
        <v>0</v>
      </c>
      <c r="M1748">
        <f>'[1]Processed Data'!M1748</f>
        <v>0</v>
      </c>
      <c r="N1748">
        <f>'[1]Processed Data'!N1748</f>
        <v>0</v>
      </c>
      <c r="O1748">
        <f>'[1]Processed Data'!O1748</f>
        <v>0</v>
      </c>
      <c r="P1748">
        <f>'[1]Processed Data'!P1748</f>
        <v>0</v>
      </c>
      <c r="Q1748">
        <f>'[1]Processed Data'!Q1748</f>
        <v>0</v>
      </c>
    </row>
    <row r="1749" spans="2:17" hidden="1">
      <c r="B1749">
        <f>'[1]Processed Data'!B1749</f>
        <v>2010</v>
      </c>
      <c r="C1749">
        <f>'[1]Processed Data'!C1749</f>
        <v>66</v>
      </c>
      <c r="D1749" t="str">
        <f>'[1]Processed Data'!D1749</f>
        <v>Justin Herbert</v>
      </c>
      <c r="E1749">
        <v>2007</v>
      </c>
      <c r="F1749">
        <f>'[1]Processed Data'!F1749</f>
        <v>0</v>
      </c>
      <c r="G1749">
        <f>'[1]Processed Data'!G1749</f>
        <v>0</v>
      </c>
      <c r="H1749">
        <f>'[1]Processed Data'!H1749</f>
        <v>0</v>
      </c>
      <c r="I1749">
        <f>'[1]Processed Data'!I1749</f>
        <v>0</v>
      </c>
      <c r="J1749">
        <f>'[1]Processed Data'!J1749</f>
        <v>0</v>
      </c>
      <c r="K1749">
        <f>'[1]Processed Data'!K1749</f>
        <v>0</v>
      </c>
      <c r="L1749">
        <f>'[1]Processed Data'!L1749</f>
        <v>0</v>
      </c>
      <c r="M1749">
        <f>'[1]Processed Data'!M1749</f>
        <v>0</v>
      </c>
      <c r="N1749">
        <f>'[1]Processed Data'!N1749</f>
        <v>0</v>
      </c>
      <c r="O1749">
        <f>'[1]Processed Data'!O1749</f>
        <v>0</v>
      </c>
      <c r="P1749">
        <f>'[1]Processed Data'!P1749</f>
        <v>0</v>
      </c>
      <c r="Q1749">
        <f>'[1]Processed Data'!Q1749</f>
        <v>0</v>
      </c>
    </row>
    <row r="1750" spans="2:17" hidden="1">
      <c r="B1750">
        <f>'[1]Processed Data'!B1750</f>
        <v>2010</v>
      </c>
      <c r="C1750">
        <f>'[1]Processed Data'!C1750</f>
        <v>67</v>
      </c>
      <c r="D1750" t="str">
        <f>'[1]Processed Data'!D1750</f>
        <v>John Lovett</v>
      </c>
      <c r="E1750">
        <v>2007</v>
      </c>
      <c r="F1750">
        <f>'[1]Processed Data'!F1750</f>
        <v>0</v>
      </c>
      <c r="G1750">
        <f>'[1]Processed Data'!G1750</f>
        <v>0</v>
      </c>
      <c r="H1750">
        <f>'[1]Processed Data'!H1750</f>
        <v>0</v>
      </c>
      <c r="I1750">
        <f>'[1]Processed Data'!I1750</f>
        <v>0</v>
      </c>
      <c r="J1750">
        <f>'[1]Processed Data'!J1750</f>
        <v>0</v>
      </c>
      <c r="K1750">
        <f>'[1]Processed Data'!K1750</f>
        <v>0</v>
      </c>
      <c r="L1750">
        <f>'[1]Processed Data'!L1750</f>
        <v>0</v>
      </c>
      <c r="M1750">
        <f>'[1]Processed Data'!M1750</f>
        <v>0</v>
      </c>
      <c r="N1750">
        <f>'[1]Processed Data'!N1750</f>
        <v>0</v>
      </c>
      <c r="O1750">
        <f>'[1]Processed Data'!O1750</f>
        <v>0</v>
      </c>
      <c r="P1750">
        <f>'[1]Processed Data'!P1750</f>
        <v>0</v>
      </c>
      <c r="Q1750">
        <f>'[1]Processed Data'!Q1750</f>
        <v>0</v>
      </c>
    </row>
    <row r="1751" spans="2:17" hidden="1">
      <c r="B1751">
        <f>'[1]Processed Data'!B1751</f>
        <v>2010</v>
      </c>
      <c r="C1751">
        <f>'[1]Processed Data'!C1751</f>
        <v>68</v>
      </c>
      <c r="D1751" t="str">
        <f>'[1]Processed Data'!D1751</f>
        <v>Ryan Willis</v>
      </c>
      <c r="E1751">
        <v>2007</v>
      </c>
      <c r="F1751">
        <f>'[1]Processed Data'!F1751</f>
        <v>0</v>
      </c>
      <c r="G1751">
        <f>'[1]Processed Data'!G1751</f>
        <v>0</v>
      </c>
      <c r="H1751">
        <f>'[1]Processed Data'!H1751</f>
        <v>0</v>
      </c>
      <c r="I1751">
        <f>'[1]Processed Data'!I1751</f>
        <v>0</v>
      </c>
      <c r="J1751">
        <f>'[1]Processed Data'!J1751</f>
        <v>0</v>
      </c>
      <c r="K1751">
        <f>'[1]Processed Data'!K1751</f>
        <v>0</v>
      </c>
      <c r="L1751">
        <f>'[1]Processed Data'!L1751</f>
        <v>0</v>
      </c>
      <c r="M1751">
        <f>'[1]Processed Data'!M1751</f>
        <v>0</v>
      </c>
      <c r="N1751">
        <f>'[1]Processed Data'!N1751</f>
        <v>0</v>
      </c>
      <c r="O1751">
        <f>'[1]Processed Data'!O1751</f>
        <v>0</v>
      </c>
      <c r="P1751">
        <f>'[1]Processed Data'!P1751</f>
        <v>0</v>
      </c>
      <c r="Q1751">
        <f>'[1]Processed Data'!Q1751</f>
        <v>0</v>
      </c>
    </row>
    <row r="1752" spans="2:17" hidden="1">
      <c r="B1752">
        <f>'[1]Processed Data'!B1752</f>
        <v>2010</v>
      </c>
      <c r="C1752">
        <f>'[1]Processed Data'!C1752</f>
        <v>69</v>
      </c>
      <c r="D1752" t="str">
        <f>'[1]Processed Data'!D1752</f>
        <v>Zach Wilson</v>
      </c>
      <c r="E1752">
        <v>2006</v>
      </c>
      <c r="F1752">
        <f>'[1]Processed Data'!F1752</f>
        <v>0</v>
      </c>
      <c r="G1752">
        <f>'[1]Processed Data'!G1752</f>
        <v>0</v>
      </c>
      <c r="H1752">
        <f>'[1]Processed Data'!H1752</f>
        <v>0</v>
      </c>
      <c r="I1752">
        <f>'[1]Processed Data'!I1752</f>
        <v>0</v>
      </c>
      <c r="J1752">
        <f>'[1]Processed Data'!J1752</f>
        <v>0</v>
      </c>
      <c r="K1752">
        <f>'[1]Processed Data'!K1752</f>
        <v>0</v>
      </c>
      <c r="L1752">
        <f>'[1]Processed Data'!L1752</f>
        <v>0</v>
      </c>
      <c r="M1752">
        <f>'[1]Processed Data'!M1752</f>
        <v>0</v>
      </c>
      <c r="N1752">
        <f>'[1]Processed Data'!N1752</f>
        <v>0</v>
      </c>
      <c r="O1752">
        <f>'[1]Processed Data'!O1752</f>
        <v>0</v>
      </c>
      <c r="P1752">
        <f>'[1]Processed Data'!P1752</f>
        <v>0</v>
      </c>
      <c r="Q1752">
        <f>'[1]Processed Data'!Q1752</f>
        <v>0</v>
      </c>
    </row>
    <row r="1753" spans="2:17" hidden="1">
      <c r="B1753">
        <f>'[1]Processed Data'!B1753</f>
        <v>2010</v>
      </c>
      <c r="C1753">
        <f>'[1]Processed Data'!C1753</f>
        <v>70</v>
      </c>
      <c r="D1753" t="str">
        <f>'[1]Processed Data'!D1753</f>
        <v>Davis Mills</v>
      </c>
      <c r="E1753">
        <v>2006</v>
      </c>
      <c r="F1753">
        <f>'[1]Processed Data'!F1753</f>
        <v>0</v>
      </c>
      <c r="G1753">
        <f>'[1]Processed Data'!G1753</f>
        <v>0</v>
      </c>
      <c r="H1753">
        <f>'[1]Processed Data'!H1753</f>
        <v>0</v>
      </c>
      <c r="I1753">
        <f>'[1]Processed Data'!I1753</f>
        <v>0</v>
      </c>
      <c r="J1753">
        <f>'[1]Processed Data'!J1753</f>
        <v>0</v>
      </c>
      <c r="K1753">
        <f>'[1]Processed Data'!K1753</f>
        <v>0</v>
      </c>
      <c r="L1753">
        <f>'[1]Processed Data'!L1753</f>
        <v>0</v>
      </c>
      <c r="M1753">
        <f>'[1]Processed Data'!M1753</f>
        <v>0</v>
      </c>
      <c r="N1753">
        <f>'[1]Processed Data'!N1753</f>
        <v>0</v>
      </c>
      <c r="O1753">
        <f>'[1]Processed Data'!O1753</f>
        <v>0</v>
      </c>
      <c r="P1753">
        <f>'[1]Processed Data'!P1753</f>
        <v>0</v>
      </c>
      <c r="Q1753">
        <f>'[1]Processed Data'!Q1753</f>
        <v>0</v>
      </c>
    </row>
    <row r="1754" spans="2:17" hidden="1">
      <c r="B1754">
        <f>'[1]Processed Data'!B1754</f>
        <v>2010</v>
      </c>
      <c r="C1754">
        <f>'[1]Processed Data'!C1754</f>
        <v>71</v>
      </c>
      <c r="D1754" t="str">
        <f>'[1]Processed Data'!D1754</f>
        <v>Lamar Jackson</v>
      </c>
      <c r="E1754">
        <v>2006</v>
      </c>
      <c r="F1754">
        <f>'[1]Processed Data'!F1754</f>
        <v>0</v>
      </c>
      <c r="G1754">
        <f>'[1]Processed Data'!G1754</f>
        <v>0</v>
      </c>
      <c r="H1754">
        <f>'[1]Processed Data'!H1754</f>
        <v>0</v>
      </c>
      <c r="I1754">
        <f>'[1]Processed Data'!I1754</f>
        <v>0</v>
      </c>
      <c r="J1754">
        <f>'[1]Processed Data'!J1754</f>
        <v>0</v>
      </c>
      <c r="K1754">
        <f>'[1]Processed Data'!K1754</f>
        <v>0</v>
      </c>
      <c r="L1754">
        <f>'[1]Processed Data'!L1754</f>
        <v>0</v>
      </c>
      <c r="M1754">
        <f>'[1]Processed Data'!M1754</f>
        <v>0</v>
      </c>
      <c r="N1754">
        <f>'[1]Processed Data'!N1754</f>
        <v>0</v>
      </c>
      <c r="O1754">
        <f>'[1]Processed Data'!O1754</f>
        <v>0</v>
      </c>
      <c r="P1754">
        <f>'[1]Processed Data'!P1754</f>
        <v>0</v>
      </c>
      <c r="Q1754">
        <f>'[1]Processed Data'!Q1754</f>
        <v>0</v>
      </c>
    </row>
    <row r="1755" spans="2:17" hidden="1">
      <c r="B1755">
        <f>'[1]Processed Data'!B1755</f>
        <v>2010</v>
      </c>
      <c r="C1755">
        <f>'[1]Processed Data'!C1755</f>
        <v>72</v>
      </c>
      <c r="D1755" t="str">
        <f>'[1]Processed Data'!D1755</f>
        <v>Rusty Smith</v>
      </c>
      <c r="E1755">
        <v>2006</v>
      </c>
      <c r="F1755">
        <f>'[1]Processed Data'!F1755</f>
        <v>20</v>
      </c>
      <c r="G1755">
        <f>'[1]Processed Data'!G1755</f>
        <v>40</v>
      </c>
      <c r="H1755">
        <f>'[1]Processed Data'!H1755</f>
        <v>50</v>
      </c>
      <c r="I1755">
        <f>'[1]Processed Data'!I1755</f>
        <v>0</v>
      </c>
      <c r="J1755">
        <f>'[1]Processed Data'!J1755</f>
        <v>4</v>
      </c>
      <c r="K1755">
        <f>'[1]Processed Data'!K1755</f>
        <v>1</v>
      </c>
      <c r="L1755">
        <f>'[1]Processed Data'!L1755</f>
        <v>0</v>
      </c>
      <c r="M1755">
        <f>'[1]Processed Data'!M1755</f>
        <v>0</v>
      </c>
      <c r="N1755">
        <f>'[1]Processed Data'!N1755</f>
        <v>0</v>
      </c>
      <c r="O1755">
        <f>'[1]Processed Data'!O1755</f>
        <v>0</v>
      </c>
      <c r="P1755">
        <f>'[1]Processed Data'!P1755</f>
        <v>0</v>
      </c>
      <c r="Q1755">
        <f>'[1]Processed Data'!Q1755</f>
        <v>2</v>
      </c>
    </row>
    <row r="1756" spans="2:17" hidden="1">
      <c r="B1756">
        <f>'[1]Processed Data'!B1756</f>
        <v>2010</v>
      </c>
      <c r="C1756">
        <f>'[1]Processed Data'!C1756</f>
        <v>73</v>
      </c>
      <c r="D1756" t="str">
        <f>'[1]Processed Data'!D1756</f>
        <v>Blaine Gabbert</v>
      </c>
      <c r="E1756">
        <v>2006</v>
      </c>
      <c r="F1756">
        <f>'[1]Processed Data'!F1756</f>
        <v>0</v>
      </c>
      <c r="G1756">
        <f>'[1]Processed Data'!G1756</f>
        <v>0</v>
      </c>
      <c r="H1756">
        <f>'[1]Processed Data'!H1756</f>
        <v>0</v>
      </c>
      <c r="I1756">
        <f>'[1]Processed Data'!I1756</f>
        <v>0</v>
      </c>
      <c r="J1756">
        <f>'[1]Processed Data'!J1756</f>
        <v>0</v>
      </c>
      <c r="K1756">
        <f>'[1]Processed Data'!K1756</f>
        <v>0</v>
      </c>
      <c r="L1756">
        <f>'[1]Processed Data'!L1756</f>
        <v>0</v>
      </c>
      <c r="M1756">
        <f>'[1]Processed Data'!M1756</f>
        <v>0</v>
      </c>
      <c r="N1756">
        <f>'[1]Processed Data'!N1756</f>
        <v>0</v>
      </c>
      <c r="O1756">
        <f>'[1]Processed Data'!O1756</f>
        <v>0</v>
      </c>
      <c r="P1756">
        <f>'[1]Processed Data'!P1756</f>
        <v>0</v>
      </c>
      <c r="Q1756">
        <f>'[1]Processed Data'!Q1756</f>
        <v>0</v>
      </c>
    </row>
    <row r="1757" spans="2:17" hidden="1">
      <c r="B1757">
        <f>'[1]Processed Data'!B1757</f>
        <v>2010</v>
      </c>
      <c r="C1757">
        <f>'[1]Processed Data'!C1757</f>
        <v>74</v>
      </c>
      <c r="D1757" t="str">
        <f>'[1]Processed Data'!D1757</f>
        <v>Cam Newton</v>
      </c>
      <c r="E1757">
        <v>2006</v>
      </c>
      <c r="F1757">
        <f>'[1]Processed Data'!F1757</f>
        <v>0</v>
      </c>
      <c r="G1757">
        <f>'[1]Processed Data'!G1757</f>
        <v>0</v>
      </c>
      <c r="H1757">
        <f>'[1]Processed Data'!H1757</f>
        <v>0</v>
      </c>
      <c r="I1757">
        <f>'[1]Processed Data'!I1757</f>
        <v>0</v>
      </c>
      <c r="J1757">
        <f>'[1]Processed Data'!J1757</f>
        <v>0</v>
      </c>
      <c r="K1757">
        <f>'[1]Processed Data'!K1757</f>
        <v>0</v>
      </c>
      <c r="L1757">
        <f>'[1]Processed Data'!L1757</f>
        <v>0</v>
      </c>
      <c r="M1757">
        <f>'[1]Processed Data'!M1757</f>
        <v>0</v>
      </c>
      <c r="N1757">
        <f>'[1]Processed Data'!N1757</f>
        <v>0</v>
      </c>
      <c r="O1757">
        <f>'[1]Processed Data'!O1757</f>
        <v>0</v>
      </c>
      <c r="P1757">
        <f>'[1]Processed Data'!P1757</f>
        <v>0</v>
      </c>
      <c r="Q1757">
        <f>'[1]Processed Data'!Q1757</f>
        <v>0</v>
      </c>
    </row>
    <row r="1758" spans="2:17" hidden="1">
      <c r="B1758">
        <f>'[1]Processed Data'!B1758</f>
        <v>2010</v>
      </c>
      <c r="C1758">
        <f>'[1]Processed Data'!C1758</f>
        <v>75</v>
      </c>
      <c r="D1758" t="str">
        <f>'[1]Processed Data'!D1758</f>
        <v>Andy Dalton</v>
      </c>
      <c r="E1758">
        <v>2006</v>
      </c>
      <c r="F1758">
        <f>'[1]Processed Data'!F1758</f>
        <v>0</v>
      </c>
      <c r="G1758">
        <f>'[1]Processed Data'!G1758</f>
        <v>0</v>
      </c>
      <c r="H1758">
        <f>'[1]Processed Data'!H1758</f>
        <v>0</v>
      </c>
      <c r="I1758">
        <f>'[1]Processed Data'!I1758</f>
        <v>0</v>
      </c>
      <c r="J1758">
        <f>'[1]Processed Data'!J1758</f>
        <v>0</v>
      </c>
      <c r="K1758">
        <f>'[1]Processed Data'!K1758</f>
        <v>0</v>
      </c>
      <c r="L1758">
        <f>'[1]Processed Data'!L1758</f>
        <v>0</v>
      </c>
      <c r="M1758">
        <f>'[1]Processed Data'!M1758</f>
        <v>0</v>
      </c>
      <c r="N1758">
        <f>'[1]Processed Data'!N1758</f>
        <v>0</v>
      </c>
      <c r="O1758">
        <f>'[1]Processed Data'!O1758</f>
        <v>0</v>
      </c>
      <c r="P1758">
        <f>'[1]Processed Data'!P1758</f>
        <v>0</v>
      </c>
      <c r="Q1758">
        <f>'[1]Processed Data'!Q1758</f>
        <v>0</v>
      </c>
    </row>
    <row r="1759" spans="2:17" hidden="1">
      <c r="B1759">
        <f>'[1]Processed Data'!B1759</f>
        <v>2010</v>
      </c>
      <c r="C1759">
        <f>'[1]Processed Data'!C1759</f>
        <v>76</v>
      </c>
      <c r="D1759" t="str">
        <f>'[1]Processed Data'!D1759</f>
        <v>Tyrod Taylor</v>
      </c>
      <c r="E1759">
        <v>2006</v>
      </c>
      <c r="F1759">
        <f>'[1]Processed Data'!F1759</f>
        <v>0</v>
      </c>
      <c r="G1759">
        <f>'[1]Processed Data'!G1759</f>
        <v>0</v>
      </c>
      <c r="H1759">
        <f>'[1]Processed Data'!H1759</f>
        <v>0</v>
      </c>
      <c r="I1759">
        <f>'[1]Processed Data'!I1759</f>
        <v>0</v>
      </c>
      <c r="J1759">
        <f>'[1]Processed Data'!J1759</f>
        <v>0</v>
      </c>
      <c r="K1759">
        <f>'[1]Processed Data'!K1759</f>
        <v>0</v>
      </c>
      <c r="L1759">
        <f>'[1]Processed Data'!L1759</f>
        <v>0</v>
      </c>
      <c r="M1759">
        <f>'[1]Processed Data'!M1759</f>
        <v>0</v>
      </c>
      <c r="N1759">
        <f>'[1]Processed Data'!N1759</f>
        <v>0</v>
      </c>
      <c r="O1759">
        <f>'[1]Processed Data'!O1759</f>
        <v>0</v>
      </c>
      <c r="P1759">
        <f>'[1]Processed Data'!P1759</f>
        <v>0</v>
      </c>
      <c r="Q1759">
        <f>'[1]Processed Data'!Q1759</f>
        <v>0</v>
      </c>
    </row>
    <row r="1760" spans="2:17" hidden="1">
      <c r="B1760">
        <f>'[1]Processed Data'!B1760</f>
        <v>2010</v>
      </c>
      <c r="C1760">
        <f>'[1]Processed Data'!C1760</f>
        <v>77</v>
      </c>
      <c r="D1760" t="str">
        <f>'[1]Processed Data'!D1760</f>
        <v>John David Booty</v>
      </c>
      <c r="E1760">
        <v>2006</v>
      </c>
      <c r="F1760">
        <f>'[1]Processed Data'!F1760</f>
        <v>0</v>
      </c>
      <c r="G1760">
        <f>'[1]Processed Data'!G1760</f>
        <v>0</v>
      </c>
      <c r="H1760">
        <f>'[1]Processed Data'!H1760</f>
        <v>0</v>
      </c>
      <c r="I1760">
        <f>'[1]Processed Data'!I1760</f>
        <v>0</v>
      </c>
      <c r="J1760">
        <f>'[1]Processed Data'!J1760</f>
        <v>0</v>
      </c>
      <c r="K1760">
        <f>'[1]Processed Data'!K1760</f>
        <v>0</v>
      </c>
      <c r="L1760">
        <f>'[1]Processed Data'!L1760</f>
        <v>0</v>
      </c>
      <c r="M1760">
        <f>'[1]Processed Data'!M1760</f>
        <v>0</v>
      </c>
      <c r="N1760">
        <f>'[1]Processed Data'!N1760</f>
        <v>0</v>
      </c>
      <c r="O1760">
        <f>'[1]Processed Data'!O1760</f>
        <v>0</v>
      </c>
      <c r="P1760">
        <f>'[1]Processed Data'!P1760</f>
        <v>0</v>
      </c>
      <c r="Q1760">
        <f>'[1]Processed Data'!Q1760</f>
        <v>0</v>
      </c>
    </row>
    <row r="1761" spans="2:17" hidden="1">
      <c r="B1761">
        <f>'[1]Processed Data'!B1761</f>
        <v>2010</v>
      </c>
      <c r="C1761">
        <f>'[1]Processed Data'!C1761</f>
        <v>78</v>
      </c>
      <c r="D1761" t="str">
        <f>'[1]Processed Data'!D1761</f>
        <v>Erik Ainge</v>
      </c>
      <c r="E1761">
        <v>2006</v>
      </c>
      <c r="F1761">
        <f>'[1]Processed Data'!F1761</f>
        <v>0</v>
      </c>
      <c r="G1761">
        <f>'[1]Processed Data'!G1761</f>
        <v>0</v>
      </c>
      <c r="H1761">
        <f>'[1]Processed Data'!H1761</f>
        <v>0</v>
      </c>
      <c r="I1761">
        <f>'[1]Processed Data'!I1761</f>
        <v>0</v>
      </c>
      <c r="J1761">
        <f>'[1]Processed Data'!J1761</f>
        <v>0</v>
      </c>
      <c r="K1761">
        <f>'[1]Processed Data'!K1761</f>
        <v>0</v>
      </c>
      <c r="L1761">
        <f>'[1]Processed Data'!L1761</f>
        <v>0</v>
      </c>
      <c r="M1761">
        <f>'[1]Processed Data'!M1761</f>
        <v>0</v>
      </c>
      <c r="N1761">
        <f>'[1]Processed Data'!N1761</f>
        <v>0</v>
      </c>
      <c r="O1761">
        <f>'[1]Processed Data'!O1761</f>
        <v>0</v>
      </c>
      <c r="P1761">
        <f>'[1]Processed Data'!P1761</f>
        <v>0</v>
      </c>
      <c r="Q1761">
        <f>'[1]Processed Data'!Q1761</f>
        <v>0</v>
      </c>
    </row>
    <row r="1762" spans="2:17" hidden="1">
      <c r="B1762">
        <f>'[1]Processed Data'!B1762</f>
        <v>2010</v>
      </c>
      <c r="C1762">
        <f>'[1]Processed Data'!C1762</f>
        <v>79</v>
      </c>
      <c r="D1762" t="str">
        <f>'[1]Processed Data'!D1762</f>
        <v>Stephen McGee</v>
      </c>
      <c r="E1762">
        <v>2006</v>
      </c>
      <c r="F1762">
        <f>'[1]Processed Data'!F1762</f>
        <v>22</v>
      </c>
      <c r="G1762">
        <f>'[1]Processed Data'!G1762</f>
        <v>44</v>
      </c>
      <c r="H1762">
        <f>'[1]Processed Data'!H1762</f>
        <v>50</v>
      </c>
      <c r="I1762">
        <f>'[1]Processed Data'!I1762</f>
        <v>2</v>
      </c>
      <c r="J1762">
        <f>'[1]Processed Data'!J1762</f>
        <v>0</v>
      </c>
      <c r="K1762">
        <f>'[1]Processed Data'!K1762</f>
        <v>3</v>
      </c>
      <c r="L1762">
        <f>'[1]Processed Data'!L1762</f>
        <v>13</v>
      </c>
      <c r="M1762">
        <f>'[1]Processed Data'!M1762</f>
        <v>74</v>
      </c>
      <c r="N1762">
        <f>'[1]Processed Data'!N1762</f>
        <v>0</v>
      </c>
      <c r="O1762">
        <f>'[1]Processed Data'!O1762</f>
        <v>0</v>
      </c>
      <c r="P1762">
        <f>'[1]Processed Data'!P1762</f>
        <v>0</v>
      </c>
      <c r="Q1762">
        <f>'[1]Processed Data'!Q1762</f>
        <v>2</v>
      </c>
    </row>
    <row r="1763" spans="2:17" hidden="1">
      <c r="B1763">
        <f>'[1]Processed Data'!B1763</f>
        <v>2010</v>
      </c>
      <c r="C1763">
        <f>'[1]Processed Data'!C1763</f>
        <v>80</v>
      </c>
      <c r="D1763" t="str">
        <f>'[1]Processed Data'!D1763</f>
        <v>Hunter Cantwell</v>
      </c>
      <c r="E1763">
        <v>2006</v>
      </c>
      <c r="F1763">
        <f>'[1]Processed Data'!F1763</f>
        <v>0</v>
      </c>
      <c r="G1763">
        <f>'[1]Processed Data'!G1763</f>
        <v>0</v>
      </c>
      <c r="H1763">
        <f>'[1]Processed Data'!H1763</f>
        <v>0</v>
      </c>
      <c r="I1763">
        <f>'[1]Processed Data'!I1763</f>
        <v>0</v>
      </c>
      <c r="J1763">
        <f>'[1]Processed Data'!J1763</f>
        <v>0</v>
      </c>
      <c r="K1763">
        <f>'[1]Processed Data'!K1763</f>
        <v>0</v>
      </c>
      <c r="L1763">
        <f>'[1]Processed Data'!L1763</f>
        <v>0</v>
      </c>
      <c r="M1763">
        <f>'[1]Processed Data'!M1763</f>
        <v>0</v>
      </c>
      <c r="N1763">
        <f>'[1]Processed Data'!N1763</f>
        <v>0</v>
      </c>
      <c r="O1763">
        <f>'[1]Processed Data'!O1763</f>
        <v>0</v>
      </c>
      <c r="P1763">
        <f>'[1]Processed Data'!P1763</f>
        <v>0</v>
      </c>
      <c r="Q1763">
        <f>'[1]Processed Data'!Q1763</f>
        <v>0</v>
      </c>
    </row>
    <row r="1764" spans="2:17" hidden="1">
      <c r="B1764">
        <f>'[1]Processed Data'!B1764</f>
        <v>2010</v>
      </c>
      <c r="C1764">
        <f>'[1]Processed Data'!C1764</f>
        <v>81</v>
      </c>
      <c r="D1764" t="str">
        <f>'[1]Processed Data'!D1764</f>
        <v>Levi Brown</v>
      </c>
      <c r="E1764">
        <v>2006</v>
      </c>
      <c r="F1764">
        <f>'[1]Processed Data'!F1764</f>
        <v>0</v>
      </c>
      <c r="G1764">
        <f>'[1]Processed Data'!G1764</f>
        <v>0</v>
      </c>
      <c r="H1764">
        <f>'[1]Processed Data'!H1764</f>
        <v>0</v>
      </c>
      <c r="I1764">
        <f>'[1]Processed Data'!I1764</f>
        <v>0</v>
      </c>
      <c r="J1764">
        <f>'[1]Processed Data'!J1764</f>
        <v>0</v>
      </c>
      <c r="K1764">
        <f>'[1]Processed Data'!K1764</f>
        <v>0</v>
      </c>
      <c r="L1764">
        <f>'[1]Processed Data'!L1764</f>
        <v>0</v>
      </c>
      <c r="M1764">
        <f>'[1]Processed Data'!M1764</f>
        <v>0</v>
      </c>
      <c r="N1764">
        <f>'[1]Processed Data'!N1764</f>
        <v>0</v>
      </c>
      <c r="O1764">
        <f>'[1]Processed Data'!O1764</f>
        <v>0</v>
      </c>
      <c r="P1764">
        <f>'[1]Processed Data'!P1764</f>
        <v>0</v>
      </c>
      <c r="Q1764">
        <f>'[1]Processed Data'!Q1764</f>
        <v>16</v>
      </c>
    </row>
    <row r="1765" spans="2:17" hidden="1">
      <c r="B1765">
        <f>'[1]Processed Data'!B1765</f>
        <v>2010</v>
      </c>
      <c r="C1765">
        <f>'[1]Processed Data'!C1765</f>
        <v>82</v>
      </c>
      <c r="D1765" t="str">
        <f>'[1]Processed Data'!D1765</f>
        <v>Ben Chappell</v>
      </c>
      <c r="E1765">
        <v>2006</v>
      </c>
      <c r="F1765">
        <f>'[1]Processed Data'!F1765</f>
        <v>0</v>
      </c>
      <c r="G1765">
        <f>'[1]Processed Data'!G1765</f>
        <v>0</v>
      </c>
      <c r="H1765">
        <f>'[1]Processed Data'!H1765</f>
        <v>0</v>
      </c>
      <c r="I1765">
        <f>'[1]Processed Data'!I1765</f>
        <v>0</v>
      </c>
      <c r="J1765">
        <f>'[1]Processed Data'!J1765</f>
        <v>0</v>
      </c>
      <c r="K1765">
        <f>'[1]Processed Data'!K1765</f>
        <v>0</v>
      </c>
      <c r="L1765">
        <f>'[1]Processed Data'!L1765</f>
        <v>0</v>
      </c>
      <c r="M1765">
        <f>'[1]Processed Data'!M1765</f>
        <v>0</v>
      </c>
      <c r="N1765">
        <f>'[1]Processed Data'!N1765</f>
        <v>0</v>
      </c>
      <c r="O1765">
        <f>'[1]Processed Data'!O1765</f>
        <v>0</v>
      </c>
      <c r="P1765">
        <f>'[1]Processed Data'!P1765</f>
        <v>0</v>
      </c>
      <c r="Q1765">
        <f>'[1]Processed Data'!Q1765</f>
        <v>0</v>
      </c>
    </row>
    <row r="1766" spans="2:17" hidden="1">
      <c r="B1766">
        <f>'[1]Processed Data'!B1766</f>
        <v>2010</v>
      </c>
      <c r="C1766">
        <f>'[1]Processed Data'!C1766</f>
        <v>83</v>
      </c>
      <c r="D1766" t="str">
        <f>'[1]Processed Data'!D1766</f>
        <v>Adam Froman</v>
      </c>
      <c r="E1766">
        <v>2006</v>
      </c>
      <c r="F1766">
        <f>'[1]Processed Data'!F1766</f>
        <v>0</v>
      </c>
      <c r="G1766">
        <f>'[1]Processed Data'!G1766</f>
        <v>0</v>
      </c>
      <c r="H1766">
        <f>'[1]Processed Data'!H1766</f>
        <v>0</v>
      </c>
      <c r="I1766">
        <f>'[1]Processed Data'!I1766</f>
        <v>0</v>
      </c>
      <c r="J1766">
        <f>'[1]Processed Data'!J1766</f>
        <v>0</v>
      </c>
      <c r="K1766">
        <f>'[1]Processed Data'!K1766</f>
        <v>0</v>
      </c>
      <c r="L1766">
        <f>'[1]Processed Data'!L1766</f>
        <v>0</v>
      </c>
      <c r="M1766">
        <f>'[1]Processed Data'!M1766</f>
        <v>0</v>
      </c>
      <c r="N1766">
        <f>'[1]Processed Data'!N1766</f>
        <v>0</v>
      </c>
      <c r="O1766">
        <f>'[1]Processed Data'!O1766</f>
        <v>0</v>
      </c>
      <c r="P1766">
        <f>'[1]Processed Data'!P1766</f>
        <v>0</v>
      </c>
      <c r="Q1766">
        <f>'[1]Processed Data'!Q1766</f>
        <v>0</v>
      </c>
    </row>
    <row r="1767" spans="2:17" hidden="1">
      <c r="B1767">
        <f>'[1]Processed Data'!B1767</f>
        <v>2010</v>
      </c>
      <c r="C1767">
        <f>'[1]Processed Data'!C1767</f>
        <v>84</v>
      </c>
      <c r="D1767" t="str">
        <f>'[1]Processed Data'!D1767</f>
        <v>Case Keenum</v>
      </c>
      <c r="E1767">
        <v>2006</v>
      </c>
      <c r="F1767">
        <f>'[1]Processed Data'!F1767</f>
        <v>0</v>
      </c>
      <c r="G1767">
        <f>'[1]Processed Data'!G1767</f>
        <v>0</v>
      </c>
      <c r="H1767">
        <f>'[1]Processed Data'!H1767</f>
        <v>0</v>
      </c>
      <c r="I1767">
        <f>'[1]Processed Data'!I1767</f>
        <v>0</v>
      </c>
      <c r="J1767">
        <f>'[1]Processed Data'!J1767</f>
        <v>0</v>
      </c>
      <c r="K1767">
        <f>'[1]Processed Data'!K1767</f>
        <v>0</v>
      </c>
      <c r="L1767">
        <f>'[1]Processed Data'!L1767</f>
        <v>0</v>
      </c>
      <c r="M1767">
        <f>'[1]Processed Data'!M1767</f>
        <v>0</v>
      </c>
      <c r="N1767">
        <f>'[1]Processed Data'!N1767</f>
        <v>0</v>
      </c>
      <c r="O1767">
        <f>'[1]Processed Data'!O1767</f>
        <v>0</v>
      </c>
      <c r="P1767">
        <f>'[1]Processed Data'!P1767</f>
        <v>0</v>
      </c>
      <c r="Q1767">
        <f>'[1]Processed Data'!Q1767</f>
        <v>0</v>
      </c>
    </row>
    <row r="1768" spans="2:17" hidden="1">
      <c r="B1768">
        <f>'[1]Processed Data'!B1768</f>
        <v>2010</v>
      </c>
      <c r="C1768">
        <f>'[1]Processed Data'!C1768</f>
        <v>85</v>
      </c>
      <c r="D1768" t="str">
        <f>'[1]Processed Data'!D1768</f>
        <v>Ryan Tannehill</v>
      </c>
      <c r="E1768">
        <v>2006</v>
      </c>
      <c r="F1768">
        <f>'[1]Processed Data'!F1768</f>
        <v>0</v>
      </c>
      <c r="G1768">
        <f>'[1]Processed Data'!G1768</f>
        <v>0</v>
      </c>
      <c r="H1768">
        <f>'[1]Processed Data'!H1768</f>
        <v>0</v>
      </c>
      <c r="I1768">
        <f>'[1]Processed Data'!I1768</f>
        <v>0</v>
      </c>
      <c r="J1768">
        <f>'[1]Processed Data'!J1768</f>
        <v>0</v>
      </c>
      <c r="K1768">
        <f>'[1]Processed Data'!K1768</f>
        <v>0</v>
      </c>
      <c r="L1768">
        <f>'[1]Processed Data'!L1768</f>
        <v>0</v>
      </c>
      <c r="M1768">
        <f>'[1]Processed Data'!M1768</f>
        <v>0</v>
      </c>
      <c r="N1768">
        <f>'[1]Processed Data'!N1768</f>
        <v>0</v>
      </c>
      <c r="O1768">
        <f>'[1]Processed Data'!O1768</f>
        <v>0</v>
      </c>
      <c r="P1768">
        <f>'[1]Processed Data'!P1768</f>
        <v>0</v>
      </c>
      <c r="Q1768">
        <f>'[1]Processed Data'!Q1768</f>
        <v>0</v>
      </c>
    </row>
    <row r="1769" spans="2:17" hidden="1">
      <c r="B1769">
        <f>'[1]Processed Data'!B1769</f>
        <v>2010</v>
      </c>
      <c r="C1769">
        <f>'[1]Processed Data'!C1769</f>
        <v>86</v>
      </c>
      <c r="D1769" t="str">
        <f>'[1]Processed Data'!D1769</f>
        <v>Nick Foles</v>
      </c>
      <c r="E1769">
        <v>2006</v>
      </c>
      <c r="F1769">
        <f>'[1]Processed Data'!F1769</f>
        <v>0</v>
      </c>
      <c r="G1769">
        <f>'[1]Processed Data'!G1769</f>
        <v>0</v>
      </c>
      <c r="H1769">
        <f>'[1]Processed Data'!H1769</f>
        <v>0</v>
      </c>
      <c r="I1769">
        <f>'[1]Processed Data'!I1769</f>
        <v>0</v>
      </c>
      <c r="J1769">
        <f>'[1]Processed Data'!J1769</f>
        <v>0</v>
      </c>
      <c r="K1769">
        <f>'[1]Processed Data'!K1769</f>
        <v>0</v>
      </c>
      <c r="L1769">
        <f>'[1]Processed Data'!L1769</f>
        <v>0</v>
      </c>
      <c r="M1769">
        <f>'[1]Processed Data'!M1769</f>
        <v>0</v>
      </c>
      <c r="N1769">
        <f>'[1]Processed Data'!N1769</f>
        <v>0</v>
      </c>
      <c r="O1769">
        <f>'[1]Processed Data'!O1769</f>
        <v>0</v>
      </c>
      <c r="P1769">
        <f>'[1]Processed Data'!P1769</f>
        <v>0</v>
      </c>
      <c r="Q1769">
        <f>'[1]Processed Data'!Q1769</f>
        <v>0</v>
      </c>
    </row>
    <row r="1770" spans="2:17" hidden="1">
      <c r="B1770">
        <f>'[1]Processed Data'!B1770</f>
        <v>2010</v>
      </c>
      <c r="C1770">
        <f>'[1]Processed Data'!C1770</f>
        <v>87</v>
      </c>
      <c r="D1770" t="str">
        <f>'[1]Processed Data'!D1770</f>
        <v>Kirk Cousins</v>
      </c>
      <c r="E1770">
        <v>2006</v>
      </c>
      <c r="F1770">
        <f>'[1]Processed Data'!F1770</f>
        <v>0</v>
      </c>
      <c r="G1770">
        <f>'[1]Processed Data'!G1770</f>
        <v>0</v>
      </c>
      <c r="H1770">
        <f>'[1]Processed Data'!H1770</f>
        <v>0</v>
      </c>
      <c r="I1770">
        <f>'[1]Processed Data'!I1770</f>
        <v>0</v>
      </c>
      <c r="J1770">
        <f>'[1]Processed Data'!J1770</f>
        <v>0</v>
      </c>
      <c r="K1770">
        <f>'[1]Processed Data'!K1770</f>
        <v>0</v>
      </c>
      <c r="L1770">
        <f>'[1]Processed Data'!L1770</f>
        <v>0</v>
      </c>
      <c r="M1770">
        <f>'[1]Processed Data'!M1770</f>
        <v>0</v>
      </c>
      <c r="N1770">
        <f>'[1]Processed Data'!N1770</f>
        <v>0</v>
      </c>
      <c r="O1770">
        <f>'[1]Processed Data'!O1770</f>
        <v>0</v>
      </c>
      <c r="P1770">
        <f>'[1]Processed Data'!P1770</f>
        <v>0</v>
      </c>
      <c r="Q1770">
        <f>'[1]Processed Data'!Q1770</f>
        <v>0</v>
      </c>
    </row>
    <row r="1771" spans="2:17" hidden="1">
      <c r="B1771">
        <f>'[1]Processed Data'!B1771</f>
        <v>2010</v>
      </c>
      <c r="C1771">
        <f>'[1]Processed Data'!C1771</f>
        <v>88</v>
      </c>
      <c r="D1771" t="str">
        <f>'[1]Processed Data'!D1771</f>
        <v>Russell Wilson</v>
      </c>
      <c r="E1771">
        <v>2006</v>
      </c>
      <c r="F1771">
        <f>'[1]Processed Data'!F1771</f>
        <v>0</v>
      </c>
      <c r="G1771">
        <f>'[1]Processed Data'!G1771</f>
        <v>0</v>
      </c>
      <c r="H1771">
        <f>'[1]Processed Data'!H1771</f>
        <v>0</v>
      </c>
      <c r="I1771">
        <f>'[1]Processed Data'!I1771</f>
        <v>0</v>
      </c>
      <c r="J1771">
        <f>'[1]Processed Data'!J1771</f>
        <v>0</v>
      </c>
      <c r="K1771">
        <f>'[1]Processed Data'!K1771</f>
        <v>0</v>
      </c>
      <c r="L1771">
        <f>'[1]Processed Data'!L1771</f>
        <v>0</v>
      </c>
      <c r="M1771">
        <f>'[1]Processed Data'!M1771</f>
        <v>0</v>
      </c>
      <c r="N1771">
        <f>'[1]Processed Data'!N1771</f>
        <v>0</v>
      </c>
      <c r="O1771">
        <f>'[1]Processed Data'!O1771</f>
        <v>0</v>
      </c>
      <c r="P1771">
        <f>'[1]Processed Data'!P1771</f>
        <v>0</v>
      </c>
      <c r="Q1771">
        <f>'[1]Processed Data'!Q1771</f>
        <v>0</v>
      </c>
    </row>
    <row r="1772" spans="2:17" hidden="1">
      <c r="B1772">
        <f>'[1]Processed Data'!B1772</f>
        <v>2010</v>
      </c>
      <c r="C1772">
        <f>'[1]Processed Data'!C1772</f>
        <v>89</v>
      </c>
      <c r="D1772" t="str">
        <f>'[1]Processed Data'!D1772</f>
        <v>Jordan Palmer</v>
      </c>
      <c r="E1772">
        <v>2006</v>
      </c>
      <c r="F1772">
        <f>'[1]Processed Data'!F1772</f>
        <v>3</v>
      </c>
      <c r="G1772">
        <f>'[1]Processed Data'!G1772</f>
        <v>3</v>
      </c>
      <c r="H1772">
        <f>'[1]Processed Data'!H1772</f>
        <v>100</v>
      </c>
      <c r="I1772">
        <f>'[1]Processed Data'!I1772</f>
        <v>0</v>
      </c>
      <c r="J1772">
        <f>'[1]Processed Data'!J1772</f>
        <v>0</v>
      </c>
      <c r="K1772">
        <f>'[1]Processed Data'!K1772</f>
        <v>2</v>
      </c>
      <c r="L1772">
        <f>'[1]Processed Data'!L1772</f>
        <v>0</v>
      </c>
      <c r="M1772">
        <f>'[1]Processed Data'!M1772</f>
        <v>0</v>
      </c>
      <c r="N1772">
        <f>'[1]Processed Data'!N1772</f>
        <v>0</v>
      </c>
      <c r="O1772">
        <f>'[1]Processed Data'!O1772</f>
        <v>0</v>
      </c>
      <c r="P1772">
        <f>'[1]Processed Data'!P1772</f>
        <v>0</v>
      </c>
      <c r="Q1772">
        <f>'[1]Processed Data'!Q1772</f>
        <v>1</v>
      </c>
    </row>
    <row r="1773" spans="2:17" hidden="1">
      <c r="B1773">
        <f>'[1]Processed Data'!B1773</f>
        <v>2010</v>
      </c>
      <c r="C1773">
        <f>'[1]Processed Data'!C1773</f>
        <v>90</v>
      </c>
      <c r="D1773" t="str">
        <f>'[1]Processed Data'!D1773</f>
        <v>David Carr</v>
      </c>
      <c r="E1773">
        <v>2006</v>
      </c>
      <c r="F1773">
        <f>'[1]Processed Data'!F1773</f>
        <v>5</v>
      </c>
      <c r="G1773">
        <f>'[1]Processed Data'!G1773</f>
        <v>13</v>
      </c>
      <c r="H1773">
        <f>'[1]Processed Data'!H1773</f>
        <v>38.5</v>
      </c>
      <c r="I1773">
        <f>'[1]Processed Data'!I1773</f>
        <v>0</v>
      </c>
      <c r="J1773">
        <f>'[1]Processed Data'!J1773</f>
        <v>1</v>
      </c>
      <c r="K1773">
        <f>'[1]Processed Data'!K1773</f>
        <v>1</v>
      </c>
      <c r="L1773">
        <f>'[1]Processed Data'!L1773</f>
        <v>0</v>
      </c>
      <c r="M1773">
        <f>'[1]Processed Data'!M1773</f>
        <v>0</v>
      </c>
      <c r="N1773">
        <f>'[1]Processed Data'!N1773</f>
        <v>0</v>
      </c>
      <c r="O1773">
        <f>'[1]Processed Data'!O1773</f>
        <v>0</v>
      </c>
      <c r="P1773">
        <f>'[1]Processed Data'!P1773</f>
        <v>0</v>
      </c>
      <c r="Q1773">
        <f>'[1]Processed Data'!Q1773</f>
        <v>1</v>
      </c>
    </row>
    <row r="1774" spans="2:17" hidden="1">
      <c r="B1774">
        <f>'[1]Processed Data'!B1774</f>
        <v>2010</v>
      </c>
      <c r="C1774">
        <f>'[1]Processed Data'!C1774</f>
        <v>91</v>
      </c>
      <c r="D1774" t="str">
        <f>'[1]Processed Data'!D1774</f>
        <v>Dennis Dixon</v>
      </c>
      <c r="E1774">
        <v>2006</v>
      </c>
      <c r="F1774">
        <f>'[1]Processed Data'!F1774</f>
        <v>22</v>
      </c>
      <c r="G1774">
        <f>'[1]Processed Data'!G1774</f>
        <v>32</v>
      </c>
      <c r="H1774">
        <f>'[1]Processed Data'!H1774</f>
        <v>68.8</v>
      </c>
      <c r="I1774">
        <f>'[1]Processed Data'!I1774</f>
        <v>0</v>
      </c>
      <c r="J1774">
        <f>'[1]Processed Data'!J1774</f>
        <v>1</v>
      </c>
      <c r="K1774">
        <f>'[1]Processed Data'!K1774</f>
        <v>5</v>
      </c>
      <c r="L1774">
        <f>'[1]Processed Data'!L1774</f>
        <v>5</v>
      </c>
      <c r="M1774">
        <f>'[1]Processed Data'!M1774</f>
        <v>32</v>
      </c>
      <c r="N1774">
        <f>'[1]Processed Data'!N1774</f>
        <v>0</v>
      </c>
      <c r="O1774">
        <f>'[1]Processed Data'!O1774</f>
        <v>1</v>
      </c>
      <c r="P1774">
        <f>'[1]Processed Data'!P1774</f>
        <v>0</v>
      </c>
      <c r="Q1774">
        <f>'[1]Processed Data'!Q1774</f>
        <v>2</v>
      </c>
    </row>
    <row r="1775" spans="2:17" hidden="1">
      <c r="B1775">
        <f>'[1]Processed Data'!B1775</f>
        <v>2010</v>
      </c>
      <c r="C1775">
        <f>'[1]Processed Data'!C1775</f>
        <v>92</v>
      </c>
      <c r="D1775" t="str">
        <f>'[1]Processed Data'!D1775</f>
        <v>Derek Anderson</v>
      </c>
      <c r="E1775">
        <v>2006</v>
      </c>
      <c r="F1775">
        <f>'[1]Processed Data'!F1775</f>
        <v>169</v>
      </c>
      <c r="G1775">
        <f>'[1]Processed Data'!G1775</f>
        <v>327</v>
      </c>
      <c r="H1775">
        <f>'[1]Processed Data'!H1775</f>
        <v>51.7</v>
      </c>
      <c r="I1775">
        <f>'[1]Processed Data'!I1775</f>
        <v>7</v>
      </c>
      <c r="J1775">
        <f>'[1]Processed Data'!J1775</f>
        <v>10</v>
      </c>
      <c r="K1775">
        <f>'[1]Processed Data'!K1775</f>
        <v>25</v>
      </c>
      <c r="L1775">
        <f>'[1]Processed Data'!L1775</f>
        <v>5</v>
      </c>
      <c r="M1775">
        <f>'[1]Processed Data'!M1775</f>
        <v>25</v>
      </c>
      <c r="N1775">
        <f>'[1]Processed Data'!N1775</f>
        <v>0</v>
      </c>
      <c r="O1775">
        <f>'[1]Processed Data'!O1775</f>
        <v>3</v>
      </c>
      <c r="P1775">
        <f>'[1]Processed Data'!P1775</f>
        <v>0</v>
      </c>
      <c r="Q1775">
        <f>'[1]Processed Data'!Q1775</f>
        <v>12</v>
      </c>
    </row>
    <row r="1776" spans="2:17" hidden="1">
      <c r="B1776">
        <f>'[1]Processed Data'!B1776</f>
        <v>2010</v>
      </c>
      <c r="C1776">
        <f>'[1]Processed Data'!C1776</f>
        <v>93</v>
      </c>
      <c r="D1776" t="str">
        <f>'[1]Processed Data'!D1776</f>
        <v>Eli Manning</v>
      </c>
      <c r="E1776">
        <v>2006</v>
      </c>
      <c r="F1776">
        <f>'[1]Processed Data'!F1776</f>
        <v>339</v>
      </c>
      <c r="G1776">
        <f>'[1]Processed Data'!G1776</f>
        <v>539</v>
      </c>
      <c r="H1776">
        <f>'[1]Processed Data'!H1776</f>
        <v>62.9</v>
      </c>
      <c r="I1776">
        <f>'[1]Processed Data'!I1776</f>
        <v>31</v>
      </c>
      <c r="J1776">
        <f>'[1]Processed Data'!J1776</f>
        <v>25</v>
      </c>
      <c r="K1776">
        <f>'[1]Processed Data'!K1776</f>
        <v>16</v>
      </c>
      <c r="L1776">
        <f>'[1]Processed Data'!L1776</f>
        <v>32</v>
      </c>
      <c r="M1776">
        <f>'[1]Processed Data'!M1776</f>
        <v>70</v>
      </c>
      <c r="N1776">
        <f>'[1]Processed Data'!N1776</f>
        <v>0</v>
      </c>
      <c r="O1776">
        <f>'[1]Processed Data'!O1776</f>
        <v>5</v>
      </c>
      <c r="P1776">
        <f>'[1]Processed Data'!P1776</f>
        <v>0</v>
      </c>
      <c r="Q1776">
        <f>'[1]Processed Data'!Q1776</f>
        <v>16</v>
      </c>
    </row>
    <row r="1777" spans="2:17" hidden="1">
      <c r="B1777">
        <f>'[1]Processed Data'!B1777</f>
        <v>2010</v>
      </c>
      <c r="C1777">
        <f>'[1]Processed Data'!C1777</f>
        <v>94</v>
      </c>
      <c r="D1777" t="str">
        <f>'[1]Processed Data'!D1777</f>
        <v>Jason Campbell</v>
      </c>
      <c r="E1777">
        <v>2006</v>
      </c>
      <c r="F1777">
        <f>'[1]Processed Data'!F1777</f>
        <v>194</v>
      </c>
      <c r="G1777">
        <f>'[1]Processed Data'!G1777</f>
        <v>329</v>
      </c>
      <c r="H1777">
        <f>'[1]Processed Data'!H1777</f>
        <v>59</v>
      </c>
      <c r="I1777">
        <f>'[1]Processed Data'!I1777</f>
        <v>13</v>
      </c>
      <c r="J1777">
        <f>'[1]Processed Data'!J1777</f>
        <v>8</v>
      </c>
      <c r="K1777">
        <f>'[1]Processed Data'!K1777</f>
        <v>33</v>
      </c>
      <c r="L1777">
        <f>'[1]Processed Data'!L1777</f>
        <v>47</v>
      </c>
      <c r="M1777">
        <f>'[1]Processed Data'!M1777</f>
        <v>222</v>
      </c>
      <c r="N1777">
        <f>'[1]Processed Data'!N1777</f>
        <v>1</v>
      </c>
      <c r="O1777">
        <f>'[1]Processed Data'!O1777</f>
        <v>1</v>
      </c>
      <c r="P1777">
        <f>'[1]Processed Data'!P1777</f>
        <v>0</v>
      </c>
      <c r="Q1777">
        <f>'[1]Processed Data'!Q1777</f>
        <v>13</v>
      </c>
    </row>
    <row r="1778" spans="2:17" hidden="1">
      <c r="B1778">
        <f>'[1]Processed Data'!B1778</f>
        <v>2010</v>
      </c>
      <c r="C1778">
        <f>'[1]Processed Data'!C1778</f>
        <v>95</v>
      </c>
      <c r="D1778" t="str">
        <f>'[1]Processed Data'!D1778</f>
        <v>Jay Cutler</v>
      </c>
      <c r="E1778">
        <v>2005</v>
      </c>
      <c r="F1778">
        <f>'[1]Processed Data'!F1778</f>
        <v>261</v>
      </c>
      <c r="G1778">
        <f>'[1]Processed Data'!G1778</f>
        <v>432</v>
      </c>
      <c r="H1778">
        <f>'[1]Processed Data'!H1778</f>
        <v>60.4</v>
      </c>
      <c r="I1778">
        <f>'[1]Processed Data'!I1778</f>
        <v>23</v>
      </c>
      <c r="J1778">
        <f>'[1]Processed Data'!J1778</f>
        <v>16</v>
      </c>
      <c r="K1778">
        <f>'[1]Processed Data'!K1778</f>
        <v>52</v>
      </c>
      <c r="L1778">
        <f>'[1]Processed Data'!L1778</f>
        <v>50</v>
      </c>
      <c r="M1778">
        <f>'[1]Processed Data'!M1778</f>
        <v>232</v>
      </c>
      <c r="N1778">
        <f>'[1]Processed Data'!N1778</f>
        <v>1</v>
      </c>
      <c r="O1778">
        <f>'[1]Processed Data'!O1778</f>
        <v>6</v>
      </c>
      <c r="P1778">
        <f>'[1]Processed Data'!P1778</f>
        <v>0</v>
      </c>
      <c r="Q1778">
        <f>'[1]Processed Data'!Q1778</f>
        <v>15</v>
      </c>
    </row>
    <row r="1779" spans="2:17" hidden="1">
      <c r="B1779">
        <f>'[1]Processed Data'!B1779</f>
        <v>2010</v>
      </c>
      <c r="C1779">
        <f>'[1]Processed Data'!C1779</f>
        <v>96</v>
      </c>
      <c r="D1779" t="str">
        <f>'[1]Processed Data'!D1779</f>
        <v>Josh Freeman</v>
      </c>
      <c r="E1779">
        <v>2005</v>
      </c>
      <c r="F1779">
        <f>'[1]Processed Data'!F1779</f>
        <v>291</v>
      </c>
      <c r="G1779">
        <f>'[1]Processed Data'!G1779</f>
        <v>474</v>
      </c>
      <c r="H1779">
        <f>'[1]Processed Data'!H1779</f>
        <v>61.4</v>
      </c>
      <c r="I1779">
        <f>'[1]Processed Data'!I1779</f>
        <v>25</v>
      </c>
      <c r="J1779">
        <f>'[1]Processed Data'!J1779</f>
        <v>6</v>
      </c>
      <c r="K1779">
        <f>'[1]Processed Data'!K1779</f>
        <v>28</v>
      </c>
      <c r="L1779">
        <f>'[1]Processed Data'!L1779</f>
        <v>68</v>
      </c>
      <c r="M1779">
        <f>'[1]Processed Data'!M1779</f>
        <v>364</v>
      </c>
      <c r="N1779">
        <f>'[1]Processed Data'!N1779</f>
        <v>0</v>
      </c>
      <c r="O1779">
        <f>'[1]Processed Data'!O1779</f>
        <v>3</v>
      </c>
      <c r="P1779">
        <f>'[1]Processed Data'!P1779</f>
        <v>0</v>
      </c>
      <c r="Q1779">
        <f>'[1]Processed Data'!Q1779</f>
        <v>16</v>
      </c>
    </row>
    <row r="1780" spans="2:17" hidden="1">
      <c r="B1780">
        <f>'[1]Processed Data'!B1780</f>
        <v>2010</v>
      </c>
      <c r="C1780">
        <f>'[1]Processed Data'!C1780</f>
        <v>97</v>
      </c>
      <c r="D1780" t="str">
        <f>'[1]Processed Data'!D1780</f>
        <v>Kellen Clemens</v>
      </c>
      <c r="E1780">
        <v>2005</v>
      </c>
      <c r="F1780">
        <f>'[1]Processed Data'!F1780</f>
        <v>1</v>
      </c>
      <c r="G1780">
        <f>'[1]Processed Data'!G1780</f>
        <v>2</v>
      </c>
      <c r="H1780">
        <f>'[1]Processed Data'!H1780</f>
        <v>50</v>
      </c>
      <c r="I1780">
        <f>'[1]Processed Data'!I1780</f>
        <v>0</v>
      </c>
      <c r="J1780">
        <f>'[1]Processed Data'!J1780</f>
        <v>0</v>
      </c>
      <c r="K1780">
        <f>'[1]Processed Data'!K1780</f>
        <v>0</v>
      </c>
      <c r="L1780">
        <f>'[1]Processed Data'!L1780</f>
        <v>2</v>
      </c>
      <c r="M1780">
        <f>'[1]Processed Data'!M1780</f>
        <v>9</v>
      </c>
      <c r="N1780">
        <f>'[1]Processed Data'!N1780</f>
        <v>1</v>
      </c>
      <c r="O1780">
        <f>'[1]Processed Data'!O1780</f>
        <v>0</v>
      </c>
      <c r="P1780">
        <f>'[1]Processed Data'!P1780</f>
        <v>0</v>
      </c>
      <c r="Q1780">
        <f>'[1]Processed Data'!Q1780</f>
        <v>1</v>
      </c>
    </row>
    <row r="1781" spans="2:17" hidden="1">
      <c r="B1781">
        <f>'[1]Processed Data'!B1781</f>
        <v>2010</v>
      </c>
      <c r="C1781">
        <f>'[1]Processed Data'!C1781</f>
        <v>98</v>
      </c>
      <c r="D1781" t="str">
        <f>'[1]Processed Data'!D1781</f>
        <v>Brett Ratliff</v>
      </c>
      <c r="E1781">
        <v>2005</v>
      </c>
      <c r="F1781">
        <f>'[1]Processed Data'!F1781</f>
        <v>0</v>
      </c>
      <c r="G1781">
        <f>'[1]Processed Data'!G1781</f>
        <v>0</v>
      </c>
      <c r="H1781">
        <f>'[1]Processed Data'!H1781</f>
        <v>0</v>
      </c>
      <c r="I1781">
        <f>'[1]Processed Data'!I1781</f>
        <v>0</v>
      </c>
      <c r="J1781">
        <f>'[1]Processed Data'!J1781</f>
        <v>0</v>
      </c>
      <c r="K1781">
        <f>'[1]Processed Data'!K1781</f>
        <v>0</v>
      </c>
      <c r="L1781">
        <f>'[1]Processed Data'!L1781</f>
        <v>0</v>
      </c>
      <c r="M1781">
        <f>'[1]Processed Data'!M1781</f>
        <v>0</v>
      </c>
      <c r="N1781">
        <f>'[1]Processed Data'!N1781</f>
        <v>0</v>
      </c>
      <c r="O1781">
        <f>'[1]Processed Data'!O1781</f>
        <v>0</v>
      </c>
      <c r="P1781">
        <f>'[1]Processed Data'!P1781</f>
        <v>0</v>
      </c>
      <c r="Q1781">
        <f>'[1]Processed Data'!Q1781</f>
        <v>0</v>
      </c>
    </row>
    <row r="1782" spans="2:17" hidden="1">
      <c r="B1782">
        <f>'[1]Processed Data'!B1782</f>
        <v>2010</v>
      </c>
      <c r="C1782">
        <f>'[1]Processed Data'!C1782</f>
        <v>99</v>
      </c>
      <c r="D1782" t="str">
        <f>'[1]Processed Data'!D1782</f>
        <v>Brian Brohm</v>
      </c>
      <c r="E1782">
        <v>2005</v>
      </c>
      <c r="F1782">
        <f>'[1]Processed Data'!F1782</f>
        <v>0</v>
      </c>
      <c r="G1782">
        <f>'[1]Processed Data'!G1782</f>
        <v>0</v>
      </c>
      <c r="H1782">
        <f>'[1]Processed Data'!H1782</f>
        <v>0</v>
      </c>
      <c r="I1782">
        <f>'[1]Processed Data'!I1782</f>
        <v>0</v>
      </c>
      <c r="J1782">
        <f>'[1]Processed Data'!J1782</f>
        <v>0</v>
      </c>
      <c r="K1782">
        <f>'[1]Processed Data'!K1782</f>
        <v>0</v>
      </c>
      <c r="L1782">
        <f>'[1]Processed Data'!L1782</f>
        <v>0</v>
      </c>
      <c r="M1782">
        <f>'[1]Processed Data'!M1782</f>
        <v>0</v>
      </c>
      <c r="N1782">
        <f>'[1]Processed Data'!N1782</f>
        <v>0</v>
      </c>
      <c r="O1782">
        <f>'[1]Processed Data'!O1782</f>
        <v>0</v>
      </c>
      <c r="P1782">
        <f>'[1]Processed Data'!P1782</f>
        <v>0</v>
      </c>
      <c r="Q1782">
        <f>'[1]Processed Data'!Q1782</f>
        <v>0</v>
      </c>
    </row>
    <row r="1783" spans="2:17" hidden="1">
      <c r="B1783">
        <f>'[1]Processed Data'!B1783</f>
        <v>2010</v>
      </c>
      <c r="C1783">
        <f>'[1]Processed Data'!C1783</f>
        <v>100</v>
      </c>
      <c r="D1783" t="str">
        <f>'[1]Processed Data'!D1783</f>
        <v>Bruce Gradkowski</v>
      </c>
      <c r="E1783">
        <v>2005</v>
      </c>
      <c r="F1783">
        <f>'[1]Processed Data'!F1783</f>
        <v>83</v>
      </c>
      <c r="G1783">
        <f>'[1]Processed Data'!G1783</f>
        <v>157</v>
      </c>
      <c r="H1783">
        <f>'[1]Processed Data'!H1783</f>
        <v>52.9</v>
      </c>
      <c r="I1783">
        <f>'[1]Processed Data'!I1783</f>
        <v>5</v>
      </c>
      <c r="J1783">
        <f>'[1]Processed Data'!J1783</f>
        <v>7</v>
      </c>
      <c r="K1783">
        <f>'[1]Processed Data'!K1783</f>
        <v>10</v>
      </c>
      <c r="L1783">
        <f>'[1]Processed Data'!L1783</f>
        <v>12</v>
      </c>
      <c r="M1783">
        <f>'[1]Processed Data'!M1783</f>
        <v>41</v>
      </c>
      <c r="N1783">
        <f>'[1]Processed Data'!N1783</f>
        <v>0</v>
      </c>
      <c r="O1783">
        <f>'[1]Processed Data'!O1783</f>
        <v>1</v>
      </c>
      <c r="P1783">
        <f>'[1]Processed Data'!P1783</f>
        <v>0</v>
      </c>
      <c r="Q1783">
        <f>'[1]Processed Data'!Q1783</f>
        <v>6</v>
      </c>
    </row>
    <row r="1784" spans="2:17" hidden="1">
      <c r="B1784">
        <f>'[1]Processed Data'!B1784</f>
        <v>2010</v>
      </c>
      <c r="C1784">
        <f>'[1]Processed Data'!C1784</f>
        <v>101</v>
      </c>
      <c r="D1784" t="str">
        <f>'[1]Processed Data'!D1784</f>
        <v>Caleb Hanie</v>
      </c>
      <c r="E1784">
        <v>2005</v>
      </c>
      <c r="F1784">
        <f>'[1]Processed Data'!F1784</f>
        <v>5</v>
      </c>
      <c r="G1784">
        <f>'[1]Processed Data'!G1784</f>
        <v>7</v>
      </c>
      <c r="H1784">
        <f>'[1]Processed Data'!H1784</f>
        <v>71.400000000000006</v>
      </c>
      <c r="I1784">
        <f>'[1]Processed Data'!I1784</f>
        <v>0</v>
      </c>
      <c r="J1784">
        <f>'[1]Processed Data'!J1784</f>
        <v>0</v>
      </c>
      <c r="K1784">
        <f>'[1]Processed Data'!K1784</f>
        <v>2</v>
      </c>
      <c r="L1784">
        <f>'[1]Processed Data'!L1784</f>
        <v>1</v>
      </c>
      <c r="M1784">
        <f>'[1]Processed Data'!M1784</f>
        <v>-1</v>
      </c>
      <c r="N1784">
        <f>'[1]Processed Data'!N1784</f>
        <v>0</v>
      </c>
      <c r="O1784">
        <f>'[1]Processed Data'!O1784</f>
        <v>0</v>
      </c>
      <c r="P1784">
        <f>'[1]Processed Data'!P1784</f>
        <v>0</v>
      </c>
      <c r="Q1784">
        <f>'[1]Processed Data'!Q1784</f>
        <v>2</v>
      </c>
    </row>
    <row r="1785" spans="2:17" hidden="1">
      <c r="B1785">
        <f>'[1]Processed Data'!B1785</f>
        <v>2010</v>
      </c>
      <c r="C1785">
        <f>'[1]Processed Data'!C1785</f>
        <v>102</v>
      </c>
      <c r="D1785" t="str">
        <f>'[1]Processed Data'!D1785</f>
        <v>Carson Palmer</v>
      </c>
      <c r="E1785">
        <v>2005</v>
      </c>
      <c r="F1785">
        <f>'[1]Processed Data'!F1785</f>
        <v>362</v>
      </c>
      <c r="G1785">
        <f>'[1]Processed Data'!G1785</f>
        <v>586</v>
      </c>
      <c r="H1785">
        <f>'[1]Processed Data'!H1785</f>
        <v>61.8</v>
      </c>
      <c r="I1785">
        <f>'[1]Processed Data'!I1785</f>
        <v>26</v>
      </c>
      <c r="J1785">
        <f>'[1]Processed Data'!J1785</f>
        <v>20</v>
      </c>
      <c r="K1785">
        <f>'[1]Processed Data'!K1785</f>
        <v>26</v>
      </c>
      <c r="L1785">
        <f>'[1]Processed Data'!L1785</f>
        <v>32</v>
      </c>
      <c r="M1785">
        <f>'[1]Processed Data'!M1785</f>
        <v>50</v>
      </c>
      <c r="N1785">
        <f>'[1]Processed Data'!N1785</f>
        <v>0</v>
      </c>
      <c r="O1785">
        <f>'[1]Processed Data'!O1785</f>
        <v>3</v>
      </c>
      <c r="P1785">
        <f>'[1]Processed Data'!P1785</f>
        <v>0</v>
      </c>
      <c r="Q1785">
        <f>'[1]Processed Data'!Q1785</f>
        <v>16</v>
      </c>
    </row>
    <row r="1786" spans="2:17" hidden="1">
      <c r="B1786">
        <f>'[1]Processed Data'!B1786</f>
        <v>2010</v>
      </c>
      <c r="C1786">
        <f>'[1]Processed Data'!C1786</f>
        <v>103</v>
      </c>
      <c r="D1786" t="str">
        <f>'[1]Processed Data'!D1786</f>
        <v>Keith Null</v>
      </c>
      <c r="E1786">
        <v>2005</v>
      </c>
      <c r="F1786">
        <f>'[1]Processed Data'!F1786</f>
        <v>0</v>
      </c>
      <c r="G1786">
        <f>'[1]Processed Data'!G1786</f>
        <v>0</v>
      </c>
      <c r="H1786">
        <f>'[1]Processed Data'!H1786</f>
        <v>0</v>
      </c>
      <c r="I1786">
        <f>'[1]Processed Data'!I1786</f>
        <v>0</v>
      </c>
      <c r="J1786">
        <f>'[1]Processed Data'!J1786</f>
        <v>0</v>
      </c>
      <c r="K1786">
        <f>'[1]Processed Data'!K1786</f>
        <v>0</v>
      </c>
      <c r="L1786">
        <f>'[1]Processed Data'!L1786</f>
        <v>0</v>
      </c>
      <c r="M1786">
        <f>'[1]Processed Data'!M1786</f>
        <v>0</v>
      </c>
      <c r="N1786">
        <f>'[1]Processed Data'!N1786</f>
        <v>0</v>
      </c>
      <c r="O1786">
        <f>'[1]Processed Data'!O1786</f>
        <v>0</v>
      </c>
      <c r="P1786">
        <f>'[1]Processed Data'!P1786</f>
        <v>0</v>
      </c>
      <c r="Q1786">
        <f>'[1]Processed Data'!Q1786</f>
        <v>0</v>
      </c>
    </row>
    <row r="1787" spans="2:17" hidden="1">
      <c r="B1787">
        <f>'[1]Processed Data'!B1787</f>
        <v>2010</v>
      </c>
      <c r="C1787">
        <f>'[1]Processed Data'!C1787</f>
        <v>104</v>
      </c>
      <c r="D1787" t="str">
        <f>'[1]Processed Data'!D1787</f>
        <v>Sam Bradford</v>
      </c>
      <c r="E1787">
        <v>2005</v>
      </c>
      <c r="F1787">
        <f>'[1]Processed Data'!F1787</f>
        <v>354</v>
      </c>
      <c r="G1787">
        <f>'[1]Processed Data'!G1787</f>
        <v>590</v>
      </c>
      <c r="H1787">
        <f>'[1]Processed Data'!H1787</f>
        <v>60</v>
      </c>
      <c r="I1787">
        <f>'[1]Processed Data'!I1787</f>
        <v>18</v>
      </c>
      <c r="J1787">
        <f>'[1]Processed Data'!J1787</f>
        <v>15</v>
      </c>
      <c r="K1787">
        <f>'[1]Processed Data'!K1787</f>
        <v>34</v>
      </c>
      <c r="L1787">
        <f>'[1]Processed Data'!L1787</f>
        <v>27</v>
      </c>
      <c r="M1787">
        <f>'[1]Processed Data'!M1787</f>
        <v>63</v>
      </c>
      <c r="N1787">
        <f>'[1]Processed Data'!N1787</f>
        <v>1</v>
      </c>
      <c r="O1787">
        <f>'[1]Processed Data'!O1787</f>
        <v>2</v>
      </c>
      <c r="P1787">
        <f>'[1]Processed Data'!P1787</f>
        <v>0</v>
      </c>
      <c r="Q1787">
        <f>'[1]Processed Data'!Q1787</f>
        <v>16</v>
      </c>
    </row>
    <row r="1788" spans="2:17" hidden="1">
      <c r="B1788">
        <f>'[1]Processed Data'!B1788</f>
        <v>2010</v>
      </c>
      <c r="C1788">
        <f>'[1]Processed Data'!C1788</f>
        <v>105</v>
      </c>
      <c r="D1788" t="str">
        <f>'[1]Processed Data'!D1788</f>
        <v>Tony Romo</v>
      </c>
      <c r="E1788">
        <v>2005</v>
      </c>
      <c r="F1788">
        <f>'[1]Processed Data'!F1788</f>
        <v>148</v>
      </c>
      <c r="G1788">
        <f>'[1]Processed Data'!G1788</f>
        <v>213</v>
      </c>
      <c r="H1788">
        <f>'[1]Processed Data'!H1788</f>
        <v>69.5</v>
      </c>
      <c r="I1788">
        <f>'[1]Processed Data'!I1788</f>
        <v>11</v>
      </c>
      <c r="J1788">
        <f>'[1]Processed Data'!J1788</f>
        <v>7</v>
      </c>
      <c r="K1788">
        <f>'[1]Processed Data'!K1788</f>
        <v>7</v>
      </c>
      <c r="L1788">
        <f>'[1]Processed Data'!L1788</f>
        <v>6</v>
      </c>
      <c r="M1788">
        <f>'[1]Processed Data'!M1788</f>
        <v>38</v>
      </c>
      <c r="N1788">
        <f>'[1]Processed Data'!N1788</f>
        <v>0</v>
      </c>
      <c r="O1788">
        <f>'[1]Processed Data'!O1788</f>
        <v>0</v>
      </c>
      <c r="P1788">
        <f>'[1]Processed Data'!P1788</f>
        <v>0</v>
      </c>
      <c r="Q1788">
        <f>'[1]Processed Data'!Q1788</f>
        <v>6</v>
      </c>
    </row>
    <row r="1789" spans="2:17" hidden="1">
      <c r="B1789">
        <f>'[1]Processed Data'!B1789</f>
        <v>2010</v>
      </c>
      <c r="C1789">
        <f>'[1]Processed Data'!C1789</f>
        <v>106</v>
      </c>
      <c r="D1789" t="str">
        <f>'[1]Processed Data'!D1789</f>
        <v>Trent Edwards</v>
      </c>
      <c r="E1789">
        <v>2005</v>
      </c>
      <c r="F1789">
        <f>'[1]Processed Data'!F1789</f>
        <v>55</v>
      </c>
      <c r="G1789">
        <f>'[1]Processed Data'!G1789</f>
        <v>101</v>
      </c>
      <c r="H1789">
        <f>'[1]Processed Data'!H1789</f>
        <v>54.5</v>
      </c>
      <c r="I1789">
        <f>'[1]Processed Data'!I1789</f>
        <v>2</v>
      </c>
      <c r="J1789">
        <f>'[1]Processed Data'!J1789</f>
        <v>5</v>
      </c>
      <c r="K1789">
        <f>'[1]Processed Data'!K1789</f>
        <v>11</v>
      </c>
      <c r="L1789">
        <f>'[1]Processed Data'!L1789</f>
        <v>14</v>
      </c>
      <c r="M1789">
        <f>'[1]Processed Data'!M1789</f>
        <v>58</v>
      </c>
      <c r="N1789">
        <f>'[1]Processed Data'!N1789</f>
        <v>0</v>
      </c>
      <c r="O1789">
        <f>'[1]Processed Data'!O1789</f>
        <v>0</v>
      </c>
      <c r="P1789">
        <f>'[1]Processed Data'!P1789</f>
        <v>0</v>
      </c>
      <c r="Q1789">
        <f>'[1]Processed Data'!Q1789</f>
        <v>5</v>
      </c>
    </row>
    <row r="1790" spans="2:17" hidden="1">
      <c r="B1790">
        <f>'[1]Processed Data'!B1790</f>
        <v>2010</v>
      </c>
      <c r="C1790">
        <f>'[1]Processed Data'!C1790</f>
        <v>107</v>
      </c>
      <c r="D1790" t="str">
        <f>'[1]Processed Data'!D1790</f>
        <v>Tyler Thigpen</v>
      </c>
      <c r="E1790">
        <v>2005</v>
      </c>
      <c r="F1790">
        <f>'[1]Processed Data'!F1790</f>
        <v>33</v>
      </c>
      <c r="G1790">
        <f>'[1]Processed Data'!G1790</f>
        <v>62</v>
      </c>
      <c r="H1790">
        <f>'[1]Processed Data'!H1790</f>
        <v>53.2</v>
      </c>
      <c r="I1790">
        <f>'[1]Processed Data'!I1790</f>
        <v>2</v>
      </c>
      <c r="J1790">
        <f>'[1]Processed Data'!J1790</f>
        <v>2</v>
      </c>
      <c r="K1790">
        <f>'[1]Processed Data'!K1790</f>
        <v>8</v>
      </c>
      <c r="L1790">
        <f>'[1]Processed Data'!L1790</f>
        <v>13</v>
      </c>
      <c r="M1790">
        <f>'[1]Processed Data'!M1790</f>
        <v>73</v>
      </c>
      <c r="N1790">
        <f>'[1]Processed Data'!N1790</f>
        <v>0</v>
      </c>
      <c r="O1790">
        <f>'[1]Processed Data'!O1790</f>
        <v>0</v>
      </c>
      <c r="P1790">
        <f>'[1]Processed Data'!P1790</f>
        <v>0</v>
      </c>
      <c r="Q1790">
        <f>'[1]Processed Data'!Q1790</f>
        <v>5</v>
      </c>
    </row>
    <row r="1791" spans="2:17" hidden="1">
      <c r="B1791">
        <f>'[1]Processed Data'!B1791</f>
        <v>2010</v>
      </c>
      <c r="C1791">
        <f>'[1]Processed Data'!C1791</f>
        <v>108</v>
      </c>
      <c r="D1791" t="str">
        <f>'[1]Processed Data'!D1791</f>
        <v>Jimmy Clausen</v>
      </c>
      <c r="E1791">
        <v>2005</v>
      </c>
      <c r="F1791">
        <f>'[1]Processed Data'!F1791</f>
        <v>157</v>
      </c>
      <c r="G1791">
        <f>'[1]Processed Data'!G1791</f>
        <v>299</v>
      </c>
      <c r="H1791">
        <f>'[1]Processed Data'!H1791</f>
        <v>52.5</v>
      </c>
      <c r="I1791">
        <f>'[1]Processed Data'!I1791</f>
        <v>3</v>
      </c>
      <c r="J1791">
        <f>'[1]Processed Data'!J1791</f>
        <v>9</v>
      </c>
      <c r="K1791">
        <f>'[1]Processed Data'!K1791</f>
        <v>33</v>
      </c>
      <c r="L1791">
        <f>'[1]Processed Data'!L1791</f>
        <v>23</v>
      </c>
      <c r="M1791">
        <f>'[1]Processed Data'!M1791</f>
        <v>57</v>
      </c>
      <c r="N1791">
        <f>'[1]Processed Data'!N1791</f>
        <v>0</v>
      </c>
      <c r="O1791">
        <f>'[1]Processed Data'!O1791</f>
        <v>2</v>
      </c>
      <c r="P1791">
        <f>'[1]Processed Data'!P1791</f>
        <v>0</v>
      </c>
      <c r="Q1791">
        <f>'[1]Processed Data'!Q1791</f>
        <v>13</v>
      </c>
    </row>
    <row r="1792" spans="2:17" hidden="1">
      <c r="B1792">
        <f>'[1]Processed Data'!B1792</f>
        <v>2010</v>
      </c>
      <c r="C1792">
        <f>'[1]Processed Data'!C1792</f>
        <v>109</v>
      </c>
      <c r="D1792" t="str">
        <f>'[1]Processed Data'!D1792</f>
        <v>Shaun Hill</v>
      </c>
      <c r="E1792">
        <v>2005</v>
      </c>
      <c r="F1792">
        <f>'[1]Processed Data'!F1792</f>
        <v>257</v>
      </c>
      <c r="G1792">
        <f>'[1]Processed Data'!G1792</f>
        <v>416</v>
      </c>
      <c r="H1792">
        <f>'[1]Processed Data'!H1792</f>
        <v>61.8</v>
      </c>
      <c r="I1792">
        <f>'[1]Processed Data'!I1792</f>
        <v>16</v>
      </c>
      <c r="J1792">
        <f>'[1]Processed Data'!J1792</f>
        <v>12</v>
      </c>
      <c r="K1792">
        <f>'[1]Processed Data'!K1792</f>
        <v>17</v>
      </c>
      <c r="L1792">
        <f>'[1]Processed Data'!L1792</f>
        <v>22</v>
      </c>
      <c r="M1792">
        <f>'[1]Processed Data'!M1792</f>
        <v>123</v>
      </c>
      <c r="N1792">
        <f>'[1]Processed Data'!N1792</f>
        <v>0</v>
      </c>
      <c r="O1792">
        <f>'[1]Processed Data'!O1792</f>
        <v>1</v>
      </c>
      <c r="P1792">
        <f>'[1]Processed Data'!P1792</f>
        <v>0</v>
      </c>
      <c r="Q1792">
        <f>'[1]Processed Data'!Q1792</f>
        <v>11</v>
      </c>
    </row>
    <row r="1793" spans="2:17" hidden="1">
      <c r="B1793">
        <f>'[1]Processed Data'!B1793</f>
        <v>2010</v>
      </c>
      <c r="C1793">
        <f>'[1]Processed Data'!C1793</f>
        <v>110</v>
      </c>
      <c r="D1793" t="str">
        <f>'[1]Processed Data'!D1793</f>
        <v>John Skelton</v>
      </c>
      <c r="E1793">
        <v>2005</v>
      </c>
      <c r="F1793">
        <f>'[1]Processed Data'!F1793</f>
        <v>60</v>
      </c>
      <c r="G1793">
        <f>'[1]Processed Data'!G1793</f>
        <v>126</v>
      </c>
      <c r="H1793">
        <f>'[1]Processed Data'!H1793</f>
        <v>47.6</v>
      </c>
      <c r="I1793">
        <f>'[1]Processed Data'!I1793</f>
        <v>2</v>
      </c>
      <c r="J1793">
        <f>'[1]Processed Data'!J1793</f>
        <v>2</v>
      </c>
      <c r="K1793">
        <f>'[1]Processed Data'!K1793</f>
        <v>9</v>
      </c>
      <c r="L1793">
        <f>'[1]Processed Data'!L1793</f>
        <v>10</v>
      </c>
      <c r="M1793">
        <f>'[1]Processed Data'!M1793</f>
        <v>49</v>
      </c>
      <c r="N1793">
        <f>'[1]Processed Data'!N1793</f>
        <v>0</v>
      </c>
      <c r="O1793">
        <f>'[1]Processed Data'!O1793</f>
        <v>1</v>
      </c>
      <c r="P1793">
        <f>'[1]Processed Data'!P1793</f>
        <v>0</v>
      </c>
      <c r="Q1793">
        <f>'[1]Processed Data'!Q1793</f>
        <v>5</v>
      </c>
    </row>
    <row r="1794" spans="2:17" hidden="1">
      <c r="B1794">
        <f>'[1]Processed Data'!B1794</f>
        <v>2010</v>
      </c>
      <c r="C1794">
        <f>'[1]Processed Data'!C1794</f>
        <v>111</v>
      </c>
      <c r="D1794" t="str">
        <f>'[1]Processed Data'!D1794</f>
        <v>Charlie Whitehurst</v>
      </c>
      <c r="E1794">
        <v>2005</v>
      </c>
      <c r="F1794">
        <f>'[1]Processed Data'!F1794</f>
        <v>57</v>
      </c>
      <c r="G1794">
        <f>'[1]Processed Data'!G1794</f>
        <v>99</v>
      </c>
      <c r="H1794">
        <f>'[1]Processed Data'!H1794</f>
        <v>57.6</v>
      </c>
      <c r="I1794">
        <f>'[1]Processed Data'!I1794</f>
        <v>2</v>
      </c>
      <c r="J1794">
        <f>'[1]Processed Data'!J1794</f>
        <v>3</v>
      </c>
      <c r="K1794">
        <f>'[1]Processed Data'!K1794</f>
        <v>5</v>
      </c>
      <c r="L1794">
        <f>'[1]Processed Data'!L1794</f>
        <v>20</v>
      </c>
      <c r="M1794">
        <f>'[1]Processed Data'!M1794</f>
        <v>43</v>
      </c>
      <c r="N1794">
        <f>'[1]Processed Data'!N1794</f>
        <v>1</v>
      </c>
      <c r="O1794">
        <f>'[1]Processed Data'!O1794</f>
        <v>0</v>
      </c>
      <c r="P1794">
        <f>'[1]Processed Data'!P1794</f>
        <v>0</v>
      </c>
      <c r="Q1794">
        <f>'[1]Processed Data'!Q1794</f>
        <v>6</v>
      </c>
    </row>
    <row r="1795" spans="2:17" hidden="1">
      <c r="B1795">
        <f>'[1]Processed Data'!B1795</f>
        <v>2010</v>
      </c>
      <c r="C1795">
        <f>'[1]Processed Data'!C1795</f>
        <v>112</v>
      </c>
      <c r="D1795" t="str">
        <f>'[1]Processed Data'!D1795</f>
        <v>Dan Orlovsky</v>
      </c>
      <c r="E1795">
        <v>2005</v>
      </c>
      <c r="F1795">
        <f>'[1]Processed Data'!F1795</f>
        <v>0</v>
      </c>
      <c r="G1795">
        <f>'[1]Processed Data'!G1795</f>
        <v>0</v>
      </c>
      <c r="H1795">
        <f>'[1]Processed Data'!H1795</f>
        <v>0</v>
      </c>
      <c r="I1795">
        <f>'[1]Processed Data'!I1795</f>
        <v>0</v>
      </c>
      <c r="J1795">
        <f>'[1]Processed Data'!J1795</f>
        <v>0</v>
      </c>
      <c r="K1795">
        <f>'[1]Processed Data'!K1795</f>
        <v>0</v>
      </c>
      <c r="L1795">
        <f>'[1]Processed Data'!L1795</f>
        <v>0</v>
      </c>
      <c r="M1795">
        <f>'[1]Processed Data'!M1795</f>
        <v>0</v>
      </c>
      <c r="N1795">
        <f>'[1]Processed Data'!N1795</f>
        <v>0</v>
      </c>
      <c r="O1795">
        <f>'[1]Processed Data'!O1795</f>
        <v>0</v>
      </c>
      <c r="P1795">
        <f>'[1]Processed Data'!P1795</f>
        <v>0</v>
      </c>
      <c r="Q1795">
        <f>'[1]Processed Data'!Q1795</f>
        <v>1</v>
      </c>
    </row>
    <row r="1796" spans="2:17" hidden="1">
      <c r="B1796">
        <f>'[1]Processed Data'!B1796</f>
        <v>2010</v>
      </c>
      <c r="C1796">
        <f>'[1]Processed Data'!C1796</f>
        <v>113</v>
      </c>
      <c r="D1796" t="str">
        <f>'[1]Processed Data'!D1796</f>
        <v>Tarvaris Jackson</v>
      </c>
      <c r="E1796">
        <v>2005</v>
      </c>
      <c r="F1796">
        <f>'[1]Processed Data'!F1796</f>
        <v>34</v>
      </c>
      <c r="G1796">
        <f>'[1]Processed Data'!G1796</f>
        <v>58</v>
      </c>
      <c r="H1796">
        <f>'[1]Processed Data'!H1796</f>
        <v>58.6</v>
      </c>
      <c r="I1796">
        <f>'[1]Processed Data'!I1796</f>
        <v>3</v>
      </c>
      <c r="J1796">
        <f>'[1]Processed Data'!J1796</f>
        <v>4</v>
      </c>
      <c r="K1796">
        <f>'[1]Processed Data'!K1796</f>
        <v>6</v>
      </c>
      <c r="L1796">
        <f>'[1]Processed Data'!L1796</f>
        <v>7</v>
      </c>
      <c r="M1796">
        <f>'[1]Processed Data'!M1796</f>
        <v>63</v>
      </c>
      <c r="N1796">
        <f>'[1]Processed Data'!N1796</f>
        <v>0</v>
      </c>
      <c r="O1796">
        <f>'[1]Processed Data'!O1796</f>
        <v>0</v>
      </c>
      <c r="P1796">
        <f>'[1]Processed Data'!P1796</f>
        <v>0</v>
      </c>
      <c r="Q1796">
        <f>'[1]Processed Data'!Q1796</f>
        <v>3</v>
      </c>
    </row>
    <row r="1797" spans="2:17" hidden="1">
      <c r="B1797">
        <f>'[1]Processed Data'!B1797</f>
        <v>2010</v>
      </c>
      <c r="C1797">
        <f>'[1]Processed Data'!C1797</f>
        <v>114</v>
      </c>
      <c r="D1797" t="str">
        <f>'[1]Processed Data'!D1797</f>
        <v>Seneca Wallace</v>
      </c>
      <c r="E1797">
        <v>2005</v>
      </c>
      <c r="F1797">
        <f>'[1]Processed Data'!F1797</f>
        <v>64</v>
      </c>
      <c r="G1797">
        <f>'[1]Processed Data'!G1797</f>
        <v>101</v>
      </c>
      <c r="H1797">
        <f>'[1]Processed Data'!H1797</f>
        <v>63.4</v>
      </c>
      <c r="I1797">
        <f>'[1]Processed Data'!I1797</f>
        <v>4</v>
      </c>
      <c r="J1797">
        <f>'[1]Processed Data'!J1797</f>
        <v>2</v>
      </c>
      <c r="K1797">
        <f>'[1]Processed Data'!K1797</f>
        <v>6</v>
      </c>
      <c r="L1797">
        <f>'[1]Processed Data'!L1797</f>
        <v>7</v>
      </c>
      <c r="M1797">
        <f>'[1]Processed Data'!M1797</f>
        <v>9</v>
      </c>
      <c r="N1797">
        <f>'[1]Processed Data'!N1797</f>
        <v>0</v>
      </c>
      <c r="O1797">
        <f>'[1]Processed Data'!O1797</f>
        <v>0</v>
      </c>
      <c r="P1797">
        <f>'[1]Processed Data'!P1797</f>
        <v>0</v>
      </c>
      <c r="Q1797">
        <f>'[1]Processed Data'!Q1797</f>
        <v>8</v>
      </c>
    </row>
    <row r="1798" spans="2:17" hidden="1">
      <c r="B1798">
        <f>'[1]Processed Data'!B1798</f>
        <v>2010</v>
      </c>
      <c r="C1798">
        <f>'[1]Processed Data'!C1798</f>
        <v>115</v>
      </c>
      <c r="D1798" t="str">
        <f>'[1]Processed Data'!D1798</f>
        <v>Kevin Kolb</v>
      </c>
      <c r="E1798">
        <v>2005</v>
      </c>
      <c r="F1798">
        <f>'[1]Processed Data'!F1798</f>
        <v>115</v>
      </c>
      <c r="G1798">
        <f>'[1]Processed Data'!G1798</f>
        <v>189</v>
      </c>
      <c r="H1798">
        <f>'[1]Processed Data'!H1798</f>
        <v>60.8</v>
      </c>
      <c r="I1798">
        <f>'[1]Processed Data'!I1798</f>
        <v>7</v>
      </c>
      <c r="J1798">
        <f>'[1]Processed Data'!J1798</f>
        <v>7</v>
      </c>
      <c r="K1798">
        <f>'[1]Processed Data'!K1798</f>
        <v>15</v>
      </c>
      <c r="L1798">
        <f>'[1]Processed Data'!L1798</f>
        <v>15</v>
      </c>
      <c r="M1798">
        <f>'[1]Processed Data'!M1798</f>
        <v>65</v>
      </c>
      <c r="N1798">
        <f>'[1]Processed Data'!N1798</f>
        <v>0</v>
      </c>
      <c r="O1798">
        <f>'[1]Processed Data'!O1798</f>
        <v>3</v>
      </c>
      <c r="P1798">
        <f>'[1]Processed Data'!P1798</f>
        <v>0</v>
      </c>
      <c r="Q1798">
        <f>'[1]Processed Data'!Q1798</f>
        <v>7</v>
      </c>
    </row>
    <row r="1799" spans="2:17" hidden="1">
      <c r="B1799">
        <f>'[1]Processed Data'!B1799</f>
        <v>2010</v>
      </c>
      <c r="C1799">
        <f>'[1]Processed Data'!C1799</f>
        <v>116</v>
      </c>
      <c r="D1799" t="str">
        <f>'[1]Processed Data'!D1799</f>
        <v>Matt Cassel</v>
      </c>
      <c r="E1799">
        <v>2005</v>
      </c>
      <c r="F1799">
        <f>'[1]Processed Data'!F1799</f>
        <v>262</v>
      </c>
      <c r="G1799">
        <f>'[1]Processed Data'!G1799</f>
        <v>450</v>
      </c>
      <c r="H1799">
        <f>'[1]Processed Data'!H1799</f>
        <v>58.2</v>
      </c>
      <c r="I1799">
        <f>'[1]Processed Data'!I1799</f>
        <v>27</v>
      </c>
      <c r="J1799">
        <f>'[1]Processed Data'!J1799</f>
        <v>7</v>
      </c>
      <c r="K1799">
        <f>'[1]Processed Data'!K1799</f>
        <v>26</v>
      </c>
      <c r="L1799">
        <f>'[1]Processed Data'!L1799</f>
        <v>33</v>
      </c>
      <c r="M1799">
        <f>'[1]Processed Data'!M1799</f>
        <v>125</v>
      </c>
      <c r="N1799">
        <f>'[1]Processed Data'!N1799</f>
        <v>0</v>
      </c>
      <c r="O1799">
        <f>'[1]Processed Data'!O1799</f>
        <v>1</v>
      </c>
      <c r="P1799">
        <f>'[1]Processed Data'!P1799</f>
        <v>0</v>
      </c>
      <c r="Q1799">
        <f>'[1]Processed Data'!Q1799</f>
        <v>15</v>
      </c>
    </row>
    <row r="1800" spans="2:17" hidden="1">
      <c r="B1800">
        <f>'[1]Processed Data'!B1800</f>
        <v>2010</v>
      </c>
      <c r="C1800">
        <f>'[1]Processed Data'!C1800</f>
        <v>117</v>
      </c>
      <c r="D1800" t="str">
        <f>'[1]Processed Data'!D1800</f>
        <v>Kyle Orton</v>
      </c>
      <c r="E1800">
        <v>2004</v>
      </c>
      <c r="F1800">
        <f>'[1]Processed Data'!F1800</f>
        <v>293</v>
      </c>
      <c r="G1800">
        <f>'[1]Processed Data'!G1800</f>
        <v>498</v>
      </c>
      <c r="H1800">
        <f>'[1]Processed Data'!H1800</f>
        <v>58.8</v>
      </c>
      <c r="I1800">
        <f>'[1]Processed Data'!I1800</f>
        <v>20</v>
      </c>
      <c r="J1800">
        <f>'[1]Processed Data'!J1800</f>
        <v>9</v>
      </c>
      <c r="K1800">
        <f>'[1]Processed Data'!K1800</f>
        <v>34</v>
      </c>
      <c r="L1800">
        <f>'[1]Processed Data'!L1800</f>
        <v>22</v>
      </c>
      <c r="M1800">
        <f>'[1]Processed Data'!M1800</f>
        <v>98</v>
      </c>
      <c r="N1800">
        <f>'[1]Processed Data'!N1800</f>
        <v>0</v>
      </c>
      <c r="O1800">
        <f>'[1]Processed Data'!O1800</f>
        <v>4</v>
      </c>
      <c r="P1800">
        <f>'[1]Processed Data'!P1800</f>
        <v>0</v>
      </c>
      <c r="Q1800">
        <f>'[1]Processed Data'!Q1800</f>
        <v>13</v>
      </c>
    </row>
    <row r="1801" spans="2:17" hidden="1">
      <c r="B1801">
        <f>'[1]Processed Data'!B1801</f>
        <v>2010</v>
      </c>
      <c r="C1801">
        <f>'[1]Processed Data'!C1801</f>
        <v>118</v>
      </c>
      <c r="D1801" t="str">
        <f>'[1]Processed Data'!D1801</f>
        <v>Mark Sanchez</v>
      </c>
      <c r="E1801">
        <v>2004</v>
      </c>
      <c r="F1801">
        <f>'[1]Processed Data'!F1801</f>
        <v>278</v>
      </c>
      <c r="G1801">
        <f>'[1]Processed Data'!G1801</f>
        <v>507</v>
      </c>
      <c r="H1801">
        <f>'[1]Processed Data'!H1801</f>
        <v>54.8</v>
      </c>
      <c r="I1801">
        <f>'[1]Processed Data'!I1801</f>
        <v>17</v>
      </c>
      <c r="J1801">
        <f>'[1]Processed Data'!J1801</f>
        <v>13</v>
      </c>
      <c r="K1801">
        <f>'[1]Processed Data'!K1801</f>
        <v>27</v>
      </c>
      <c r="L1801">
        <f>'[1]Processed Data'!L1801</f>
        <v>30</v>
      </c>
      <c r="M1801">
        <f>'[1]Processed Data'!M1801</f>
        <v>105</v>
      </c>
      <c r="N1801">
        <f>'[1]Processed Data'!N1801</f>
        <v>3</v>
      </c>
      <c r="O1801">
        <f>'[1]Processed Data'!O1801</f>
        <v>1</v>
      </c>
      <c r="P1801">
        <f>'[1]Processed Data'!P1801</f>
        <v>0</v>
      </c>
      <c r="Q1801">
        <f>'[1]Processed Data'!Q1801</f>
        <v>16</v>
      </c>
    </row>
    <row r="1802" spans="2:17" hidden="1">
      <c r="B1802">
        <f>'[1]Processed Data'!B1802</f>
        <v>2010</v>
      </c>
      <c r="C1802">
        <f>'[1]Processed Data'!C1802</f>
        <v>119</v>
      </c>
      <c r="D1802" t="str">
        <f>'[1]Processed Data'!D1802</f>
        <v>Matt Flynn</v>
      </c>
      <c r="E1802">
        <v>2004</v>
      </c>
      <c r="F1802">
        <f>'[1]Processed Data'!F1802</f>
        <v>40</v>
      </c>
      <c r="G1802">
        <f>'[1]Processed Data'!G1802</f>
        <v>66</v>
      </c>
      <c r="H1802">
        <f>'[1]Processed Data'!H1802</f>
        <v>60.6</v>
      </c>
      <c r="I1802">
        <f>'[1]Processed Data'!I1802</f>
        <v>3</v>
      </c>
      <c r="J1802">
        <f>'[1]Processed Data'!J1802</f>
        <v>2</v>
      </c>
      <c r="K1802">
        <f>'[1]Processed Data'!K1802</f>
        <v>7</v>
      </c>
      <c r="L1802">
        <f>'[1]Processed Data'!L1802</f>
        <v>9</v>
      </c>
      <c r="M1802">
        <f>'[1]Processed Data'!M1802</f>
        <v>26</v>
      </c>
      <c r="N1802">
        <f>'[1]Processed Data'!N1802</f>
        <v>0</v>
      </c>
      <c r="O1802">
        <f>'[1]Processed Data'!O1802</f>
        <v>1</v>
      </c>
      <c r="P1802">
        <f>'[1]Processed Data'!P1802</f>
        <v>0</v>
      </c>
      <c r="Q1802">
        <f>'[1]Processed Data'!Q1802</f>
        <v>7</v>
      </c>
    </row>
    <row r="1803" spans="2:17" hidden="1">
      <c r="B1803">
        <f>'[1]Processed Data'!B1803</f>
        <v>2010</v>
      </c>
      <c r="C1803">
        <f>'[1]Processed Data'!C1803</f>
        <v>120</v>
      </c>
      <c r="D1803" t="str">
        <f>'[1]Processed Data'!D1803</f>
        <v>Rex Grossman</v>
      </c>
      <c r="E1803">
        <v>2004</v>
      </c>
      <c r="F1803">
        <f>'[1]Processed Data'!F1803</f>
        <v>74</v>
      </c>
      <c r="G1803">
        <f>'[1]Processed Data'!G1803</f>
        <v>133</v>
      </c>
      <c r="H1803">
        <f>'[1]Processed Data'!H1803</f>
        <v>55.6</v>
      </c>
      <c r="I1803">
        <f>'[1]Processed Data'!I1803</f>
        <v>7</v>
      </c>
      <c r="J1803">
        <f>'[1]Processed Data'!J1803</f>
        <v>4</v>
      </c>
      <c r="K1803">
        <f>'[1]Processed Data'!K1803</f>
        <v>9</v>
      </c>
      <c r="L1803">
        <f>'[1]Processed Data'!L1803</f>
        <v>3</v>
      </c>
      <c r="M1803">
        <f>'[1]Processed Data'!M1803</f>
        <v>6</v>
      </c>
      <c r="N1803">
        <f>'[1]Processed Data'!N1803</f>
        <v>0</v>
      </c>
      <c r="O1803">
        <f>'[1]Processed Data'!O1803</f>
        <v>4</v>
      </c>
      <c r="P1803">
        <f>'[1]Processed Data'!P1803</f>
        <v>0</v>
      </c>
      <c r="Q1803">
        <f>'[1]Processed Data'!Q1803</f>
        <v>4</v>
      </c>
    </row>
    <row r="1804" spans="2:17" hidden="1">
      <c r="B1804">
        <f>'[1]Processed Data'!B1804</f>
        <v>2010</v>
      </c>
      <c r="C1804">
        <f>'[1]Processed Data'!C1804</f>
        <v>121</v>
      </c>
      <c r="D1804" t="str">
        <f>'[1]Processed Data'!D1804</f>
        <v>Matt Hasselbeck</v>
      </c>
      <c r="E1804">
        <v>2004</v>
      </c>
      <c r="F1804">
        <f>'[1]Processed Data'!F1804</f>
        <v>266</v>
      </c>
      <c r="G1804">
        <f>'[1]Processed Data'!G1804</f>
        <v>444</v>
      </c>
      <c r="H1804">
        <f>'[1]Processed Data'!H1804</f>
        <v>59.9</v>
      </c>
      <c r="I1804">
        <f>'[1]Processed Data'!I1804</f>
        <v>12</v>
      </c>
      <c r="J1804">
        <f>'[1]Processed Data'!J1804</f>
        <v>17</v>
      </c>
      <c r="K1804">
        <f>'[1]Processed Data'!K1804</f>
        <v>29</v>
      </c>
      <c r="L1804">
        <f>'[1]Processed Data'!L1804</f>
        <v>23</v>
      </c>
      <c r="M1804">
        <f>'[1]Processed Data'!M1804</f>
        <v>60</v>
      </c>
      <c r="N1804">
        <f>'[1]Processed Data'!N1804</f>
        <v>3</v>
      </c>
      <c r="O1804">
        <f>'[1]Processed Data'!O1804</f>
        <v>5</v>
      </c>
      <c r="P1804">
        <f>'[1]Processed Data'!P1804</f>
        <v>0</v>
      </c>
      <c r="Q1804">
        <f>'[1]Processed Data'!Q1804</f>
        <v>14</v>
      </c>
    </row>
    <row r="1805" spans="2:17" hidden="1">
      <c r="B1805">
        <f>'[1]Processed Data'!B1805</f>
        <v>2010</v>
      </c>
      <c r="C1805">
        <f>'[1]Processed Data'!C1805</f>
        <v>122</v>
      </c>
      <c r="D1805" t="str">
        <f>'[1]Processed Data'!D1805</f>
        <v>Michael Vick</v>
      </c>
      <c r="E1805">
        <v>2004</v>
      </c>
      <c r="F1805">
        <f>'[1]Processed Data'!F1805</f>
        <v>233</v>
      </c>
      <c r="G1805">
        <f>'[1]Processed Data'!G1805</f>
        <v>372</v>
      </c>
      <c r="H1805">
        <f>'[1]Processed Data'!H1805</f>
        <v>62.6</v>
      </c>
      <c r="I1805">
        <f>'[1]Processed Data'!I1805</f>
        <v>21</v>
      </c>
      <c r="J1805">
        <f>'[1]Processed Data'!J1805</f>
        <v>6</v>
      </c>
      <c r="K1805">
        <f>'[1]Processed Data'!K1805</f>
        <v>34</v>
      </c>
      <c r="L1805">
        <f>'[1]Processed Data'!L1805</f>
        <v>100</v>
      </c>
      <c r="M1805">
        <f>'[1]Processed Data'!M1805</f>
        <v>676</v>
      </c>
      <c r="N1805">
        <f>'[1]Processed Data'!N1805</f>
        <v>9</v>
      </c>
      <c r="O1805">
        <f>'[1]Processed Data'!O1805</f>
        <v>3</v>
      </c>
      <c r="P1805">
        <f>'[1]Processed Data'!P1805</f>
        <v>0</v>
      </c>
      <c r="Q1805">
        <f>'[1]Processed Data'!Q1805</f>
        <v>12</v>
      </c>
    </row>
    <row r="1806" spans="2:17" hidden="1">
      <c r="B1806">
        <f>'[1]Processed Data'!B1806</f>
        <v>2010</v>
      </c>
      <c r="C1806">
        <f>'[1]Processed Data'!C1806</f>
        <v>123</v>
      </c>
      <c r="D1806" t="str">
        <f>'[1]Processed Data'!D1806</f>
        <v>Peyton Manning</v>
      </c>
      <c r="E1806">
        <v>2004</v>
      </c>
      <c r="F1806">
        <f>'[1]Processed Data'!F1806</f>
        <v>450</v>
      </c>
      <c r="G1806">
        <f>'[1]Processed Data'!G1806</f>
        <v>679</v>
      </c>
      <c r="H1806">
        <f>'[1]Processed Data'!H1806</f>
        <v>66.3</v>
      </c>
      <c r="I1806">
        <f>'[1]Processed Data'!I1806</f>
        <v>33</v>
      </c>
      <c r="J1806">
        <f>'[1]Processed Data'!J1806</f>
        <v>17</v>
      </c>
      <c r="K1806">
        <f>'[1]Processed Data'!K1806</f>
        <v>16</v>
      </c>
      <c r="L1806">
        <f>'[1]Processed Data'!L1806</f>
        <v>18</v>
      </c>
      <c r="M1806">
        <f>'[1]Processed Data'!M1806</f>
        <v>18</v>
      </c>
      <c r="N1806">
        <f>'[1]Processed Data'!N1806</f>
        <v>0</v>
      </c>
      <c r="O1806">
        <f>'[1]Processed Data'!O1806</f>
        <v>1</v>
      </c>
      <c r="P1806">
        <f>'[1]Processed Data'!P1806</f>
        <v>0</v>
      </c>
      <c r="Q1806">
        <f>'[1]Processed Data'!Q1806</f>
        <v>16</v>
      </c>
    </row>
    <row r="1807" spans="2:17" hidden="1">
      <c r="B1807">
        <f>'[1]Processed Data'!B1807</f>
        <v>2010</v>
      </c>
      <c r="C1807">
        <f>'[1]Processed Data'!C1807</f>
        <v>124</v>
      </c>
      <c r="D1807" t="str">
        <f>'[1]Processed Data'!D1807</f>
        <v>Philip Rivers</v>
      </c>
      <c r="E1807">
        <v>2004</v>
      </c>
      <c r="F1807">
        <f>'[1]Processed Data'!F1807</f>
        <v>357</v>
      </c>
      <c r="G1807">
        <f>'[1]Processed Data'!G1807</f>
        <v>541</v>
      </c>
      <c r="H1807">
        <f>'[1]Processed Data'!H1807</f>
        <v>66</v>
      </c>
      <c r="I1807">
        <f>'[1]Processed Data'!I1807</f>
        <v>30</v>
      </c>
      <c r="J1807">
        <f>'[1]Processed Data'!J1807</f>
        <v>13</v>
      </c>
      <c r="K1807">
        <f>'[1]Processed Data'!K1807</f>
        <v>38</v>
      </c>
      <c r="L1807">
        <f>'[1]Processed Data'!L1807</f>
        <v>29</v>
      </c>
      <c r="M1807">
        <f>'[1]Processed Data'!M1807</f>
        <v>52</v>
      </c>
      <c r="N1807">
        <f>'[1]Processed Data'!N1807</f>
        <v>0</v>
      </c>
      <c r="O1807">
        <f>'[1]Processed Data'!O1807</f>
        <v>4</v>
      </c>
      <c r="P1807">
        <f>'[1]Processed Data'!P1807</f>
        <v>0</v>
      </c>
      <c r="Q1807">
        <f>'[1]Processed Data'!Q1807</f>
        <v>16</v>
      </c>
    </row>
    <row r="1808" spans="2:17" hidden="1">
      <c r="B1808">
        <f>'[1]Processed Data'!B1808</f>
        <v>2010</v>
      </c>
      <c r="C1808">
        <f>'[1]Processed Data'!C1808</f>
        <v>125</v>
      </c>
      <c r="D1808" t="str">
        <f>'[1]Processed Data'!D1808</f>
        <v>Kevin Hogan</v>
      </c>
      <c r="E1808">
        <v>2004</v>
      </c>
      <c r="F1808">
        <f>'[1]Processed Data'!F1808</f>
        <v>0</v>
      </c>
      <c r="G1808">
        <f>'[1]Processed Data'!G1808</f>
        <v>0</v>
      </c>
      <c r="H1808">
        <f>'[1]Processed Data'!H1808</f>
        <v>0</v>
      </c>
      <c r="I1808">
        <f>'[1]Processed Data'!I1808</f>
        <v>0</v>
      </c>
      <c r="J1808">
        <f>'[1]Processed Data'!J1808</f>
        <v>0</v>
      </c>
      <c r="K1808">
        <f>'[1]Processed Data'!K1808</f>
        <v>0</v>
      </c>
      <c r="L1808">
        <f>'[1]Processed Data'!L1808</f>
        <v>0</v>
      </c>
      <c r="M1808">
        <f>'[1]Processed Data'!M1808</f>
        <v>0</v>
      </c>
      <c r="N1808">
        <f>'[1]Processed Data'!N1808</f>
        <v>0</v>
      </c>
      <c r="O1808">
        <f>'[1]Processed Data'!O1808</f>
        <v>0</v>
      </c>
      <c r="P1808">
        <f>'[1]Processed Data'!P1808</f>
        <v>0</v>
      </c>
      <c r="Q1808">
        <f>'[1]Processed Data'!Q1808</f>
        <v>0</v>
      </c>
    </row>
    <row r="1809" spans="2:17" hidden="1">
      <c r="B1809">
        <f>'[1]Processed Data'!B1809</f>
        <v>2010</v>
      </c>
      <c r="C1809">
        <f>'[1]Processed Data'!C1809</f>
        <v>126</v>
      </c>
      <c r="D1809" t="str">
        <f>'[1]Processed Data'!D1809</f>
        <v>Nate Sudfeld</v>
      </c>
      <c r="E1809">
        <v>2004</v>
      </c>
      <c r="F1809">
        <f>'[1]Processed Data'!F1809</f>
        <v>0</v>
      </c>
      <c r="G1809">
        <f>'[1]Processed Data'!G1809</f>
        <v>0</v>
      </c>
      <c r="H1809">
        <f>'[1]Processed Data'!H1809</f>
        <v>0</v>
      </c>
      <c r="I1809">
        <f>'[1]Processed Data'!I1809</f>
        <v>0</v>
      </c>
      <c r="J1809">
        <f>'[1]Processed Data'!J1809</f>
        <v>0</v>
      </c>
      <c r="K1809">
        <f>'[1]Processed Data'!K1809</f>
        <v>0</v>
      </c>
      <c r="L1809">
        <f>'[1]Processed Data'!L1809</f>
        <v>0</v>
      </c>
      <c r="M1809">
        <f>'[1]Processed Data'!M1809</f>
        <v>0</v>
      </c>
      <c r="N1809">
        <f>'[1]Processed Data'!N1809</f>
        <v>0</v>
      </c>
      <c r="O1809">
        <f>'[1]Processed Data'!O1809</f>
        <v>0</v>
      </c>
      <c r="P1809">
        <f>'[1]Processed Data'!P1809</f>
        <v>0</v>
      </c>
      <c r="Q1809">
        <f>'[1]Processed Data'!Q1809</f>
        <v>0</v>
      </c>
    </row>
    <row r="1810" spans="2:17" hidden="1">
      <c r="B1810">
        <f>'[1]Processed Data'!B1810</f>
        <v>2010</v>
      </c>
      <c r="C1810">
        <f>'[1]Processed Data'!C1810</f>
        <v>127</v>
      </c>
      <c r="D1810" t="str">
        <f>'[1]Processed Data'!D1810</f>
        <v>Brandon Allen</v>
      </c>
      <c r="E1810">
        <v>2004</v>
      </c>
      <c r="F1810">
        <f>'[1]Processed Data'!F1810</f>
        <v>0</v>
      </c>
      <c r="G1810">
        <f>'[1]Processed Data'!G1810</f>
        <v>0</v>
      </c>
      <c r="H1810">
        <f>'[1]Processed Data'!H1810</f>
        <v>0</v>
      </c>
      <c r="I1810">
        <f>'[1]Processed Data'!I1810</f>
        <v>0</v>
      </c>
      <c r="J1810">
        <f>'[1]Processed Data'!J1810</f>
        <v>0</v>
      </c>
      <c r="K1810">
        <f>'[1]Processed Data'!K1810</f>
        <v>0</v>
      </c>
      <c r="L1810">
        <f>'[1]Processed Data'!L1810</f>
        <v>0</v>
      </c>
      <c r="M1810">
        <f>'[1]Processed Data'!M1810</f>
        <v>0</v>
      </c>
      <c r="N1810">
        <f>'[1]Processed Data'!N1810</f>
        <v>0</v>
      </c>
      <c r="O1810">
        <f>'[1]Processed Data'!O1810</f>
        <v>0</v>
      </c>
      <c r="P1810">
        <f>'[1]Processed Data'!P1810</f>
        <v>0</v>
      </c>
      <c r="Q1810">
        <f>'[1]Processed Data'!Q1810</f>
        <v>0</v>
      </c>
    </row>
    <row r="1811" spans="2:17" hidden="1">
      <c r="B1811">
        <f>'[1]Processed Data'!B1811</f>
        <v>2010</v>
      </c>
      <c r="C1811">
        <f>'[1]Processed Data'!C1811</f>
        <v>128</v>
      </c>
      <c r="D1811" t="str">
        <f>'[1]Processed Data'!D1811</f>
        <v>Jared Goff</v>
      </c>
      <c r="E1811">
        <v>2004</v>
      </c>
      <c r="F1811">
        <f>'[1]Processed Data'!F1811</f>
        <v>0</v>
      </c>
      <c r="G1811">
        <f>'[1]Processed Data'!G1811</f>
        <v>0</v>
      </c>
      <c r="H1811">
        <f>'[1]Processed Data'!H1811</f>
        <v>0</v>
      </c>
      <c r="I1811">
        <f>'[1]Processed Data'!I1811</f>
        <v>0</v>
      </c>
      <c r="J1811">
        <f>'[1]Processed Data'!J1811</f>
        <v>0</v>
      </c>
      <c r="K1811">
        <f>'[1]Processed Data'!K1811</f>
        <v>0</v>
      </c>
      <c r="L1811">
        <f>'[1]Processed Data'!L1811</f>
        <v>0</v>
      </c>
      <c r="M1811">
        <f>'[1]Processed Data'!M1811</f>
        <v>0</v>
      </c>
      <c r="N1811">
        <f>'[1]Processed Data'!N1811</f>
        <v>0</v>
      </c>
      <c r="O1811">
        <f>'[1]Processed Data'!O1811</f>
        <v>0</v>
      </c>
      <c r="P1811">
        <f>'[1]Processed Data'!P1811</f>
        <v>0</v>
      </c>
      <c r="Q1811">
        <f>'[1]Processed Data'!Q1811</f>
        <v>0</v>
      </c>
    </row>
    <row r="1812" spans="2:17" hidden="1">
      <c r="B1812">
        <f>'[1]Processed Data'!B1812</f>
        <v>2010</v>
      </c>
      <c r="C1812">
        <f>'[1]Processed Data'!C1812</f>
        <v>129</v>
      </c>
      <c r="D1812" t="str">
        <f>'[1]Processed Data'!D1812</f>
        <v>Carson Wentz</v>
      </c>
      <c r="E1812">
        <v>2004</v>
      </c>
      <c r="F1812">
        <f>'[1]Processed Data'!F1812</f>
        <v>0</v>
      </c>
      <c r="G1812">
        <f>'[1]Processed Data'!G1812</f>
        <v>0</v>
      </c>
      <c r="H1812">
        <f>'[1]Processed Data'!H1812</f>
        <v>0</v>
      </c>
      <c r="I1812">
        <f>'[1]Processed Data'!I1812</f>
        <v>0</v>
      </c>
      <c r="J1812">
        <f>'[1]Processed Data'!J1812</f>
        <v>0</v>
      </c>
      <c r="K1812">
        <f>'[1]Processed Data'!K1812</f>
        <v>0</v>
      </c>
      <c r="L1812">
        <f>'[1]Processed Data'!L1812</f>
        <v>0</v>
      </c>
      <c r="M1812">
        <f>'[1]Processed Data'!M1812</f>
        <v>0</v>
      </c>
      <c r="N1812">
        <f>'[1]Processed Data'!N1812</f>
        <v>0</v>
      </c>
      <c r="O1812">
        <f>'[1]Processed Data'!O1812</f>
        <v>0</v>
      </c>
      <c r="P1812">
        <f>'[1]Processed Data'!P1812</f>
        <v>0</v>
      </c>
      <c r="Q1812">
        <f>'[1]Processed Data'!Q1812</f>
        <v>0</v>
      </c>
    </row>
    <row r="1813" spans="2:17" hidden="1">
      <c r="B1813">
        <f>'[1]Processed Data'!B1813</f>
        <v>2010</v>
      </c>
      <c r="C1813">
        <f>'[1]Processed Data'!C1813</f>
        <v>130</v>
      </c>
      <c r="D1813" t="str">
        <f>'[1]Processed Data'!D1813</f>
        <v>Dak Prescott</v>
      </c>
      <c r="E1813">
        <v>2004</v>
      </c>
      <c r="F1813">
        <f>'[1]Processed Data'!F1813</f>
        <v>0</v>
      </c>
      <c r="G1813">
        <f>'[1]Processed Data'!G1813</f>
        <v>0</v>
      </c>
      <c r="H1813">
        <f>'[1]Processed Data'!H1813</f>
        <v>0</v>
      </c>
      <c r="I1813">
        <f>'[1]Processed Data'!I1813</f>
        <v>0</v>
      </c>
      <c r="J1813">
        <f>'[1]Processed Data'!J1813</f>
        <v>0</v>
      </c>
      <c r="K1813">
        <f>'[1]Processed Data'!K1813</f>
        <v>0</v>
      </c>
      <c r="L1813">
        <f>'[1]Processed Data'!L1813</f>
        <v>0</v>
      </c>
      <c r="M1813">
        <f>'[1]Processed Data'!M1813</f>
        <v>0</v>
      </c>
      <c r="N1813">
        <f>'[1]Processed Data'!N1813</f>
        <v>0</v>
      </c>
      <c r="O1813">
        <f>'[1]Processed Data'!O1813</f>
        <v>0</v>
      </c>
      <c r="P1813">
        <f>'[1]Processed Data'!P1813</f>
        <v>0</v>
      </c>
      <c r="Q1813">
        <f>'[1]Processed Data'!Q1813</f>
        <v>0</v>
      </c>
    </row>
    <row r="1814" spans="2:17" hidden="1">
      <c r="B1814">
        <f>'[1]Processed Data'!B1814</f>
        <v>2010</v>
      </c>
      <c r="C1814">
        <f>'[1]Processed Data'!C1814</f>
        <v>131</v>
      </c>
      <c r="D1814" t="str">
        <f>'[1]Processed Data'!D1814</f>
        <v>Jeff Driskel</v>
      </c>
      <c r="E1814">
        <v>2004</v>
      </c>
      <c r="F1814">
        <f>'[1]Processed Data'!F1814</f>
        <v>0</v>
      </c>
      <c r="G1814">
        <f>'[1]Processed Data'!G1814</f>
        <v>0</v>
      </c>
      <c r="H1814">
        <f>'[1]Processed Data'!H1814</f>
        <v>0</v>
      </c>
      <c r="I1814">
        <f>'[1]Processed Data'!I1814</f>
        <v>0</v>
      </c>
      <c r="J1814">
        <f>'[1]Processed Data'!J1814</f>
        <v>0</v>
      </c>
      <c r="K1814">
        <f>'[1]Processed Data'!K1814</f>
        <v>0</v>
      </c>
      <c r="L1814">
        <f>'[1]Processed Data'!L1814</f>
        <v>0</v>
      </c>
      <c r="M1814">
        <f>'[1]Processed Data'!M1814</f>
        <v>0</v>
      </c>
      <c r="N1814">
        <f>'[1]Processed Data'!N1814</f>
        <v>0</v>
      </c>
      <c r="O1814">
        <f>'[1]Processed Data'!O1814</f>
        <v>0</v>
      </c>
      <c r="P1814">
        <f>'[1]Processed Data'!P1814</f>
        <v>0</v>
      </c>
      <c r="Q1814">
        <f>'[1]Processed Data'!Q1814</f>
        <v>0</v>
      </c>
    </row>
    <row r="1815" spans="2:17" hidden="1">
      <c r="B1815">
        <f>'[1]Processed Data'!B1815</f>
        <v>2010</v>
      </c>
      <c r="C1815">
        <f>'[1]Processed Data'!C1815</f>
        <v>132</v>
      </c>
      <c r="D1815" t="str">
        <f>'[1]Processed Data'!D1815</f>
        <v>Jacoby Brissett</v>
      </c>
      <c r="E1815">
        <v>2003</v>
      </c>
      <c r="F1815">
        <f>'[1]Processed Data'!F1815</f>
        <v>0</v>
      </c>
      <c r="G1815">
        <f>'[1]Processed Data'!G1815</f>
        <v>0</v>
      </c>
      <c r="H1815">
        <f>'[1]Processed Data'!H1815</f>
        <v>0</v>
      </c>
      <c r="I1815">
        <f>'[1]Processed Data'!I1815</f>
        <v>0</v>
      </c>
      <c r="J1815">
        <f>'[1]Processed Data'!J1815</f>
        <v>0</v>
      </c>
      <c r="K1815">
        <f>'[1]Processed Data'!K1815</f>
        <v>0</v>
      </c>
      <c r="L1815">
        <f>'[1]Processed Data'!L1815</f>
        <v>0</v>
      </c>
      <c r="M1815">
        <f>'[1]Processed Data'!M1815</f>
        <v>0</v>
      </c>
      <c r="N1815">
        <f>'[1]Processed Data'!N1815</f>
        <v>0</v>
      </c>
      <c r="O1815">
        <f>'[1]Processed Data'!O1815</f>
        <v>0</v>
      </c>
      <c r="P1815">
        <f>'[1]Processed Data'!P1815</f>
        <v>0</v>
      </c>
      <c r="Q1815">
        <f>'[1]Processed Data'!Q1815</f>
        <v>0</v>
      </c>
    </row>
    <row r="1816" spans="2:17" hidden="1">
      <c r="B1816">
        <f>'[1]Processed Data'!B1816</f>
        <v>2010</v>
      </c>
      <c r="C1816">
        <f>'[1]Processed Data'!C1816</f>
        <v>133</v>
      </c>
      <c r="D1816" t="str">
        <f>'[1]Processed Data'!D1816</f>
        <v>Mitchell Trubisky</v>
      </c>
      <c r="E1816">
        <v>2003</v>
      </c>
      <c r="F1816">
        <f>'[1]Processed Data'!F1816</f>
        <v>0</v>
      </c>
      <c r="G1816">
        <f>'[1]Processed Data'!G1816</f>
        <v>0</v>
      </c>
      <c r="H1816">
        <f>'[1]Processed Data'!H1816</f>
        <v>0</v>
      </c>
      <c r="I1816">
        <f>'[1]Processed Data'!I1816</f>
        <v>0</v>
      </c>
      <c r="J1816">
        <f>'[1]Processed Data'!J1816</f>
        <v>0</v>
      </c>
      <c r="K1816">
        <f>'[1]Processed Data'!K1816</f>
        <v>0</v>
      </c>
      <c r="L1816">
        <f>'[1]Processed Data'!L1816</f>
        <v>0</v>
      </c>
      <c r="M1816">
        <f>'[1]Processed Data'!M1816</f>
        <v>0</v>
      </c>
      <c r="N1816">
        <f>'[1]Processed Data'!N1816</f>
        <v>0</v>
      </c>
      <c r="O1816">
        <f>'[1]Processed Data'!O1816</f>
        <v>0</v>
      </c>
      <c r="P1816">
        <f>'[1]Processed Data'!P1816</f>
        <v>0</v>
      </c>
      <c r="Q1816">
        <f>'[1]Processed Data'!Q1816</f>
        <v>0</v>
      </c>
    </row>
    <row r="1817" spans="2:17" hidden="1">
      <c r="B1817">
        <f>'[1]Processed Data'!B1817</f>
        <v>2010</v>
      </c>
      <c r="C1817">
        <f>'[1]Processed Data'!C1817</f>
        <v>134</v>
      </c>
      <c r="D1817" t="str">
        <f>'[1]Processed Data'!D1817</f>
        <v>Taysom Hill</v>
      </c>
      <c r="E1817">
        <v>2003</v>
      </c>
      <c r="F1817">
        <f>'[1]Processed Data'!F1817</f>
        <v>0</v>
      </c>
      <c r="G1817">
        <f>'[1]Processed Data'!G1817</f>
        <v>0</v>
      </c>
      <c r="H1817">
        <f>'[1]Processed Data'!H1817</f>
        <v>0</v>
      </c>
      <c r="I1817">
        <f>'[1]Processed Data'!I1817</f>
        <v>0</v>
      </c>
      <c r="J1817">
        <f>'[1]Processed Data'!J1817</f>
        <v>0</v>
      </c>
      <c r="K1817">
        <f>'[1]Processed Data'!K1817</f>
        <v>0</v>
      </c>
      <c r="L1817">
        <f>'[1]Processed Data'!L1817</f>
        <v>0</v>
      </c>
      <c r="M1817">
        <f>'[1]Processed Data'!M1817</f>
        <v>0</v>
      </c>
      <c r="N1817">
        <f>'[1]Processed Data'!N1817</f>
        <v>0</v>
      </c>
      <c r="O1817">
        <f>'[1]Processed Data'!O1817</f>
        <v>0</v>
      </c>
      <c r="P1817">
        <f>'[1]Processed Data'!P1817</f>
        <v>0</v>
      </c>
      <c r="Q1817">
        <f>'[1]Processed Data'!Q1817</f>
        <v>0</v>
      </c>
    </row>
    <row r="1818" spans="2:17" hidden="1">
      <c r="B1818">
        <f>'[1]Processed Data'!B1818</f>
        <v>2010</v>
      </c>
      <c r="C1818">
        <f>'[1]Processed Data'!C1818</f>
        <v>135</v>
      </c>
      <c r="D1818" t="str">
        <f>'[1]Processed Data'!D1818</f>
        <v>Mason Rudolph</v>
      </c>
      <c r="E1818">
        <v>2003</v>
      </c>
      <c r="F1818">
        <f>'[1]Processed Data'!F1818</f>
        <v>0</v>
      </c>
      <c r="G1818">
        <f>'[1]Processed Data'!G1818</f>
        <v>0</v>
      </c>
      <c r="H1818">
        <f>'[1]Processed Data'!H1818</f>
        <v>0</v>
      </c>
      <c r="I1818">
        <f>'[1]Processed Data'!I1818</f>
        <v>0</v>
      </c>
      <c r="J1818">
        <f>'[1]Processed Data'!J1818</f>
        <v>0</v>
      </c>
      <c r="K1818">
        <f>'[1]Processed Data'!K1818</f>
        <v>0</v>
      </c>
      <c r="L1818">
        <f>'[1]Processed Data'!L1818</f>
        <v>0</v>
      </c>
      <c r="M1818">
        <f>'[1]Processed Data'!M1818</f>
        <v>0</v>
      </c>
      <c r="N1818">
        <f>'[1]Processed Data'!N1818</f>
        <v>0</v>
      </c>
      <c r="O1818">
        <f>'[1]Processed Data'!O1818</f>
        <v>0</v>
      </c>
      <c r="P1818">
        <f>'[1]Processed Data'!P1818</f>
        <v>0</v>
      </c>
      <c r="Q1818">
        <f>'[1]Processed Data'!Q1818</f>
        <v>0</v>
      </c>
    </row>
    <row r="1819" spans="2:17" hidden="1">
      <c r="B1819">
        <f>'[1]Processed Data'!B1819</f>
        <v>2010</v>
      </c>
      <c r="C1819">
        <f>'[1]Processed Data'!C1819</f>
        <v>136</v>
      </c>
      <c r="D1819" t="str">
        <f>'[1]Processed Data'!D1819</f>
        <v>Josh Rosen</v>
      </c>
      <c r="E1819">
        <v>2003</v>
      </c>
      <c r="F1819">
        <f>'[1]Processed Data'!F1819</f>
        <v>0</v>
      </c>
      <c r="G1819">
        <f>'[1]Processed Data'!G1819</f>
        <v>0</v>
      </c>
      <c r="H1819">
        <f>'[1]Processed Data'!H1819</f>
        <v>0</v>
      </c>
      <c r="I1819">
        <f>'[1]Processed Data'!I1819</f>
        <v>0</v>
      </c>
      <c r="J1819">
        <f>'[1]Processed Data'!J1819</f>
        <v>0</v>
      </c>
      <c r="K1819">
        <f>'[1]Processed Data'!K1819</f>
        <v>0</v>
      </c>
      <c r="L1819">
        <f>'[1]Processed Data'!L1819</f>
        <v>0</v>
      </c>
      <c r="M1819">
        <f>'[1]Processed Data'!M1819</f>
        <v>0</v>
      </c>
      <c r="N1819">
        <f>'[1]Processed Data'!N1819</f>
        <v>0</v>
      </c>
      <c r="O1819">
        <f>'[1]Processed Data'!O1819</f>
        <v>0</v>
      </c>
      <c r="P1819">
        <f>'[1]Processed Data'!P1819</f>
        <v>0</v>
      </c>
      <c r="Q1819">
        <f>'[1]Processed Data'!Q1819</f>
        <v>0</v>
      </c>
    </row>
    <row r="1820" spans="2:17" hidden="1">
      <c r="B1820">
        <f>'[1]Processed Data'!B1820</f>
        <v>2010</v>
      </c>
      <c r="C1820">
        <f>'[1]Processed Data'!C1820</f>
        <v>137</v>
      </c>
      <c r="D1820" t="str">
        <f>'[1]Processed Data'!D1820</f>
        <v>Sam Darnold</v>
      </c>
      <c r="E1820">
        <v>2003</v>
      </c>
      <c r="F1820">
        <f>'[1]Processed Data'!F1820</f>
        <v>0</v>
      </c>
      <c r="G1820">
        <f>'[1]Processed Data'!G1820</f>
        <v>0</v>
      </c>
      <c r="H1820">
        <f>'[1]Processed Data'!H1820</f>
        <v>0</v>
      </c>
      <c r="I1820">
        <f>'[1]Processed Data'!I1820</f>
        <v>0</v>
      </c>
      <c r="J1820">
        <f>'[1]Processed Data'!J1820</f>
        <v>0</v>
      </c>
      <c r="K1820">
        <f>'[1]Processed Data'!K1820</f>
        <v>0</v>
      </c>
      <c r="L1820">
        <f>'[1]Processed Data'!L1820</f>
        <v>0</v>
      </c>
      <c r="M1820">
        <f>'[1]Processed Data'!M1820</f>
        <v>0</v>
      </c>
      <c r="N1820">
        <f>'[1]Processed Data'!N1820</f>
        <v>0</v>
      </c>
      <c r="O1820">
        <f>'[1]Processed Data'!O1820</f>
        <v>0</v>
      </c>
      <c r="P1820">
        <f>'[1]Processed Data'!P1820</f>
        <v>0</v>
      </c>
      <c r="Q1820">
        <f>'[1]Processed Data'!Q1820</f>
        <v>0</v>
      </c>
    </row>
    <row r="1821" spans="2:17" hidden="1">
      <c r="B1821">
        <f>'[1]Processed Data'!B1821</f>
        <v>2010</v>
      </c>
      <c r="C1821">
        <f>'[1]Processed Data'!C1821</f>
        <v>138</v>
      </c>
      <c r="D1821" t="str">
        <f>'[1]Processed Data'!D1821</f>
        <v>Baker Mayfield</v>
      </c>
      <c r="E1821">
        <v>2003</v>
      </c>
      <c r="F1821">
        <f>'[1]Processed Data'!F1821</f>
        <v>0</v>
      </c>
      <c r="G1821">
        <f>'[1]Processed Data'!G1821</f>
        <v>0</v>
      </c>
      <c r="H1821">
        <f>'[1]Processed Data'!H1821</f>
        <v>0</v>
      </c>
      <c r="I1821">
        <f>'[1]Processed Data'!I1821</f>
        <v>0</v>
      </c>
      <c r="J1821">
        <f>'[1]Processed Data'!J1821</f>
        <v>0</v>
      </c>
      <c r="K1821">
        <f>'[1]Processed Data'!K1821</f>
        <v>0</v>
      </c>
      <c r="L1821">
        <f>'[1]Processed Data'!L1821</f>
        <v>0</v>
      </c>
      <c r="M1821">
        <f>'[1]Processed Data'!M1821</f>
        <v>0</v>
      </c>
      <c r="N1821">
        <f>'[1]Processed Data'!N1821</f>
        <v>0</v>
      </c>
      <c r="O1821">
        <f>'[1]Processed Data'!O1821</f>
        <v>0</v>
      </c>
      <c r="P1821">
        <f>'[1]Processed Data'!P1821</f>
        <v>0</v>
      </c>
      <c r="Q1821">
        <f>'[1]Processed Data'!Q1821</f>
        <v>0</v>
      </c>
    </row>
    <row r="1822" spans="2:17" hidden="1">
      <c r="B1822">
        <f>'[1]Processed Data'!B1822</f>
        <v>2010</v>
      </c>
      <c r="C1822">
        <f>'[1]Processed Data'!C1822</f>
        <v>139</v>
      </c>
      <c r="D1822" t="str">
        <f>'[1]Processed Data'!D1822</f>
        <v>Logan Woodside</v>
      </c>
      <c r="E1822">
        <v>2003</v>
      </c>
      <c r="F1822">
        <f>'[1]Processed Data'!F1822</f>
        <v>0</v>
      </c>
      <c r="G1822">
        <f>'[1]Processed Data'!G1822</f>
        <v>0</v>
      </c>
      <c r="H1822">
        <f>'[1]Processed Data'!H1822</f>
        <v>0</v>
      </c>
      <c r="I1822">
        <f>'[1]Processed Data'!I1822</f>
        <v>0</v>
      </c>
      <c r="J1822">
        <f>'[1]Processed Data'!J1822</f>
        <v>0</v>
      </c>
      <c r="K1822">
        <f>'[1]Processed Data'!K1822</f>
        <v>0</v>
      </c>
      <c r="L1822">
        <f>'[1]Processed Data'!L1822</f>
        <v>0</v>
      </c>
      <c r="M1822">
        <f>'[1]Processed Data'!M1822</f>
        <v>0</v>
      </c>
      <c r="N1822">
        <f>'[1]Processed Data'!N1822</f>
        <v>0</v>
      </c>
      <c r="O1822">
        <f>'[1]Processed Data'!O1822</f>
        <v>0</v>
      </c>
      <c r="P1822">
        <f>'[1]Processed Data'!P1822</f>
        <v>0</v>
      </c>
      <c r="Q1822">
        <f>'[1]Processed Data'!Q1822</f>
        <v>0</v>
      </c>
    </row>
    <row r="1823" spans="2:17" hidden="1">
      <c r="B1823">
        <f>'[1]Processed Data'!B1823</f>
        <v>2010</v>
      </c>
      <c r="C1823">
        <f>'[1]Processed Data'!C1823</f>
        <v>140</v>
      </c>
      <c r="D1823" t="str">
        <f>'[1]Processed Data'!D1823</f>
        <v>Josh Allen</v>
      </c>
      <c r="E1823">
        <v>2002</v>
      </c>
      <c r="F1823">
        <f>'[1]Processed Data'!F1823</f>
        <v>0</v>
      </c>
      <c r="G1823">
        <f>'[1]Processed Data'!G1823</f>
        <v>0</v>
      </c>
      <c r="H1823">
        <f>'[1]Processed Data'!H1823</f>
        <v>0</v>
      </c>
      <c r="I1823">
        <f>'[1]Processed Data'!I1823</f>
        <v>0</v>
      </c>
      <c r="J1823">
        <f>'[1]Processed Data'!J1823</f>
        <v>0</v>
      </c>
      <c r="K1823">
        <f>'[1]Processed Data'!K1823</f>
        <v>0</v>
      </c>
      <c r="L1823">
        <f>'[1]Processed Data'!L1823</f>
        <v>0</v>
      </c>
      <c r="M1823">
        <f>'[1]Processed Data'!M1823</f>
        <v>0</v>
      </c>
      <c r="N1823">
        <f>'[1]Processed Data'!N1823</f>
        <v>0</v>
      </c>
      <c r="O1823">
        <f>'[1]Processed Data'!O1823</f>
        <v>0</v>
      </c>
      <c r="P1823">
        <f>'[1]Processed Data'!P1823</f>
        <v>0</v>
      </c>
      <c r="Q1823">
        <f>'[1]Processed Data'!Q1823</f>
        <v>0</v>
      </c>
    </row>
    <row r="1824" spans="2:17" hidden="1">
      <c r="B1824">
        <f>'[1]Processed Data'!B1824</f>
        <v>2010</v>
      </c>
      <c r="C1824">
        <f>'[1]Processed Data'!C1824</f>
        <v>141</v>
      </c>
      <c r="D1824" t="str">
        <f>'[1]Processed Data'!D1824</f>
        <v>P.J. Walker</v>
      </c>
      <c r="E1824">
        <v>2002</v>
      </c>
      <c r="F1824">
        <f>'[1]Processed Data'!F1824</f>
        <v>0</v>
      </c>
      <c r="G1824">
        <f>'[1]Processed Data'!G1824</f>
        <v>0</v>
      </c>
      <c r="H1824">
        <f>'[1]Processed Data'!H1824</f>
        <v>0</v>
      </c>
      <c r="I1824">
        <f>'[1]Processed Data'!I1824</f>
        <v>0</v>
      </c>
      <c r="J1824">
        <f>'[1]Processed Data'!J1824</f>
        <v>0</v>
      </c>
      <c r="K1824">
        <f>'[1]Processed Data'!K1824</f>
        <v>0</v>
      </c>
      <c r="L1824">
        <f>'[1]Processed Data'!L1824</f>
        <v>0</v>
      </c>
      <c r="M1824">
        <f>'[1]Processed Data'!M1824</f>
        <v>0</v>
      </c>
      <c r="N1824">
        <f>'[1]Processed Data'!N1824</f>
        <v>0</v>
      </c>
      <c r="O1824">
        <f>'[1]Processed Data'!O1824</f>
        <v>0</v>
      </c>
      <c r="P1824">
        <f>'[1]Processed Data'!P1824</f>
        <v>0</v>
      </c>
      <c r="Q1824">
        <f>'[1]Processed Data'!Q1824</f>
        <v>0</v>
      </c>
    </row>
    <row r="1825" spans="2:17" hidden="1">
      <c r="B1825">
        <f>'[1]Processed Data'!B1825</f>
        <v>2010</v>
      </c>
      <c r="C1825">
        <f>'[1]Processed Data'!C1825</f>
        <v>142</v>
      </c>
      <c r="D1825" t="str">
        <f>'[1]Processed Data'!D1825</f>
        <v>Davis Webb</v>
      </c>
      <c r="E1825">
        <v>2002</v>
      </c>
      <c r="F1825">
        <f>'[1]Processed Data'!F1825</f>
        <v>0</v>
      </c>
      <c r="G1825">
        <f>'[1]Processed Data'!G1825</f>
        <v>0</v>
      </c>
      <c r="H1825">
        <f>'[1]Processed Data'!H1825</f>
        <v>0</v>
      </c>
      <c r="I1825">
        <f>'[1]Processed Data'!I1825</f>
        <v>0</v>
      </c>
      <c r="J1825">
        <f>'[1]Processed Data'!J1825</f>
        <v>0</v>
      </c>
      <c r="K1825">
        <f>'[1]Processed Data'!K1825</f>
        <v>0</v>
      </c>
      <c r="L1825">
        <f>'[1]Processed Data'!L1825</f>
        <v>0</v>
      </c>
      <c r="M1825">
        <f>'[1]Processed Data'!M1825</f>
        <v>0</v>
      </c>
      <c r="N1825">
        <f>'[1]Processed Data'!N1825</f>
        <v>0</v>
      </c>
      <c r="O1825">
        <f>'[1]Processed Data'!O1825</f>
        <v>0</v>
      </c>
      <c r="P1825">
        <f>'[1]Processed Data'!P1825</f>
        <v>0</v>
      </c>
      <c r="Q1825">
        <f>'[1]Processed Data'!Q1825</f>
        <v>0</v>
      </c>
    </row>
    <row r="1826" spans="2:17" hidden="1">
      <c r="B1826">
        <f>'[1]Processed Data'!B1826</f>
        <v>2010</v>
      </c>
      <c r="C1826">
        <f>'[1]Processed Data'!C1826</f>
        <v>143</v>
      </c>
      <c r="D1826" t="str">
        <f>'[1]Processed Data'!D1826</f>
        <v>Deshaun Watson</v>
      </c>
      <c r="E1826">
        <v>2002</v>
      </c>
      <c r="F1826">
        <f>'[1]Processed Data'!F1826</f>
        <v>0</v>
      </c>
      <c r="G1826">
        <f>'[1]Processed Data'!G1826</f>
        <v>0</v>
      </c>
      <c r="H1826">
        <f>'[1]Processed Data'!H1826</f>
        <v>0</v>
      </c>
      <c r="I1826">
        <f>'[1]Processed Data'!I1826</f>
        <v>0</v>
      </c>
      <c r="J1826">
        <f>'[1]Processed Data'!J1826</f>
        <v>0</v>
      </c>
      <c r="K1826">
        <f>'[1]Processed Data'!K1826</f>
        <v>0</v>
      </c>
      <c r="L1826">
        <f>'[1]Processed Data'!L1826</f>
        <v>0</v>
      </c>
      <c r="M1826">
        <f>'[1]Processed Data'!M1826</f>
        <v>0</v>
      </c>
      <c r="N1826">
        <f>'[1]Processed Data'!N1826</f>
        <v>0</v>
      </c>
      <c r="O1826">
        <f>'[1]Processed Data'!O1826</f>
        <v>0</v>
      </c>
      <c r="P1826">
        <f>'[1]Processed Data'!P1826</f>
        <v>0</v>
      </c>
      <c r="Q1826">
        <f>'[1]Processed Data'!Q1826</f>
        <v>0</v>
      </c>
    </row>
    <row r="1827" spans="2:17" hidden="1">
      <c r="B1827">
        <f>'[1]Processed Data'!B1827</f>
        <v>2010</v>
      </c>
      <c r="C1827">
        <f>'[1]Processed Data'!C1827</f>
        <v>144</v>
      </c>
      <c r="D1827" t="str">
        <f>'[1]Processed Data'!D1827</f>
        <v>Patrick Mahomes II</v>
      </c>
      <c r="E1827">
        <v>2002</v>
      </c>
      <c r="F1827">
        <f>'[1]Processed Data'!F1827</f>
        <v>0</v>
      </c>
      <c r="G1827">
        <f>'[1]Processed Data'!G1827</f>
        <v>0</v>
      </c>
      <c r="H1827">
        <f>'[1]Processed Data'!H1827</f>
        <v>0</v>
      </c>
      <c r="I1827">
        <f>'[1]Processed Data'!I1827</f>
        <v>0</v>
      </c>
      <c r="J1827">
        <f>'[1]Processed Data'!J1827</f>
        <v>0</v>
      </c>
      <c r="K1827">
        <f>'[1]Processed Data'!K1827</f>
        <v>0</v>
      </c>
      <c r="L1827">
        <f>'[1]Processed Data'!L1827</f>
        <v>0</v>
      </c>
      <c r="M1827">
        <f>'[1]Processed Data'!M1827</f>
        <v>0</v>
      </c>
      <c r="N1827">
        <f>'[1]Processed Data'!N1827</f>
        <v>0</v>
      </c>
      <c r="O1827">
        <f>'[1]Processed Data'!O1827</f>
        <v>0</v>
      </c>
      <c r="P1827">
        <f>'[1]Processed Data'!P1827</f>
        <v>0</v>
      </c>
      <c r="Q1827">
        <f>'[1]Processed Data'!Q1827</f>
        <v>0</v>
      </c>
    </row>
    <row r="1828" spans="2:17" hidden="1">
      <c r="B1828">
        <f>'[1]Processed Data'!B1828</f>
        <v>2010</v>
      </c>
      <c r="C1828">
        <f>'[1]Processed Data'!C1828</f>
        <v>145</v>
      </c>
      <c r="D1828" t="str">
        <f>'[1]Processed Data'!D1828</f>
        <v>Joshua Dobbs</v>
      </c>
      <c r="E1828">
        <v>2002</v>
      </c>
      <c r="F1828">
        <f>'[1]Processed Data'!F1828</f>
        <v>0</v>
      </c>
      <c r="G1828">
        <f>'[1]Processed Data'!G1828</f>
        <v>0</v>
      </c>
      <c r="H1828">
        <f>'[1]Processed Data'!H1828</f>
        <v>0</v>
      </c>
      <c r="I1828">
        <f>'[1]Processed Data'!I1828</f>
        <v>0</v>
      </c>
      <c r="J1828">
        <f>'[1]Processed Data'!J1828</f>
        <v>0</v>
      </c>
      <c r="K1828">
        <f>'[1]Processed Data'!K1828</f>
        <v>0</v>
      </c>
      <c r="L1828">
        <f>'[1]Processed Data'!L1828</f>
        <v>0</v>
      </c>
      <c r="M1828">
        <f>'[1]Processed Data'!M1828</f>
        <v>0</v>
      </c>
      <c r="N1828">
        <f>'[1]Processed Data'!N1828</f>
        <v>0</v>
      </c>
      <c r="O1828">
        <f>'[1]Processed Data'!O1828</f>
        <v>0</v>
      </c>
      <c r="P1828">
        <f>'[1]Processed Data'!P1828</f>
        <v>0</v>
      </c>
      <c r="Q1828">
        <f>'[1]Processed Data'!Q1828</f>
        <v>0</v>
      </c>
    </row>
    <row r="1829" spans="2:17" hidden="1">
      <c r="B1829">
        <f>'[1]Processed Data'!B1829</f>
        <v>2010</v>
      </c>
      <c r="C1829">
        <f>'[1]Processed Data'!C1829</f>
        <v>146</v>
      </c>
      <c r="D1829" t="str">
        <f>'[1]Processed Data'!D1829</f>
        <v>C.J. Beathard</v>
      </c>
      <c r="E1829">
        <v>2002</v>
      </c>
      <c r="F1829">
        <f>'[1]Processed Data'!F1829</f>
        <v>0</v>
      </c>
      <c r="G1829">
        <f>'[1]Processed Data'!G1829</f>
        <v>0</v>
      </c>
      <c r="H1829">
        <f>'[1]Processed Data'!H1829</f>
        <v>0</v>
      </c>
      <c r="I1829">
        <f>'[1]Processed Data'!I1829</f>
        <v>0</v>
      </c>
      <c r="J1829">
        <f>'[1]Processed Data'!J1829</f>
        <v>0</v>
      </c>
      <c r="K1829">
        <f>'[1]Processed Data'!K1829</f>
        <v>0</v>
      </c>
      <c r="L1829">
        <f>'[1]Processed Data'!L1829</f>
        <v>0</v>
      </c>
      <c r="M1829">
        <f>'[1]Processed Data'!M1829</f>
        <v>0</v>
      </c>
      <c r="N1829">
        <f>'[1]Processed Data'!N1829</f>
        <v>0</v>
      </c>
      <c r="O1829">
        <f>'[1]Processed Data'!O1829</f>
        <v>0</v>
      </c>
      <c r="P1829">
        <f>'[1]Processed Data'!P1829</f>
        <v>0</v>
      </c>
      <c r="Q1829">
        <f>'[1]Processed Data'!Q1829</f>
        <v>0</v>
      </c>
    </row>
  </sheetData>
  <mergeCells count="3">
    <mergeCell ref="F2:K2"/>
    <mergeCell ref="L2:N2"/>
    <mergeCell ref="O2:Q2"/>
  </mergeCells>
  <pageMargins left="0.7" right="0.7" top="0.75" bottom="0.75" header="0.3" footer="0.3"/>
  <ignoredErrors>
    <ignoredError sqref="B173:Q564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9110-DF91-4E6B-BC2C-43A65F5B5FBB}">
  <dimension ref="A1:M97"/>
  <sheetViews>
    <sheetView workbookViewId="0">
      <pane ySplit="1" topLeftCell="A2" activePane="bottomLeft" state="frozen"/>
      <selection pane="bottomLeft" activeCell="L98" sqref="L98"/>
    </sheetView>
  </sheetViews>
  <sheetFormatPr defaultRowHeight="14.45"/>
  <cols>
    <col min="1" max="1" width="19.42578125" bestFit="1" customWidth="1"/>
    <col min="2" max="3" width="6.5703125" style="4" bestFit="1" customWidth="1"/>
    <col min="4" max="4" width="5.5703125" style="4" bestFit="1" customWidth="1"/>
    <col min="5" max="6" width="4.5703125" style="4" bestFit="1" customWidth="1"/>
    <col min="7" max="7" width="6.5703125" style="4" bestFit="1" customWidth="1"/>
    <col min="8" max="8" width="8.5703125" style="4" bestFit="1" customWidth="1"/>
    <col min="9" max="9" width="6.28515625" style="4" bestFit="1" customWidth="1"/>
    <col min="10" max="10" width="6.5703125" style="4" bestFit="1" customWidth="1"/>
    <col min="11" max="11" width="5.28515625" style="4" bestFit="1" customWidth="1"/>
    <col min="12" max="12" width="10.28515625" style="4" bestFit="1" customWidth="1"/>
    <col min="13" max="13" width="5.7109375" style="4" bestFit="1" customWidth="1"/>
  </cols>
  <sheetData>
    <row r="1" spans="1:13">
      <c r="A1" t="s">
        <v>246</v>
      </c>
      <c r="B1" t="s">
        <v>260</v>
      </c>
      <c r="C1" t="s">
        <v>248</v>
      </c>
      <c r="D1" t="s">
        <v>261</v>
      </c>
      <c r="E1" t="s">
        <v>252</v>
      </c>
      <c r="F1" t="s">
        <v>211</v>
      </c>
      <c r="G1" t="s">
        <v>212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253</v>
      </c>
    </row>
    <row r="2" spans="1:13">
      <c r="A2" s="5" t="s">
        <v>35</v>
      </c>
      <c r="B2" s="4">
        <v>1349</v>
      </c>
      <c r="C2" s="4">
        <v>857</v>
      </c>
      <c r="D2" s="4">
        <v>93</v>
      </c>
      <c r="E2" s="4">
        <v>29</v>
      </c>
      <c r="F2" s="4">
        <v>8.3000000000000007</v>
      </c>
      <c r="G2" s="4">
        <v>8.8000000000000007</v>
      </c>
      <c r="H2" s="4">
        <v>152</v>
      </c>
      <c r="I2" s="4">
        <v>308</v>
      </c>
      <c r="J2" s="4">
        <v>845</v>
      </c>
      <c r="K2" s="4">
        <v>22</v>
      </c>
      <c r="L2" s="4">
        <v>5566</v>
      </c>
      <c r="M2" s="4">
        <v>61</v>
      </c>
    </row>
    <row r="3" spans="1:13">
      <c r="A3" s="5" t="s">
        <v>22</v>
      </c>
      <c r="B3" s="4">
        <v>1207</v>
      </c>
      <c r="C3" s="4">
        <v>814</v>
      </c>
      <c r="D3" s="4">
        <v>90</v>
      </c>
      <c r="E3" s="4">
        <v>32</v>
      </c>
      <c r="F3" s="4">
        <v>8.4</v>
      </c>
      <c r="G3" s="4">
        <v>8.6999999999999993</v>
      </c>
      <c r="H3" s="4">
        <v>157.5</v>
      </c>
      <c r="I3" s="4">
        <v>435</v>
      </c>
      <c r="J3" s="4">
        <v>1934</v>
      </c>
      <c r="K3" s="4">
        <v>26</v>
      </c>
      <c r="L3" s="4">
        <f>2546+3345+1904</f>
        <v>7795</v>
      </c>
      <c r="M3" s="4">
        <v>40</v>
      </c>
    </row>
    <row r="4" spans="1:13">
      <c r="A4" s="5" t="s">
        <v>20</v>
      </c>
      <c r="B4" s="4">
        <v>519</v>
      </c>
      <c r="C4" s="4">
        <v>350</v>
      </c>
      <c r="D4" s="4">
        <v>50</v>
      </c>
      <c r="E4" s="4">
        <v>14</v>
      </c>
      <c r="F4" s="4">
        <v>10.4</v>
      </c>
      <c r="G4" s="4">
        <v>11.1</v>
      </c>
      <c r="H4" s="4">
        <v>181.3</v>
      </c>
      <c r="I4" s="4">
        <v>207</v>
      </c>
      <c r="J4" s="4">
        <v>1478</v>
      </c>
      <c r="K4" s="4">
        <v>13</v>
      </c>
      <c r="L4" s="4">
        <f>2198+3049+3464</f>
        <v>8711</v>
      </c>
      <c r="M4" s="4">
        <v>26</v>
      </c>
    </row>
    <row r="5" spans="1:13">
      <c r="A5" s="5" t="s">
        <v>31</v>
      </c>
      <c r="B5" s="4">
        <v>649</v>
      </c>
      <c r="C5" s="4">
        <v>365</v>
      </c>
      <c r="D5" s="4">
        <v>44</v>
      </c>
      <c r="E5" s="4">
        <v>21</v>
      </c>
      <c r="F5" s="4">
        <v>7.8</v>
      </c>
      <c r="G5" s="4">
        <v>7.7</v>
      </c>
      <c r="H5" s="4">
        <v>137.69999999999999</v>
      </c>
      <c r="I5" s="4">
        <v>237</v>
      </c>
      <c r="J5" s="4">
        <v>767</v>
      </c>
      <c r="K5" s="4">
        <v>12</v>
      </c>
      <c r="L5" s="4">
        <f>2081+2865+1414</f>
        <v>6360</v>
      </c>
      <c r="M5" s="4">
        <f>22+27</f>
        <v>49</v>
      </c>
    </row>
    <row r="6" spans="1:13">
      <c r="A6" s="5" t="s">
        <v>29</v>
      </c>
      <c r="B6" s="4">
        <v>1086</v>
      </c>
      <c r="C6" s="4">
        <v>619</v>
      </c>
      <c r="D6" s="4">
        <v>69</v>
      </c>
      <c r="E6" s="4">
        <v>27</v>
      </c>
      <c r="F6" s="4">
        <v>8.3000000000000007</v>
      </c>
      <c r="G6" s="4">
        <v>8.5</v>
      </c>
      <c r="H6" s="4">
        <v>142.9</v>
      </c>
      <c r="I6" s="4">
        <v>655</v>
      </c>
      <c r="J6" s="4">
        <v>4132</v>
      </c>
      <c r="K6" s="4">
        <v>50</v>
      </c>
      <c r="L6" s="4">
        <f>3186+3148+2223</f>
        <v>8557</v>
      </c>
      <c r="M6" s="4">
        <f>26+46+29</f>
        <v>101</v>
      </c>
    </row>
    <row r="7" spans="1:13">
      <c r="A7" s="5" t="s">
        <v>61</v>
      </c>
      <c r="B7" s="4">
        <v>1169</v>
      </c>
      <c r="C7" s="4">
        <v>734</v>
      </c>
      <c r="D7" s="4">
        <v>70</v>
      </c>
      <c r="E7" s="4">
        <v>23</v>
      </c>
      <c r="F7" s="4">
        <v>8</v>
      </c>
      <c r="G7" s="4">
        <v>8.3000000000000007</v>
      </c>
      <c r="H7" s="4">
        <v>146</v>
      </c>
      <c r="I7" s="4">
        <v>536</v>
      </c>
      <c r="J7" s="4">
        <v>2521</v>
      </c>
      <c r="K7" s="4">
        <v>41</v>
      </c>
      <c r="L7" s="4">
        <f>1866+2469+3030+1873</f>
        <v>9238</v>
      </c>
      <c r="M7" s="4">
        <v>62</v>
      </c>
    </row>
    <row r="8" spans="1:13">
      <c r="A8" s="5" t="s">
        <v>26</v>
      </c>
      <c r="B8" s="4">
        <v>612</v>
      </c>
      <c r="C8" s="4">
        <v>392</v>
      </c>
      <c r="D8" s="4">
        <v>45</v>
      </c>
      <c r="E8" s="4">
        <v>14</v>
      </c>
      <c r="F8" s="4">
        <v>8.4</v>
      </c>
      <c r="G8" s="4">
        <v>8.8000000000000007</v>
      </c>
      <c r="H8" s="4">
        <v>153.9</v>
      </c>
      <c r="I8" s="4">
        <v>216</v>
      </c>
      <c r="J8" s="4">
        <v>1028</v>
      </c>
      <c r="K8" s="4">
        <v>13</v>
      </c>
      <c r="L8" s="4">
        <f>3860+3052+3764+3551</f>
        <v>14227</v>
      </c>
      <c r="M8" s="4">
        <v>30</v>
      </c>
    </row>
    <row r="9" spans="1:13">
      <c r="A9" s="5" t="s">
        <v>104</v>
      </c>
      <c r="B9" s="4">
        <v>1168</v>
      </c>
      <c r="C9" s="4">
        <v>761</v>
      </c>
      <c r="D9" s="4">
        <v>62</v>
      </c>
      <c r="E9" s="4">
        <v>20</v>
      </c>
      <c r="F9" s="4">
        <v>7.1</v>
      </c>
      <c r="G9" s="4">
        <v>7.4</v>
      </c>
      <c r="H9" s="4">
        <v>138.69999999999999</v>
      </c>
      <c r="I9" s="4">
        <v>96</v>
      </c>
      <c r="J9" s="4">
        <v>43</v>
      </c>
      <c r="K9" s="4">
        <v>4</v>
      </c>
      <c r="L9" s="4">
        <f>1589+1292+1010</f>
        <v>3891</v>
      </c>
      <c r="M9" s="4">
        <v>30</v>
      </c>
    </row>
    <row r="10" spans="1:13">
      <c r="A10" s="5" t="s">
        <v>23</v>
      </c>
      <c r="B10" s="4">
        <v>851</v>
      </c>
      <c r="C10" s="4">
        <v>562</v>
      </c>
      <c r="D10" s="4">
        <v>65</v>
      </c>
      <c r="E10" s="4">
        <v>28</v>
      </c>
      <c r="F10" s="4">
        <v>9.4</v>
      </c>
      <c r="G10" s="4">
        <v>9.4</v>
      </c>
      <c r="H10" s="4">
        <v>163.30000000000001</v>
      </c>
      <c r="I10" s="4">
        <v>145</v>
      </c>
      <c r="J10" s="4">
        <v>284</v>
      </c>
      <c r="K10" s="4">
        <v>7</v>
      </c>
      <c r="L10" s="4">
        <f>2844+1933</f>
        <v>4777</v>
      </c>
      <c r="M10" s="4">
        <v>44</v>
      </c>
    </row>
    <row r="11" spans="1:13">
      <c r="A11" s="5" t="s">
        <v>27</v>
      </c>
      <c r="B11" s="4">
        <v>1568</v>
      </c>
      <c r="C11" s="4">
        <v>977</v>
      </c>
      <c r="D11" s="4">
        <v>96</v>
      </c>
      <c r="E11" s="4">
        <v>30</v>
      </c>
      <c r="F11" s="4">
        <v>7.8</v>
      </c>
      <c r="G11" s="4">
        <v>8.1</v>
      </c>
      <c r="H11" s="4">
        <v>144</v>
      </c>
      <c r="I11" s="4">
        <v>170</v>
      </c>
      <c r="J11" s="4">
        <v>-114</v>
      </c>
      <c r="K11" s="4">
        <v>1</v>
      </c>
      <c r="L11" s="4">
        <f>1466+1760+1987</f>
        <v>5213</v>
      </c>
      <c r="M11" s="4">
        <f>32+52</f>
        <v>84</v>
      </c>
    </row>
    <row r="12" spans="1:13">
      <c r="A12" s="5" t="s">
        <v>19</v>
      </c>
      <c r="B12" s="4">
        <v>1167</v>
      </c>
      <c r="C12" s="4">
        <v>779</v>
      </c>
      <c r="D12" s="4">
        <v>105</v>
      </c>
      <c r="E12" s="4">
        <v>14</v>
      </c>
      <c r="F12" s="4">
        <v>9.3000000000000007</v>
      </c>
      <c r="G12" s="4">
        <v>10.5</v>
      </c>
      <c r="H12" s="4">
        <v>171.8</v>
      </c>
      <c r="I12" s="4">
        <v>337</v>
      </c>
      <c r="J12" s="4">
        <v>2237</v>
      </c>
      <c r="K12" s="4">
        <v>29</v>
      </c>
      <c r="L12" s="4">
        <f>4098+3556+3518</f>
        <v>11172</v>
      </c>
      <c r="M12" s="4">
        <f>31+17+18</f>
        <v>66</v>
      </c>
    </row>
    <row r="13" spans="1:13">
      <c r="A13" s="5" t="s">
        <v>24</v>
      </c>
      <c r="B13" s="4">
        <v>1497</v>
      </c>
      <c r="C13" s="4">
        <v>1026</v>
      </c>
      <c r="D13" s="4">
        <v>131</v>
      </c>
      <c r="E13" s="4">
        <v>30</v>
      </c>
      <c r="F13" s="4">
        <v>9.8000000000000007</v>
      </c>
      <c r="G13" s="4">
        <v>10.6</v>
      </c>
      <c r="H13" s="4">
        <v>175.4</v>
      </c>
      <c r="I13" s="4">
        <v>404</v>
      </c>
      <c r="J13" s="4">
        <v>1083</v>
      </c>
      <c r="K13" s="4">
        <v>21</v>
      </c>
      <c r="L13" s="4">
        <f>1536+2887+3078+3049</f>
        <v>10550</v>
      </c>
      <c r="M13" s="4">
        <f>24+39+18+26</f>
        <v>107</v>
      </c>
    </row>
    <row r="14" spans="1:13">
      <c r="A14" s="5" t="s">
        <v>39</v>
      </c>
      <c r="B14" s="4">
        <v>1275</v>
      </c>
      <c r="C14" s="4">
        <v>764</v>
      </c>
      <c r="D14" s="4">
        <v>52</v>
      </c>
      <c r="E14" s="4">
        <v>29</v>
      </c>
      <c r="F14" s="4">
        <v>6.4</v>
      </c>
      <c r="G14" s="4">
        <v>6.2</v>
      </c>
      <c r="H14" s="4">
        <v>122.9</v>
      </c>
      <c r="I14" s="4">
        <v>406</v>
      </c>
      <c r="J14" s="4">
        <v>1323</v>
      </c>
      <c r="K14" s="4">
        <v>17</v>
      </c>
      <c r="L14" s="4">
        <f>1843+2288</f>
        <v>4131</v>
      </c>
      <c r="M14" s="4">
        <f>56+29</f>
        <v>85</v>
      </c>
    </row>
    <row r="15" spans="1:13">
      <c r="A15" s="5" t="s">
        <v>21</v>
      </c>
      <c r="B15" s="4">
        <v>572</v>
      </c>
      <c r="C15" s="4">
        <v>386</v>
      </c>
      <c r="D15" s="4">
        <v>41</v>
      </c>
      <c r="E15" s="4">
        <v>10</v>
      </c>
      <c r="F15" s="4">
        <v>8.3000000000000007</v>
      </c>
      <c r="G15" s="4">
        <v>9</v>
      </c>
      <c r="H15" s="4">
        <v>157.6</v>
      </c>
      <c r="I15" s="4">
        <v>120</v>
      </c>
      <c r="J15" s="4">
        <v>439</v>
      </c>
      <c r="K15" s="4">
        <v>8</v>
      </c>
      <c r="L15" s="4">
        <f>1973+3142+1896</f>
        <v>7011</v>
      </c>
      <c r="M15" s="4">
        <v>23</v>
      </c>
    </row>
    <row r="16" spans="1:13">
      <c r="A16" s="5" t="s">
        <v>25</v>
      </c>
      <c r="B16" s="4">
        <v>846</v>
      </c>
      <c r="C16" s="4">
        <v>549</v>
      </c>
      <c r="D16" s="4">
        <v>57</v>
      </c>
      <c r="E16" s="4">
        <v>22</v>
      </c>
      <c r="F16" s="4">
        <v>8.5</v>
      </c>
      <c r="G16" s="4">
        <v>8.6999999999999993</v>
      </c>
      <c r="H16" s="4">
        <v>153.69999999999999</v>
      </c>
      <c r="I16" s="4">
        <v>137</v>
      </c>
      <c r="J16" s="4">
        <v>332</v>
      </c>
      <c r="K16" s="4">
        <v>7</v>
      </c>
      <c r="L16" s="4">
        <f>2591+2609</f>
        <v>5200</v>
      </c>
      <c r="M16" s="4">
        <f>6+29</f>
        <v>35</v>
      </c>
    </row>
    <row r="17" spans="1:13">
      <c r="A17" s="5" t="s">
        <v>43</v>
      </c>
      <c r="B17" s="4">
        <v>1553</v>
      </c>
      <c r="C17" s="4">
        <v>883</v>
      </c>
      <c r="D17" s="4">
        <v>99</v>
      </c>
      <c r="E17" s="4">
        <v>39</v>
      </c>
      <c r="F17" s="4">
        <v>7.9</v>
      </c>
      <c r="G17" s="4">
        <v>8</v>
      </c>
      <c r="H17" s="4">
        <v>138.80000000000001</v>
      </c>
      <c r="I17" s="4">
        <v>202</v>
      </c>
      <c r="J17" s="4">
        <v>437</v>
      </c>
      <c r="K17" s="4">
        <v>9</v>
      </c>
      <c r="L17" s="4">
        <f>1375+2461+2516+2631</f>
        <v>8983</v>
      </c>
      <c r="M17" s="4">
        <f>26+25+11</f>
        <v>62</v>
      </c>
    </row>
    <row r="18" spans="1:13">
      <c r="A18" s="5" t="s">
        <v>122</v>
      </c>
      <c r="B18" s="4">
        <v>1546</v>
      </c>
      <c r="C18" s="4">
        <v>928</v>
      </c>
      <c r="D18" s="4">
        <v>87</v>
      </c>
      <c r="E18" s="4">
        <v>46</v>
      </c>
      <c r="F18" s="4">
        <v>7.8</v>
      </c>
      <c r="G18" s="4">
        <v>7.5</v>
      </c>
      <c r="H18" s="4">
        <v>137.80000000000001</v>
      </c>
      <c r="I18" s="4">
        <v>183</v>
      </c>
      <c r="J18" s="4">
        <v>-210</v>
      </c>
      <c r="K18" s="4">
        <v>9</v>
      </c>
      <c r="L18" s="4">
        <f>2264+2517+1149+875</f>
        <v>6805</v>
      </c>
      <c r="M18" s="4">
        <f>25+21+24+19</f>
        <v>89</v>
      </c>
    </row>
    <row r="19" spans="1:13">
      <c r="A19" s="5" t="s">
        <v>115</v>
      </c>
      <c r="B19" s="4">
        <v>934</v>
      </c>
      <c r="C19" s="4">
        <v>550</v>
      </c>
      <c r="D19" s="4">
        <v>27</v>
      </c>
      <c r="E19" s="4">
        <v>24</v>
      </c>
      <c r="F19" s="4">
        <v>6.4</v>
      </c>
      <c r="G19" s="4">
        <v>5.8</v>
      </c>
      <c r="H19" s="4">
        <v>116.6</v>
      </c>
      <c r="I19" s="4">
        <v>142</v>
      </c>
      <c r="J19" s="4">
        <v>-23</v>
      </c>
      <c r="K19" s="4">
        <v>6</v>
      </c>
      <c r="L19" s="4">
        <f>2166+2932+2069+1639</f>
        <v>8806</v>
      </c>
      <c r="M19" s="4">
        <f>7+19+31</f>
        <v>57</v>
      </c>
    </row>
    <row r="20" spans="1:13">
      <c r="A20" s="5" t="s">
        <v>72</v>
      </c>
      <c r="B20" s="4">
        <v>782</v>
      </c>
      <c r="C20" s="4">
        <v>454</v>
      </c>
      <c r="D20" s="4">
        <v>40</v>
      </c>
      <c r="E20" s="4">
        <v>19</v>
      </c>
      <c r="F20" s="4">
        <v>7.1</v>
      </c>
      <c r="G20" s="4">
        <v>7</v>
      </c>
      <c r="H20" s="4">
        <v>129.80000000000001</v>
      </c>
      <c r="I20" s="4">
        <v>224</v>
      </c>
      <c r="J20" s="4">
        <v>429</v>
      </c>
      <c r="K20" s="4">
        <v>10</v>
      </c>
      <c r="L20" s="4">
        <f>2339+2120+2544+2234</f>
        <v>9237</v>
      </c>
      <c r="M20" s="4">
        <f>5+29+30</f>
        <v>64</v>
      </c>
    </row>
    <row r="21" spans="1:13">
      <c r="A21" s="5" t="s">
        <v>57</v>
      </c>
      <c r="B21" s="4">
        <v>839</v>
      </c>
      <c r="C21" s="4">
        <v>499</v>
      </c>
      <c r="D21" s="4">
        <v>46</v>
      </c>
      <c r="E21" s="4">
        <v>15</v>
      </c>
      <c r="F21" s="4">
        <v>6.8</v>
      </c>
      <c r="G21" s="4">
        <v>7.1</v>
      </c>
      <c r="H21" s="4">
        <v>131.30000000000001</v>
      </c>
      <c r="I21" s="4">
        <v>283</v>
      </c>
      <c r="J21" s="4">
        <v>902</v>
      </c>
      <c r="K21" s="4">
        <v>12</v>
      </c>
      <c r="L21" s="4">
        <f>1859+2440+2659+2627</f>
        <v>9585</v>
      </c>
      <c r="M21" s="4">
        <f>8+29+37</f>
        <v>74</v>
      </c>
    </row>
    <row r="22" spans="1:13">
      <c r="A22" s="5" t="s">
        <v>41</v>
      </c>
      <c r="B22" s="4">
        <v>695</v>
      </c>
      <c r="C22" s="4">
        <v>422</v>
      </c>
      <c r="D22" s="4">
        <v>47</v>
      </c>
      <c r="E22" s="4">
        <v>19</v>
      </c>
      <c r="F22" s="4">
        <v>8.4</v>
      </c>
      <c r="G22" s="4">
        <v>8.5</v>
      </c>
      <c r="H22" s="4">
        <v>147.69999999999999</v>
      </c>
      <c r="I22" s="4">
        <v>264</v>
      </c>
      <c r="J22" s="4">
        <v>997</v>
      </c>
      <c r="K22" s="4">
        <v>18</v>
      </c>
      <c r="L22" s="4">
        <f>2699+1960</f>
        <v>4659</v>
      </c>
      <c r="M22" s="4">
        <v>48</v>
      </c>
    </row>
    <row r="23" spans="1:13">
      <c r="A23" s="5" t="s">
        <v>28</v>
      </c>
      <c r="B23" s="4">
        <v>590</v>
      </c>
      <c r="C23" s="4">
        <v>413</v>
      </c>
      <c r="D23" s="4">
        <v>50</v>
      </c>
      <c r="E23" s="4">
        <v>8</v>
      </c>
      <c r="F23" s="4">
        <v>9.1</v>
      </c>
      <c r="G23" s="4">
        <v>10.3</v>
      </c>
      <c r="H23" s="4">
        <v>174</v>
      </c>
      <c r="I23" s="4">
        <v>103</v>
      </c>
      <c r="J23" s="4">
        <v>194</v>
      </c>
      <c r="K23" s="4">
        <v>4</v>
      </c>
      <c r="L23" s="4">
        <f>3405+2398</f>
        <v>5803</v>
      </c>
      <c r="M23" s="4">
        <v>23</v>
      </c>
    </row>
    <row r="24" spans="1:13">
      <c r="A24" s="5" t="s">
        <v>87</v>
      </c>
      <c r="B24" s="4">
        <v>1000</v>
      </c>
      <c r="C24" s="4">
        <v>607</v>
      </c>
      <c r="D24" s="4">
        <v>50</v>
      </c>
      <c r="E24" s="4">
        <v>28</v>
      </c>
      <c r="F24" s="4">
        <v>7.4</v>
      </c>
      <c r="G24" s="4">
        <v>7.2</v>
      </c>
      <c r="H24" s="4">
        <v>134.1</v>
      </c>
      <c r="I24" s="4">
        <v>312</v>
      </c>
      <c r="J24" s="4">
        <v>972</v>
      </c>
      <c r="K24" s="4">
        <v>14</v>
      </c>
      <c r="L24" s="4">
        <f>1859+2440+1749+2252+2075</f>
        <v>10375</v>
      </c>
      <c r="M24" s="4">
        <f>5+36+4+10+19</f>
        <v>74</v>
      </c>
    </row>
    <row r="25" spans="1:13">
      <c r="A25" s="5" t="s">
        <v>45</v>
      </c>
      <c r="B25" s="4">
        <v>1447</v>
      </c>
      <c r="C25" s="4">
        <v>915</v>
      </c>
      <c r="D25" s="4">
        <v>92</v>
      </c>
      <c r="E25" s="4">
        <v>26</v>
      </c>
      <c r="F25" s="4">
        <v>9.4</v>
      </c>
      <c r="G25" s="4">
        <v>9.9</v>
      </c>
      <c r="H25" s="4">
        <v>159.69999999999999</v>
      </c>
      <c r="I25" s="4">
        <v>225</v>
      </c>
      <c r="J25" s="4">
        <v>28</v>
      </c>
      <c r="K25" s="4">
        <v>17</v>
      </c>
      <c r="L25" s="4">
        <f>1776+1649+2221+2337</f>
        <v>7983</v>
      </c>
      <c r="M25" s="4">
        <f>8+61+24</f>
        <v>93</v>
      </c>
    </row>
    <row r="26" spans="1:13">
      <c r="A26" s="5" t="s">
        <v>30</v>
      </c>
      <c r="B26" s="4">
        <v>1205</v>
      </c>
      <c r="C26" s="4">
        <v>758</v>
      </c>
      <c r="D26" s="4">
        <v>59</v>
      </c>
      <c r="E26" s="4">
        <v>23</v>
      </c>
      <c r="F26" s="4">
        <v>7.4</v>
      </c>
      <c r="G26" s="4">
        <v>7.5</v>
      </c>
      <c r="H26" s="4">
        <v>137</v>
      </c>
      <c r="I26" s="4">
        <v>288</v>
      </c>
      <c r="J26" s="4">
        <v>687</v>
      </c>
      <c r="K26" s="4">
        <v>17</v>
      </c>
      <c r="L26" s="4">
        <f>1660+2476+2333</f>
        <v>6469</v>
      </c>
      <c r="M26" s="4">
        <v>57</v>
      </c>
    </row>
    <row r="27" spans="1:13">
      <c r="A27" s="5" t="s">
        <v>59</v>
      </c>
      <c r="B27" s="4">
        <v>1241</v>
      </c>
      <c r="C27" s="4">
        <v>837</v>
      </c>
      <c r="D27" s="4">
        <v>75</v>
      </c>
      <c r="E27" s="4">
        <v>25</v>
      </c>
      <c r="F27" s="4">
        <v>8</v>
      </c>
      <c r="G27" s="4">
        <v>8.3000000000000007</v>
      </c>
      <c r="H27" s="4">
        <v>150.80000000000001</v>
      </c>
      <c r="I27" s="4">
        <v>479</v>
      </c>
      <c r="J27" s="4">
        <v>1747</v>
      </c>
      <c r="K27" s="4">
        <v>30</v>
      </c>
      <c r="L27" s="4">
        <f>2556+2724+2671</f>
        <v>7951</v>
      </c>
      <c r="M27" s="4">
        <f>52+35+38</f>
        <v>125</v>
      </c>
    </row>
    <row r="28" spans="1:13">
      <c r="A28" s="5" t="s">
        <v>37</v>
      </c>
      <c r="B28" s="4">
        <v>1170</v>
      </c>
      <c r="C28" s="4">
        <v>712</v>
      </c>
      <c r="D28" s="4">
        <v>59</v>
      </c>
      <c r="E28" s="4">
        <v>26</v>
      </c>
      <c r="F28" s="4">
        <v>8</v>
      </c>
      <c r="G28" s="4">
        <v>8</v>
      </c>
      <c r="H28" s="4">
        <v>140.1</v>
      </c>
      <c r="I28" s="4">
        <v>109</v>
      </c>
      <c r="J28" s="4">
        <v>-154</v>
      </c>
      <c r="K28" s="4">
        <v>6</v>
      </c>
      <c r="L28" s="4">
        <f>2308+1011+1474</f>
        <v>4793</v>
      </c>
      <c r="M28" s="4">
        <f>15+13+26</f>
        <v>54</v>
      </c>
    </row>
    <row r="29" spans="1:13">
      <c r="A29" s="5" t="s">
        <v>51</v>
      </c>
      <c r="B29" s="4">
        <v>1261</v>
      </c>
      <c r="C29" s="4">
        <v>851</v>
      </c>
      <c r="D29" s="4">
        <v>88</v>
      </c>
      <c r="E29" s="4">
        <v>19</v>
      </c>
      <c r="F29" s="4">
        <v>8.1999999999999993</v>
      </c>
      <c r="G29" s="4">
        <v>8.9</v>
      </c>
      <c r="H29" s="4">
        <v>156.4</v>
      </c>
      <c r="I29" s="4">
        <v>158</v>
      </c>
      <c r="J29" s="4">
        <v>-425</v>
      </c>
      <c r="K29" s="4">
        <v>7</v>
      </c>
      <c r="L29" s="4">
        <f>2355+2092+2419+1958</f>
        <v>8824</v>
      </c>
      <c r="M29" s="4">
        <f>62+38</f>
        <v>100</v>
      </c>
    </row>
    <row r="30" spans="1:13">
      <c r="A30" s="5" t="s">
        <v>73</v>
      </c>
      <c r="B30" s="4">
        <v>1103</v>
      </c>
      <c r="C30" s="4">
        <v>727</v>
      </c>
      <c r="D30" s="4">
        <v>75</v>
      </c>
      <c r="E30" s="4">
        <v>29</v>
      </c>
      <c r="F30" s="4">
        <v>8.5</v>
      </c>
      <c r="G30" s="4">
        <v>8.6999999999999993</v>
      </c>
      <c r="H30" s="4">
        <v>154.6</v>
      </c>
      <c r="I30" s="4">
        <v>315</v>
      </c>
      <c r="J30" s="4">
        <v>1249</v>
      </c>
      <c r="K30" s="4">
        <v>15</v>
      </c>
      <c r="L30" s="4">
        <f>2440+2904+2064+3132</f>
        <v>10540</v>
      </c>
      <c r="M30" s="4">
        <f>11+14+22+19</f>
        <v>66</v>
      </c>
    </row>
    <row r="31" spans="1:13">
      <c r="A31" s="5" t="s">
        <v>56</v>
      </c>
      <c r="B31" s="4">
        <v>1170</v>
      </c>
      <c r="C31" s="4">
        <v>673</v>
      </c>
      <c r="D31" s="4">
        <v>71</v>
      </c>
      <c r="E31" s="4">
        <v>22</v>
      </c>
      <c r="F31" s="4">
        <v>7.9</v>
      </c>
      <c r="G31" s="4">
        <v>8.1999999999999993</v>
      </c>
      <c r="H31" s="4">
        <v>139.80000000000001</v>
      </c>
      <c r="I31" s="4">
        <v>176</v>
      </c>
      <c r="J31" s="4">
        <v>209</v>
      </c>
      <c r="K31" s="4">
        <v>3</v>
      </c>
      <c r="L31" s="4">
        <f>2118+3057+2433+1942</f>
        <v>9550</v>
      </c>
      <c r="M31" s="4">
        <f>1+16+11+18</f>
        <v>46</v>
      </c>
    </row>
    <row r="32" spans="1:13">
      <c r="A32" s="5" t="s">
        <v>66</v>
      </c>
      <c r="B32" s="4">
        <v>1461</v>
      </c>
      <c r="C32" s="4">
        <v>938</v>
      </c>
      <c r="D32" s="4">
        <v>63</v>
      </c>
      <c r="E32" s="4">
        <v>30</v>
      </c>
      <c r="F32" s="4">
        <v>7.6</v>
      </c>
      <c r="G32" s="4">
        <v>7.6</v>
      </c>
      <c r="H32" s="4">
        <v>138.4</v>
      </c>
      <c r="I32" s="4">
        <v>214</v>
      </c>
      <c r="J32" s="4">
        <v>382</v>
      </c>
      <c r="K32" s="4">
        <v>5</v>
      </c>
      <c r="L32" s="4">
        <f>2994+2488+2030+2293+1858</f>
        <v>11663</v>
      </c>
      <c r="M32" s="4">
        <f>8+15+12+11</f>
        <v>46</v>
      </c>
    </row>
    <row r="33" spans="1:13">
      <c r="A33" s="5" t="s">
        <v>64</v>
      </c>
      <c r="B33" s="4">
        <v>845</v>
      </c>
      <c r="C33" s="4">
        <v>530</v>
      </c>
      <c r="D33" s="4">
        <v>62</v>
      </c>
      <c r="E33" s="4">
        <v>10</v>
      </c>
      <c r="F33" s="4">
        <v>9.6999999999999993</v>
      </c>
      <c r="G33" s="4">
        <v>10.6</v>
      </c>
      <c r="H33" s="4">
        <v>166</v>
      </c>
      <c r="I33" s="4">
        <v>192</v>
      </c>
      <c r="J33" s="4">
        <v>338</v>
      </c>
      <c r="K33" s="4">
        <v>21</v>
      </c>
      <c r="L33" s="4">
        <f>3063+3012+3376+2802</f>
        <v>12253</v>
      </c>
      <c r="M33" s="4">
        <f>17+1+24</f>
        <v>42</v>
      </c>
    </row>
    <row r="34" spans="1:13">
      <c r="A34" s="5" t="s">
        <v>84</v>
      </c>
      <c r="B34" s="4">
        <v>983</v>
      </c>
      <c r="C34" s="4">
        <v>593</v>
      </c>
      <c r="D34" s="4">
        <v>61</v>
      </c>
      <c r="E34" s="4">
        <v>20</v>
      </c>
      <c r="F34" s="4">
        <v>8</v>
      </c>
      <c r="G34" s="4">
        <v>8.3000000000000007</v>
      </c>
      <c r="H34" s="4">
        <v>144.1</v>
      </c>
      <c r="I34" s="4">
        <v>135</v>
      </c>
      <c r="J34" s="4">
        <v>132</v>
      </c>
      <c r="K34" s="4">
        <v>8</v>
      </c>
      <c r="L34" s="4">
        <f>1570+2422+3163+2736</f>
        <v>9891</v>
      </c>
      <c r="M34" s="4">
        <f>20+17</f>
        <v>37</v>
      </c>
    </row>
    <row r="35" spans="1:13">
      <c r="A35" s="5" t="s">
        <v>78</v>
      </c>
      <c r="B35" s="4">
        <v>2054</v>
      </c>
      <c r="C35" s="4">
        <v>1403</v>
      </c>
      <c r="D35" s="4">
        <v>119</v>
      </c>
      <c r="E35" s="4">
        <v>39</v>
      </c>
      <c r="F35" s="4">
        <v>7.1</v>
      </c>
      <c r="G35" s="4">
        <v>7.4</v>
      </c>
      <c r="H35" s="4">
        <v>142.80000000000001</v>
      </c>
      <c r="I35" s="4">
        <v>251</v>
      </c>
      <c r="J35" s="4">
        <v>-400</v>
      </c>
      <c r="K35" s="4">
        <v>4</v>
      </c>
      <c r="L35" s="4">
        <f>478+1046+1560+884</f>
        <v>3968</v>
      </c>
      <c r="M35" s="4">
        <f>17+37+29+39</f>
        <v>122</v>
      </c>
    </row>
    <row r="36" spans="1:13">
      <c r="A36" s="5" t="s">
        <v>102</v>
      </c>
      <c r="B36" s="4">
        <v>1617</v>
      </c>
      <c r="C36" s="4">
        <v>1035</v>
      </c>
      <c r="D36" s="4">
        <v>90</v>
      </c>
      <c r="E36" s="4">
        <v>29</v>
      </c>
      <c r="F36" s="4">
        <v>8.4</v>
      </c>
      <c r="G36" s="4">
        <v>8.6999999999999993</v>
      </c>
      <c r="H36" s="4">
        <v>149.30000000000001</v>
      </c>
      <c r="I36" s="4">
        <v>211</v>
      </c>
      <c r="J36" s="4">
        <v>-102</v>
      </c>
      <c r="K36" s="4">
        <v>3</v>
      </c>
      <c r="L36" s="4">
        <f>2488+2268+2009+2178</f>
        <v>8943</v>
      </c>
      <c r="M36" s="4">
        <f>39+20+32</f>
        <v>91</v>
      </c>
    </row>
    <row r="37" spans="1:13">
      <c r="A37" s="5" t="s">
        <v>65</v>
      </c>
      <c r="B37" s="4">
        <v>662</v>
      </c>
      <c r="C37" s="4">
        <v>398</v>
      </c>
      <c r="D37" s="4">
        <v>47</v>
      </c>
      <c r="E37" s="4">
        <v>17</v>
      </c>
      <c r="F37" s="4">
        <v>7.9</v>
      </c>
      <c r="G37" s="4">
        <v>8.1999999999999993</v>
      </c>
      <c r="H37" s="4">
        <v>144.9</v>
      </c>
      <c r="I37" s="4">
        <v>172</v>
      </c>
      <c r="J37" s="4">
        <v>525</v>
      </c>
      <c r="K37" s="4">
        <v>5</v>
      </c>
      <c r="L37" s="4">
        <f>2261+1903+2430+2926</f>
        <v>9520</v>
      </c>
      <c r="M37" s="4">
        <f>4+25+10</f>
        <v>39</v>
      </c>
    </row>
    <row r="38" spans="1:13">
      <c r="A38" s="5" t="s">
        <v>47</v>
      </c>
      <c r="B38" s="4">
        <v>945</v>
      </c>
      <c r="C38" s="4">
        <v>621</v>
      </c>
      <c r="D38" s="4">
        <v>81</v>
      </c>
      <c r="E38" s="4">
        <v>23</v>
      </c>
      <c r="F38" s="4">
        <v>9.1</v>
      </c>
      <c r="G38" s="4">
        <v>9.6999999999999993</v>
      </c>
      <c r="H38" s="4">
        <v>165.2</v>
      </c>
      <c r="I38" s="4">
        <v>147</v>
      </c>
      <c r="J38" s="4">
        <v>148</v>
      </c>
      <c r="K38" s="4">
        <v>7</v>
      </c>
      <c r="L38" s="4">
        <f>1777+1954+1931</f>
        <v>5662</v>
      </c>
      <c r="M38" s="4">
        <f>27+24</f>
        <v>51</v>
      </c>
    </row>
    <row r="39" spans="1:13">
      <c r="A39" s="5" t="s">
        <v>81</v>
      </c>
      <c r="B39" s="4">
        <v>1215</v>
      </c>
      <c r="C39" s="4">
        <v>720</v>
      </c>
      <c r="D39" s="4">
        <v>77</v>
      </c>
      <c r="E39" s="4">
        <v>25</v>
      </c>
      <c r="F39" s="4">
        <v>8.1</v>
      </c>
      <c r="G39" s="4">
        <v>8.5</v>
      </c>
      <c r="H39" s="4">
        <v>144.5</v>
      </c>
      <c r="I39" s="4">
        <v>473</v>
      </c>
      <c r="J39" s="4">
        <v>1697</v>
      </c>
      <c r="K39" s="4">
        <v>30</v>
      </c>
      <c r="L39" s="4">
        <f>2664+2212+2246+1744</f>
        <v>8866</v>
      </c>
      <c r="M39" s="4">
        <f>24+27+27</f>
        <v>78</v>
      </c>
    </row>
    <row r="40" spans="1:13">
      <c r="A40" s="5" t="s">
        <v>55</v>
      </c>
      <c r="B40" s="4">
        <v>848</v>
      </c>
      <c r="C40" s="4">
        <v>545</v>
      </c>
      <c r="D40" s="4">
        <v>48</v>
      </c>
      <c r="E40" s="4">
        <v>13</v>
      </c>
      <c r="F40" s="4">
        <v>8.5</v>
      </c>
      <c r="G40" s="4">
        <v>9</v>
      </c>
      <c r="H40" s="4">
        <v>151.4</v>
      </c>
      <c r="I40" s="4">
        <v>211</v>
      </c>
      <c r="J40" s="4">
        <v>224</v>
      </c>
      <c r="K40" s="4">
        <v>9</v>
      </c>
      <c r="L40" s="4">
        <f>4247+3056+2177</f>
        <v>9480</v>
      </c>
      <c r="M40" s="4">
        <f>9+35+23</f>
        <v>67</v>
      </c>
    </row>
    <row r="41" spans="1:13">
      <c r="A41" s="5" t="s">
        <v>63</v>
      </c>
      <c r="B41" s="4">
        <v>269</v>
      </c>
      <c r="C41" s="4">
        <v>166</v>
      </c>
      <c r="D41" s="4">
        <v>15</v>
      </c>
      <c r="E41" s="4">
        <v>7</v>
      </c>
      <c r="F41" s="4">
        <v>8.6</v>
      </c>
      <c r="G41" s="4">
        <v>8.6</v>
      </c>
      <c r="H41" s="4">
        <v>147.4</v>
      </c>
      <c r="I41" s="4">
        <v>153</v>
      </c>
      <c r="J41" s="4">
        <v>617</v>
      </c>
      <c r="K41" s="4">
        <v>4</v>
      </c>
      <c r="L41" s="4">
        <f>4321+3967+3188</f>
        <v>11476</v>
      </c>
      <c r="M41" s="4">
        <v>18</v>
      </c>
    </row>
    <row r="42" spans="1:13">
      <c r="A42" s="5" t="s">
        <v>94</v>
      </c>
      <c r="B42" s="4">
        <v>1355</v>
      </c>
      <c r="C42" s="4">
        <v>829</v>
      </c>
      <c r="D42" s="4">
        <v>86</v>
      </c>
      <c r="E42" s="4">
        <v>37</v>
      </c>
      <c r="F42" s="4">
        <v>7.9</v>
      </c>
      <c r="G42" s="4">
        <v>8</v>
      </c>
      <c r="H42" s="4">
        <v>143.19999999999999</v>
      </c>
      <c r="I42" s="4">
        <v>507</v>
      </c>
      <c r="J42" s="4">
        <v>2049</v>
      </c>
      <c r="K42" s="4">
        <v>27</v>
      </c>
      <c r="L42" s="4">
        <f>2800+2689+1423+1977</f>
        <v>8889</v>
      </c>
      <c r="M42" s="4">
        <f>24+14+23+12</f>
        <v>73</v>
      </c>
    </row>
    <row r="43" spans="1:13">
      <c r="A43" s="5" t="s">
        <v>77</v>
      </c>
      <c r="B43" s="4">
        <v>1838</v>
      </c>
      <c r="C43" s="4">
        <v>1187</v>
      </c>
      <c r="D43" s="4">
        <v>83</v>
      </c>
      <c r="E43" s="4">
        <v>54</v>
      </c>
      <c r="F43" s="4">
        <v>7.4</v>
      </c>
      <c r="G43" s="4">
        <v>7</v>
      </c>
      <c r="H43" s="4">
        <v>135.80000000000001</v>
      </c>
      <c r="I43" s="4">
        <v>132</v>
      </c>
      <c r="J43" s="4">
        <v>-804</v>
      </c>
      <c r="K43" s="4">
        <v>2</v>
      </c>
      <c r="L43" s="4">
        <f>1043+1617+1227+1417</f>
        <v>5304</v>
      </c>
      <c r="M43" s="4">
        <f>24+12+25+36</f>
        <v>97</v>
      </c>
    </row>
    <row r="44" spans="1:13">
      <c r="A44" s="5" t="s">
        <v>95</v>
      </c>
      <c r="B44" s="4">
        <f>486+457</f>
        <v>943</v>
      </c>
      <c r="C44" s="4">
        <f>289+340</f>
        <v>629</v>
      </c>
      <c r="D44" s="4">
        <v>63</v>
      </c>
      <c r="E44" s="4">
        <f>16+8</f>
        <v>24</v>
      </c>
      <c r="F44" s="4">
        <v>7.6</v>
      </c>
      <c r="G44" s="4">
        <v>7.3</v>
      </c>
      <c r="H44" s="4">
        <v>141.80000000000001</v>
      </c>
      <c r="I44" s="4">
        <f>80+93</f>
        <v>173</v>
      </c>
      <c r="J44" s="4">
        <f>348+139</f>
        <v>487</v>
      </c>
      <c r="K44" s="4">
        <v>7</v>
      </c>
      <c r="L44" s="4">
        <f>1793+1915</f>
        <v>3708</v>
      </c>
      <c r="M44" s="4">
        <f>19+28</f>
        <v>47</v>
      </c>
    </row>
    <row r="45" spans="1:13">
      <c r="A45" s="5" t="s">
        <v>118</v>
      </c>
      <c r="B45" s="4">
        <v>1648</v>
      </c>
      <c r="C45" s="4">
        <v>1022</v>
      </c>
      <c r="D45" s="4">
        <v>90</v>
      </c>
      <c r="E45" s="4">
        <v>55</v>
      </c>
      <c r="F45" s="4">
        <v>7.8</v>
      </c>
      <c r="G45" s="4">
        <v>7.4</v>
      </c>
      <c r="H45" s="4">
        <v>139.1</v>
      </c>
      <c r="I45" s="4">
        <v>215</v>
      </c>
      <c r="J45" s="4">
        <v>-118</v>
      </c>
      <c r="K45" s="4">
        <v>5</v>
      </c>
      <c r="L45" s="4">
        <f>1593+2018+1307+1507</f>
        <v>6425</v>
      </c>
      <c r="M45" s="4">
        <f>26+28+27+37</f>
        <v>118</v>
      </c>
    </row>
    <row r="46" spans="1:13">
      <c r="A46" s="5" t="s">
        <v>76</v>
      </c>
      <c r="B46" s="4">
        <v>1166</v>
      </c>
      <c r="C46" s="4">
        <v>759</v>
      </c>
      <c r="D46" s="4">
        <v>93</v>
      </c>
      <c r="E46" s="4">
        <v>25</v>
      </c>
      <c r="F46" s="4">
        <v>9</v>
      </c>
      <c r="G46" s="4">
        <v>9.6</v>
      </c>
      <c r="H46" s="4">
        <v>162.9</v>
      </c>
      <c r="I46" s="4">
        <v>146</v>
      </c>
      <c r="J46" s="4">
        <v>88</v>
      </c>
      <c r="K46" s="4">
        <v>4</v>
      </c>
      <c r="L46" s="4">
        <f>2887+3333+2495+2535+2856</f>
        <v>14106</v>
      </c>
      <c r="M46" s="4">
        <f>9+14+22</f>
        <v>45</v>
      </c>
    </row>
    <row r="47" spans="1:13">
      <c r="A47" s="5" t="s">
        <v>74</v>
      </c>
      <c r="B47" s="4">
        <v>999</v>
      </c>
      <c r="C47" s="4">
        <v>614</v>
      </c>
      <c r="D47" s="4">
        <v>53</v>
      </c>
      <c r="E47" s="4">
        <v>29</v>
      </c>
      <c r="F47" s="4">
        <v>7.1</v>
      </c>
      <c r="G47" s="4">
        <v>6.9</v>
      </c>
      <c r="H47" s="4">
        <v>133.19999999999999</v>
      </c>
      <c r="I47" s="4">
        <v>438</v>
      </c>
      <c r="J47" s="4">
        <v>2160</v>
      </c>
      <c r="K47" s="4">
        <v>32</v>
      </c>
      <c r="L47" s="4">
        <f>2668+2908+1903+2261</f>
        <v>9740</v>
      </c>
      <c r="M47" s="4">
        <f>7+12+21+25</f>
        <v>65</v>
      </c>
    </row>
    <row r="48" spans="1:13">
      <c r="A48" s="5" t="s">
        <v>75</v>
      </c>
      <c r="B48" s="4">
        <v>1393</v>
      </c>
      <c r="C48" s="4">
        <v>863</v>
      </c>
      <c r="D48" s="4">
        <v>74</v>
      </c>
      <c r="E48" s="4">
        <v>31</v>
      </c>
      <c r="F48" s="4">
        <v>8.1</v>
      </c>
      <c r="G48" s="4">
        <v>8.1</v>
      </c>
      <c r="H48" s="4">
        <v>142.9</v>
      </c>
      <c r="I48" s="4">
        <v>136</v>
      </c>
      <c r="J48" s="4">
        <v>-470</v>
      </c>
      <c r="K48" s="4">
        <v>6</v>
      </c>
      <c r="L48" s="4">
        <f>1064+1295+2609+791</f>
        <v>5759</v>
      </c>
      <c r="M48" s="4">
        <f>11+16+18+44</f>
        <v>89</v>
      </c>
    </row>
    <row r="49" spans="1:13">
      <c r="A49" s="5" t="s">
        <v>71</v>
      </c>
      <c r="B49" s="4">
        <v>1188</v>
      </c>
      <c r="C49" s="4">
        <v>720</v>
      </c>
      <c r="D49" s="4">
        <v>69</v>
      </c>
      <c r="E49" s="4">
        <v>24</v>
      </c>
      <c r="F49" s="4">
        <v>8.4</v>
      </c>
      <c r="G49" s="4">
        <v>8.6</v>
      </c>
      <c r="H49" s="4">
        <v>146.19999999999999</v>
      </c>
      <c r="I49" s="4">
        <v>94</v>
      </c>
      <c r="J49" s="4">
        <v>-386</v>
      </c>
      <c r="K49" s="4">
        <v>4</v>
      </c>
      <c r="L49" s="4">
        <f>2345+1548+1973</f>
        <v>5866</v>
      </c>
      <c r="M49" s="4">
        <f>20+16+25</f>
        <v>61</v>
      </c>
    </row>
    <row r="50" spans="1:13">
      <c r="A50" s="5" t="s">
        <v>53</v>
      </c>
      <c r="B50" s="4">
        <v>1235</v>
      </c>
      <c r="C50" s="4">
        <v>693</v>
      </c>
      <c r="D50" s="4">
        <v>48</v>
      </c>
      <c r="E50" s="4">
        <v>31</v>
      </c>
      <c r="F50" s="4">
        <v>6.8</v>
      </c>
      <c r="G50" s="4">
        <v>6.5</v>
      </c>
      <c r="H50" s="4">
        <v>121.4</v>
      </c>
      <c r="I50" s="4">
        <v>208</v>
      </c>
      <c r="J50" s="4">
        <v>-242</v>
      </c>
      <c r="K50" s="4">
        <v>6</v>
      </c>
      <c r="L50" s="4">
        <f>1744+1325+2088</f>
        <v>5157</v>
      </c>
      <c r="M50" s="4">
        <f>21+44+38</f>
        <v>103</v>
      </c>
    </row>
    <row r="51" spans="1:13">
      <c r="A51" s="5" t="s">
        <v>82</v>
      </c>
      <c r="B51" s="4">
        <v>1696</v>
      </c>
      <c r="C51" s="4">
        <v>991</v>
      </c>
      <c r="D51" s="4">
        <v>61</v>
      </c>
      <c r="E51" s="4">
        <v>45</v>
      </c>
      <c r="F51" s="4">
        <v>6.3</v>
      </c>
      <c r="G51" s="4">
        <v>5.9</v>
      </c>
      <c r="H51" s="4">
        <v>118.1</v>
      </c>
      <c r="I51" s="4">
        <v>362</v>
      </c>
      <c r="J51" s="4">
        <v>408</v>
      </c>
      <c r="K51" s="4">
        <v>27</v>
      </c>
      <c r="L51" s="4">
        <f>2451+1991+2264+1609</f>
        <v>8315</v>
      </c>
      <c r="M51" s="4">
        <f>22+38+30+35</f>
        <v>125</v>
      </c>
    </row>
    <row r="52" spans="1:13">
      <c r="A52" s="5" t="s">
        <v>98</v>
      </c>
      <c r="B52" s="4">
        <v>493</v>
      </c>
      <c r="C52" s="4">
        <v>322</v>
      </c>
      <c r="D52" s="4">
        <v>26</v>
      </c>
      <c r="E52" s="4">
        <v>9</v>
      </c>
      <c r="F52" s="4">
        <v>7.7</v>
      </c>
      <c r="G52" s="4">
        <v>8</v>
      </c>
      <c r="H52" s="4">
        <v>143.9</v>
      </c>
      <c r="I52" s="4">
        <v>91</v>
      </c>
      <c r="J52" s="4">
        <v>96</v>
      </c>
      <c r="K52" s="4">
        <v>3</v>
      </c>
      <c r="L52" s="4">
        <f>2882+2844+2893+2999</f>
        <v>11618</v>
      </c>
      <c r="M52" s="4">
        <f>25+8</f>
        <v>33</v>
      </c>
    </row>
    <row r="53" spans="1:13">
      <c r="A53" s="5" t="s">
        <v>83</v>
      </c>
      <c r="B53" s="4">
        <v>1016</v>
      </c>
      <c r="C53" s="4">
        <v>583</v>
      </c>
      <c r="D53" s="4">
        <v>64</v>
      </c>
      <c r="E53" s="4">
        <v>26</v>
      </c>
      <c r="F53" s="4">
        <v>7.3</v>
      </c>
      <c r="G53" s="4">
        <v>7.5</v>
      </c>
      <c r="H53" s="4">
        <v>134.80000000000001</v>
      </c>
      <c r="I53" s="4">
        <v>134</v>
      </c>
      <c r="J53" s="4">
        <v>136</v>
      </c>
      <c r="K53" s="4">
        <v>4</v>
      </c>
      <c r="L53" s="4">
        <f>2565+2834+2504+1424</f>
        <v>9327</v>
      </c>
      <c r="M53" s="4">
        <f>11+12+14</f>
        <v>37</v>
      </c>
    </row>
    <row r="54" spans="1:13">
      <c r="A54" s="5" t="s">
        <v>49</v>
      </c>
      <c r="B54" s="4">
        <v>1113</v>
      </c>
      <c r="C54" s="4">
        <v>688</v>
      </c>
      <c r="D54" s="4">
        <v>64</v>
      </c>
      <c r="E54" s="4">
        <v>27</v>
      </c>
      <c r="F54" s="4">
        <v>8.3000000000000007</v>
      </c>
      <c r="G54" s="4">
        <v>8.3000000000000007</v>
      </c>
      <c r="H54" s="4">
        <v>145.30000000000001</v>
      </c>
      <c r="I54" s="4">
        <v>212</v>
      </c>
      <c r="J54" s="4">
        <v>283</v>
      </c>
      <c r="K54" s="4">
        <v>4</v>
      </c>
      <c r="L54" s="4">
        <f>2002+1542+2861+2071</f>
        <v>8476</v>
      </c>
      <c r="M54" s="4">
        <f>8+18+22+26</f>
        <v>74</v>
      </c>
    </row>
    <row r="55" spans="1:13">
      <c r="A55" s="5" t="s">
        <v>90</v>
      </c>
      <c r="B55" s="4">
        <v>1114</v>
      </c>
      <c r="C55" s="4">
        <v>704</v>
      </c>
      <c r="D55" s="4">
        <v>52</v>
      </c>
      <c r="E55" s="4">
        <v>23</v>
      </c>
      <c r="F55" s="4">
        <v>7.7</v>
      </c>
      <c r="G55" s="4">
        <v>7.7</v>
      </c>
      <c r="H55" s="4">
        <v>139.5</v>
      </c>
      <c r="I55" s="4">
        <v>385</v>
      </c>
      <c r="J55" s="4">
        <v>1035</v>
      </c>
      <c r="K55" s="4">
        <v>20</v>
      </c>
      <c r="L55" s="4">
        <f>2319+1578+2276+2392</f>
        <v>8565</v>
      </c>
      <c r="M55" s="4">
        <f>34+40+16</f>
        <v>90</v>
      </c>
    </row>
    <row r="56" spans="1:13">
      <c r="A56" s="5" t="s">
        <v>91</v>
      </c>
      <c r="B56" s="4">
        <v>955</v>
      </c>
      <c r="C56" s="4">
        <v>533</v>
      </c>
      <c r="D56" s="4">
        <v>49</v>
      </c>
      <c r="E56" s="4">
        <v>24</v>
      </c>
      <c r="F56" s="4">
        <v>7.3</v>
      </c>
      <c r="G56" s="4">
        <v>7.2</v>
      </c>
      <c r="H56" s="4">
        <v>129.30000000000001</v>
      </c>
      <c r="I56" s="4">
        <v>201</v>
      </c>
      <c r="J56" s="4">
        <v>757</v>
      </c>
      <c r="K56" s="4">
        <v>16</v>
      </c>
      <c r="L56" s="4">
        <f>2648+1693+1839</f>
        <v>6180</v>
      </c>
      <c r="M56" s="4">
        <f>11+9+15</f>
        <v>35</v>
      </c>
    </row>
    <row r="57" spans="1:13">
      <c r="A57" s="10" t="s">
        <v>116</v>
      </c>
      <c r="B57" s="4">
        <v>1136</v>
      </c>
      <c r="C57" s="4">
        <v>654</v>
      </c>
      <c r="D57" s="4">
        <v>48</v>
      </c>
      <c r="E57" s="4">
        <v>29</v>
      </c>
      <c r="F57" s="4">
        <v>7.2</v>
      </c>
      <c r="G57" s="4">
        <f>((F57*B57)+(20*D57)-(45*E57))/B57</f>
        <v>6.8963028169014091</v>
      </c>
      <c r="H57" s="4">
        <v>126.5</v>
      </c>
      <c r="I57" s="4">
        <v>233</v>
      </c>
      <c r="J57" s="4">
        <v>452</v>
      </c>
      <c r="K57" s="4">
        <v>18</v>
      </c>
      <c r="L57" s="4">
        <f>1432+1005+2218+2460</f>
        <v>7115</v>
      </c>
      <c r="M57" s="4">
        <v>32</v>
      </c>
    </row>
    <row r="58" spans="1:13">
      <c r="A58" s="5" t="s">
        <v>68</v>
      </c>
      <c r="B58" s="4">
        <v>1367</v>
      </c>
      <c r="C58" s="4">
        <v>841</v>
      </c>
      <c r="D58" s="4">
        <v>83</v>
      </c>
      <c r="E58" s="4">
        <v>34</v>
      </c>
      <c r="F58" s="4">
        <v>7.2</v>
      </c>
      <c r="G58" s="4">
        <v>7.3</v>
      </c>
      <c r="H58" s="4">
        <v>137.1</v>
      </c>
      <c r="I58" s="4">
        <v>77</v>
      </c>
      <c r="J58" s="4">
        <v>-100</v>
      </c>
      <c r="K58" s="4">
        <v>9</v>
      </c>
      <c r="L58" s="4">
        <f>1536+1836+2487+1852</f>
        <v>7711</v>
      </c>
      <c r="M58" s="4">
        <f>11+16</f>
        <v>27</v>
      </c>
    </row>
    <row r="59" spans="1:13">
      <c r="A59" s="5" t="s">
        <v>93</v>
      </c>
      <c r="B59" s="4">
        <v>917</v>
      </c>
      <c r="C59" s="4">
        <v>579</v>
      </c>
      <c r="D59" s="4">
        <v>70</v>
      </c>
      <c r="E59" s="4">
        <v>19</v>
      </c>
      <c r="F59" s="4">
        <v>8.6999999999999993</v>
      </c>
      <c r="G59" s="4">
        <v>9.3000000000000007</v>
      </c>
      <c r="H59" s="4">
        <v>157.1</v>
      </c>
      <c r="I59" s="4">
        <v>125</v>
      </c>
      <c r="J59" s="4">
        <v>-48</v>
      </c>
      <c r="K59" s="4">
        <v>10</v>
      </c>
      <c r="L59" s="4">
        <f>2071+2562</f>
        <v>4633</v>
      </c>
      <c r="M59" s="4">
        <f>33+21</f>
        <v>54</v>
      </c>
    </row>
    <row r="60" spans="1:13">
      <c r="A60" s="5" t="s">
        <v>97</v>
      </c>
      <c r="B60" s="4">
        <v>1491</v>
      </c>
      <c r="C60" s="4">
        <v>1023</v>
      </c>
      <c r="D60" s="4">
        <v>111</v>
      </c>
      <c r="E60" s="4">
        <v>34</v>
      </c>
      <c r="F60" s="4">
        <v>8.6</v>
      </c>
      <c r="G60" s="4">
        <v>9.1</v>
      </c>
      <c r="H60" s="4">
        <v>161</v>
      </c>
      <c r="I60" s="4">
        <v>102</v>
      </c>
      <c r="J60" s="4">
        <v>-285</v>
      </c>
      <c r="K60" s="4">
        <v>3</v>
      </c>
      <c r="L60" s="4">
        <f>2179+2318+2362+2084+2158</f>
        <v>11101</v>
      </c>
      <c r="M60" s="4">
        <v>21</v>
      </c>
    </row>
    <row r="61" spans="1:13">
      <c r="A61" s="5" t="s">
        <v>80</v>
      </c>
      <c r="B61" s="4">
        <v>430</v>
      </c>
      <c r="C61" s="4">
        <v>275</v>
      </c>
      <c r="D61" s="4">
        <v>30</v>
      </c>
      <c r="E61" s="4">
        <v>10</v>
      </c>
      <c r="F61" s="4">
        <v>8.6999999999999993</v>
      </c>
      <c r="G61" s="4">
        <v>9</v>
      </c>
      <c r="H61" s="4">
        <v>155.19999999999999</v>
      </c>
      <c r="I61" s="4">
        <v>150</v>
      </c>
      <c r="J61" s="4">
        <v>705</v>
      </c>
      <c r="K61" s="4">
        <v>9</v>
      </c>
      <c r="L61" s="4">
        <f>2788+3171+2673+2893</f>
        <v>11525</v>
      </c>
      <c r="M61" s="4">
        <f>20+19+15</f>
        <v>54</v>
      </c>
    </row>
    <row r="62" spans="1:13">
      <c r="A62" s="5" t="s">
        <v>123</v>
      </c>
      <c r="B62" s="4">
        <v>1634</v>
      </c>
      <c r="C62" s="4">
        <v>1014</v>
      </c>
      <c r="D62" s="4">
        <v>90</v>
      </c>
      <c r="E62" s="4">
        <v>50</v>
      </c>
      <c r="F62" s="4">
        <v>6.9</v>
      </c>
      <c r="G62" s="4">
        <v>6.6</v>
      </c>
      <c r="H62" s="4">
        <v>132.19999999999999</v>
      </c>
      <c r="I62" s="4">
        <v>112</v>
      </c>
      <c r="J62" s="4">
        <v>-492</v>
      </c>
      <c r="K62" s="4">
        <v>0</v>
      </c>
      <c r="L62" s="4">
        <f>478+694+394+1202</f>
        <v>2768</v>
      </c>
      <c r="M62" s="4">
        <f>24+31+19</f>
        <v>74</v>
      </c>
    </row>
    <row r="63" spans="1:13">
      <c r="A63" s="5" t="s">
        <v>103</v>
      </c>
      <c r="B63" s="4">
        <v>1579</v>
      </c>
      <c r="C63" s="4">
        <v>1052</v>
      </c>
      <c r="D63" s="4">
        <v>86</v>
      </c>
      <c r="E63" s="4">
        <v>30</v>
      </c>
      <c r="F63" s="4">
        <v>7.6</v>
      </c>
      <c r="G63" s="4">
        <v>7.8</v>
      </c>
      <c r="H63" s="4">
        <v>144.6</v>
      </c>
      <c r="I63" s="4">
        <v>271</v>
      </c>
      <c r="J63" s="4">
        <v>253</v>
      </c>
      <c r="K63" s="4">
        <v>24</v>
      </c>
      <c r="L63" s="4">
        <f>1760+1821+2094</f>
        <v>5675</v>
      </c>
      <c r="M63" s="4">
        <f>29+29+32</f>
        <v>90</v>
      </c>
    </row>
    <row r="64" spans="1:13">
      <c r="A64" s="5" t="s">
        <v>125</v>
      </c>
      <c r="B64" s="4">
        <v>1264</v>
      </c>
      <c r="C64" s="4">
        <v>722</v>
      </c>
      <c r="D64" s="4">
        <v>64</v>
      </c>
      <c r="E64" s="4">
        <v>29</v>
      </c>
      <c r="F64" s="4">
        <v>7</v>
      </c>
      <c r="G64" s="4">
        <v>7</v>
      </c>
      <c r="H64" s="4">
        <v>128.19999999999999</v>
      </c>
      <c r="I64" s="4">
        <v>137</v>
      </c>
      <c r="J64" s="4">
        <v>-326</v>
      </c>
      <c r="K64" s="4">
        <v>3</v>
      </c>
      <c r="L64" s="4">
        <f>1856+2138+1286+2178</f>
        <v>7458</v>
      </c>
      <c r="M64" s="4">
        <f>9+32+19+21</f>
        <v>81</v>
      </c>
    </row>
    <row r="65" spans="1:13">
      <c r="A65" s="5" t="s">
        <v>127</v>
      </c>
      <c r="B65" s="4">
        <v>925</v>
      </c>
      <c r="C65" s="4">
        <v>534</v>
      </c>
      <c r="D65" s="4">
        <v>46</v>
      </c>
      <c r="E65" s="4">
        <v>21</v>
      </c>
      <c r="F65" s="4">
        <v>6.3</v>
      </c>
      <c r="G65" s="4">
        <v>6.3</v>
      </c>
      <c r="H65" s="4">
        <v>122.4</v>
      </c>
      <c r="I65" s="4">
        <v>130</v>
      </c>
      <c r="J65" s="4">
        <v>-134</v>
      </c>
      <c r="K65" s="4">
        <v>2</v>
      </c>
      <c r="L65" s="4">
        <f>2094+1363+1216</f>
        <v>4673</v>
      </c>
      <c r="M65" s="4">
        <f>62</f>
        <v>62</v>
      </c>
    </row>
    <row r="66" spans="1:13">
      <c r="A66" s="10" t="s">
        <v>113</v>
      </c>
      <c r="B66" s="4">
        <v>963</v>
      </c>
      <c r="C66" s="4">
        <v>627</v>
      </c>
      <c r="D66" s="4">
        <v>52</v>
      </c>
      <c r="E66" s="4">
        <v>18</v>
      </c>
      <c r="F66" s="4">
        <f>7025/B66</f>
        <v>7.2949117341640708</v>
      </c>
      <c r="G66" s="4">
        <f>((F66*B66)+(20*D66)-(45*E66))/B66</f>
        <v>7.5337487019730007</v>
      </c>
      <c r="H66" s="4">
        <f>(8.4*F66*B66+330*D66-200*E66+100*C66)/B66</f>
        <v>140.46728971962617</v>
      </c>
      <c r="I66" s="4">
        <v>319</v>
      </c>
      <c r="J66" s="4">
        <v>912</v>
      </c>
      <c r="K66" s="4">
        <v>18</v>
      </c>
      <c r="L66" s="4">
        <f>1284+1150+1692+1691</f>
        <v>5817</v>
      </c>
    </row>
    <row r="67" spans="1:13">
      <c r="A67" s="5" t="s">
        <v>117</v>
      </c>
      <c r="B67" s="4">
        <v>1031</v>
      </c>
      <c r="C67" s="4">
        <v>613</v>
      </c>
      <c r="D67" s="4">
        <v>48</v>
      </c>
      <c r="E67" s="4">
        <v>37</v>
      </c>
      <c r="F67" s="4">
        <v>7.4</v>
      </c>
      <c r="G67" s="4">
        <v>6.7</v>
      </c>
      <c r="H67" s="4">
        <v>129.80000000000001</v>
      </c>
      <c r="I67" s="4">
        <v>102</v>
      </c>
      <c r="J67" s="4">
        <v>-266</v>
      </c>
      <c r="K67" s="4">
        <v>2</v>
      </c>
      <c r="L67" s="4">
        <f>3309+3689+4482+1954</f>
        <v>13434</v>
      </c>
      <c r="M67" s="4">
        <f>26+10+21</f>
        <v>57</v>
      </c>
    </row>
    <row r="68" spans="1:13">
      <c r="A68" s="5" t="s">
        <v>107</v>
      </c>
      <c r="B68" s="4">
        <v>1348</v>
      </c>
      <c r="C68" s="4">
        <v>878</v>
      </c>
      <c r="D68" s="4">
        <v>57</v>
      </c>
      <c r="E68" s="4">
        <v>29</v>
      </c>
      <c r="F68" s="4">
        <v>7.2</v>
      </c>
      <c r="G68" s="4">
        <v>7</v>
      </c>
      <c r="H68" s="4">
        <v>135</v>
      </c>
      <c r="I68" s="4">
        <v>363</v>
      </c>
      <c r="J68" s="4">
        <v>3482</v>
      </c>
      <c r="K68" s="4">
        <v>44</v>
      </c>
      <c r="L68" s="4">
        <f>3218+3523+2148+2671</f>
        <v>11560</v>
      </c>
      <c r="M68" s="4">
        <f>12+15+21+20</f>
        <v>68</v>
      </c>
    </row>
    <row r="69" spans="1:13">
      <c r="A69" s="5" t="s">
        <v>79</v>
      </c>
      <c r="B69" s="4">
        <v>591</v>
      </c>
      <c r="C69" s="4">
        <v>381</v>
      </c>
      <c r="D69" s="4">
        <v>30</v>
      </c>
      <c r="E69" s="4">
        <v>12</v>
      </c>
      <c r="F69" s="4">
        <v>9.5</v>
      </c>
      <c r="G69" s="4">
        <v>9.6</v>
      </c>
      <c r="H69" s="4">
        <v>156.80000000000001</v>
      </c>
      <c r="I69" s="4">
        <v>173</v>
      </c>
      <c r="J69" s="4">
        <v>507</v>
      </c>
      <c r="K69" s="4">
        <v>10</v>
      </c>
      <c r="L69" s="4">
        <f>1607+1969</f>
        <v>3576</v>
      </c>
      <c r="M69" s="4">
        <f>13+29</f>
        <v>42</v>
      </c>
    </row>
    <row r="70" spans="1:13">
      <c r="A70" s="5" t="s">
        <v>70</v>
      </c>
      <c r="B70" s="4">
        <v>980</v>
      </c>
      <c r="C70" s="4">
        <v>598</v>
      </c>
      <c r="D70" s="4">
        <v>88</v>
      </c>
      <c r="E70" s="4">
        <v>28</v>
      </c>
      <c r="F70" s="4">
        <f>8693/B70</f>
        <v>8.8704081632653065</v>
      </c>
      <c r="G70" s="4">
        <f>((F70*B70)+(20*D70)-(45*E70))/B70</f>
        <v>9.380612244897959</v>
      </c>
      <c r="H70" s="4">
        <f>(8.4*F70*B70+330*D70-200*E70+100*C70)/B70</f>
        <v>159.45020408163268</v>
      </c>
      <c r="I70" s="4">
        <v>427</v>
      </c>
      <c r="J70" s="4">
        <v>2523</v>
      </c>
      <c r="K70" s="4">
        <v>41</v>
      </c>
      <c r="L70" s="4">
        <f>3551+3372+4293+4083</f>
        <v>15299</v>
      </c>
      <c r="M70" s="4">
        <v>11</v>
      </c>
    </row>
    <row r="71" spans="1:13">
      <c r="A71" s="5" t="s">
        <v>88</v>
      </c>
      <c r="B71" s="4">
        <v>753</v>
      </c>
      <c r="C71" s="4">
        <v>459</v>
      </c>
      <c r="D71" s="4">
        <v>63</v>
      </c>
      <c r="E71" s="4">
        <v>13</v>
      </c>
      <c r="F71" s="4">
        <f>6408/B71</f>
        <v>8.5099601593625493</v>
      </c>
      <c r="G71" s="4">
        <f>((F71*B71)+(20*D71)-(45*E71))/B71</f>
        <v>9.4063745019920315</v>
      </c>
      <c r="H71" s="4">
        <f>(8.4*F71*B71+330*D71-200*E71+100*C71)/B71</f>
        <v>156.59654714475434</v>
      </c>
      <c r="I71" s="4">
        <v>88</v>
      </c>
      <c r="J71" s="4">
        <v>289</v>
      </c>
      <c r="K71" s="4">
        <v>7</v>
      </c>
      <c r="L71" s="4">
        <f>2297+2079+1928+1800</f>
        <v>8104</v>
      </c>
    </row>
    <row r="72" spans="1:13">
      <c r="A72" s="5" t="s">
        <v>110</v>
      </c>
      <c r="B72" s="4">
        <v>942</v>
      </c>
      <c r="C72" s="4">
        <v>511</v>
      </c>
      <c r="D72" s="4">
        <v>55</v>
      </c>
      <c r="E72" s="4">
        <v>30</v>
      </c>
      <c r="F72" s="4">
        <v>6.6</v>
      </c>
      <c r="G72" s="4">
        <v>6.3</v>
      </c>
      <c r="H72" s="4">
        <v>122.5</v>
      </c>
      <c r="I72" s="4">
        <v>601</v>
      </c>
      <c r="J72" s="4">
        <v>3607</v>
      </c>
      <c r="K72" s="4">
        <v>46</v>
      </c>
      <c r="L72" s="4">
        <f>2907+3272+2997+1873</f>
        <v>11049</v>
      </c>
      <c r="M72" s="4">
        <v>0</v>
      </c>
    </row>
    <row r="73" spans="1:13">
      <c r="A73" s="5" t="s">
        <v>86</v>
      </c>
      <c r="B73" s="4">
        <v>1363</v>
      </c>
      <c r="C73" s="4">
        <v>814</v>
      </c>
      <c r="D73" s="4">
        <v>104</v>
      </c>
      <c r="E73" s="4">
        <v>34</v>
      </c>
      <c r="F73" s="4">
        <f>11535/B73</f>
        <v>8.4629493763756418</v>
      </c>
      <c r="G73" s="4">
        <f>((F73*B73)+(20*D73)-(45*E73))/B73</f>
        <v>8.8664710198092447</v>
      </c>
      <c r="H73" s="4">
        <f>(8.4*F73*B73+330*D73-200*E73+100*C73)/B73</f>
        <v>151.00073367571534</v>
      </c>
      <c r="I73" s="4">
        <v>408</v>
      </c>
      <c r="J73" s="4">
        <v>1515</v>
      </c>
      <c r="K73" s="4">
        <v>26</v>
      </c>
      <c r="L73" s="4">
        <f>2991+2473+1885+1688</f>
        <v>9037</v>
      </c>
      <c r="M73" s="4">
        <v>14</v>
      </c>
    </row>
    <row r="74" spans="1:13">
      <c r="A74" s="5" t="s">
        <v>96</v>
      </c>
      <c r="B74" s="4">
        <v>1484</v>
      </c>
      <c r="C74" s="4">
        <v>958</v>
      </c>
      <c r="D74" s="4">
        <v>94</v>
      </c>
      <c r="E74" s="4">
        <v>34</v>
      </c>
      <c r="F74" s="4">
        <v>8.3000000000000007</v>
      </c>
      <c r="G74" s="4">
        <v>8.5</v>
      </c>
      <c r="H74" s="4">
        <v>150.5</v>
      </c>
      <c r="I74" s="4">
        <v>271</v>
      </c>
      <c r="J74" s="4">
        <v>244</v>
      </c>
      <c r="K74" s="4">
        <v>16</v>
      </c>
      <c r="L74" s="4">
        <f>2130+2774+2382+2468</f>
        <v>9754</v>
      </c>
      <c r="M74" s="4">
        <v>7</v>
      </c>
    </row>
    <row r="75" spans="1:13">
      <c r="A75" s="5" t="s">
        <v>105</v>
      </c>
      <c r="B75" s="4">
        <v>553</v>
      </c>
      <c r="C75" s="4">
        <v>367</v>
      </c>
      <c r="D75" s="4">
        <v>39</v>
      </c>
      <c r="E75" s="4">
        <v>11</v>
      </c>
      <c r="F75" s="4">
        <v>8</v>
      </c>
      <c r="G75" s="4">
        <v>8.6</v>
      </c>
      <c r="H75" s="4">
        <v>153.19999999999999</v>
      </c>
      <c r="I75" s="4">
        <v>64</v>
      </c>
      <c r="J75" s="4">
        <v>-97</v>
      </c>
      <c r="K75" s="4">
        <v>1</v>
      </c>
      <c r="L75" s="4">
        <f>2487+1243+1832</f>
        <v>5562</v>
      </c>
      <c r="M75" s="4">
        <v>25</v>
      </c>
    </row>
    <row r="76" spans="1:13">
      <c r="A76" s="5" t="s">
        <v>106</v>
      </c>
      <c r="B76" s="4">
        <v>985</v>
      </c>
      <c r="C76" s="4">
        <v>665</v>
      </c>
      <c r="D76" s="4">
        <v>78</v>
      </c>
      <c r="E76" s="4">
        <v>16</v>
      </c>
      <c r="F76" s="4">
        <f>8325/B76</f>
        <v>8.4517766497461935</v>
      </c>
      <c r="G76" s="4">
        <f>((F76*B76)+(20*D76)-(45*E76))/B76</f>
        <v>9.3045685279187822</v>
      </c>
      <c r="H76" s="4">
        <f>(8.4*F76*B76+330*D76-200*E76+100*C76)/B76</f>
        <v>161.39086294416245</v>
      </c>
      <c r="I76" s="4">
        <v>56</v>
      </c>
      <c r="J76" s="4">
        <v>-87</v>
      </c>
      <c r="K76" s="4">
        <v>1</v>
      </c>
      <c r="L76" s="4">
        <f>1771+1474</f>
        <v>3245</v>
      </c>
    </row>
    <row r="77" spans="1:13">
      <c r="A77" s="5" t="s">
        <v>121</v>
      </c>
      <c r="B77" s="4">
        <v>1198</v>
      </c>
      <c r="C77" s="4">
        <v>728</v>
      </c>
      <c r="D77" s="4">
        <v>72</v>
      </c>
      <c r="E77" s="4">
        <v>31</v>
      </c>
      <c r="F77" s="4">
        <v>7</v>
      </c>
      <c r="G77" s="4">
        <v>7</v>
      </c>
      <c r="H77" s="4">
        <v>133.9</v>
      </c>
      <c r="I77" s="4">
        <v>117</v>
      </c>
      <c r="J77" s="4">
        <v>-77</v>
      </c>
      <c r="K77" s="4">
        <v>2</v>
      </c>
      <c r="L77" s="4">
        <f>1823+1298+2196</f>
        <v>5317</v>
      </c>
      <c r="M77" s="4">
        <f>16+23+11</f>
        <v>50</v>
      </c>
    </row>
    <row r="78" spans="1:13">
      <c r="A78" s="5" t="s">
        <v>124</v>
      </c>
      <c r="B78" s="4">
        <v>1040</v>
      </c>
      <c r="C78" s="4">
        <v>574</v>
      </c>
      <c r="D78" s="4">
        <v>46</v>
      </c>
      <c r="E78" s="4">
        <v>37</v>
      </c>
      <c r="F78" s="4">
        <v>6.5</v>
      </c>
      <c r="G78" s="4">
        <v>5.8</v>
      </c>
      <c r="H78" s="4">
        <v>117.1</v>
      </c>
      <c r="I78" s="4">
        <v>89</v>
      </c>
      <c r="J78" s="4">
        <v>-384</v>
      </c>
      <c r="K78" s="4">
        <v>2</v>
      </c>
      <c r="L78" s="4">
        <f>1746+1389+1290</f>
        <v>4425</v>
      </c>
      <c r="M78" s="4">
        <f>42+17</f>
        <v>59</v>
      </c>
    </row>
    <row r="79" spans="1:13">
      <c r="A79" s="5" t="s">
        <v>99</v>
      </c>
      <c r="B79" s="4">
        <v>1328</v>
      </c>
      <c r="C79" s="4">
        <v>785</v>
      </c>
      <c r="D79" s="4">
        <v>116</v>
      </c>
      <c r="E79" s="4">
        <v>31</v>
      </c>
      <c r="F79" s="4">
        <f>11488/B79</f>
        <v>8.6506024096385534</v>
      </c>
      <c r="G79" s="4">
        <f>((F79*B79)+(20*D79)-(45*E79))/B79</f>
        <v>9.3471385542168655</v>
      </c>
      <c r="H79" s="4">
        <f>(8.4*F79*B79+330*D79-200*E79+100*C79)/B79</f>
        <v>155.9331325301205</v>
      </c>
      <c r="I79" s="4">
        <v>51</v>
      </c>
      <c r="J79" s="4">
        <v>-62</v>
      </c>
      <c r="K79" s="4">
        <v>4</v>
      </c>
      <c r="L79" s="4">
        <f>2137+2545+3817+2327+2455</f>
        <v>13281</v>
      </c>
      <c r="M79" s="4">
        <f>16+17+21+3</f>
        <v>57</v>
      </c>
    </row>
    <row r="80" spans="1:13">
      <c r="A80" s="5" t="s">
        <v>85</v>
      </c>
      <c r="B80" s="4">
        <v>1211</v>
      </c>
      <c r="C80" s="4">
        <v>769</v>
      </c>
      <c r="D80" s="4">
        <v>104</v>
      </c>
      <c r="E80" s="4">
        <v>30</v>
      </c>
      <c r="F80" s="4">
        <v>7.8</v>
      </c>
      <c r="G80" s="4">
        <v>8.4</v>
      </c>
      <c r="H80" s="4">
        <v>152.30000000000001</v>
      </c>
      <c r="I80" s="4">
        <v>656</v>
      </c>
      <c r="J80" s="4">
        <v>3263</v>
      </c>
      <c r="K80" s="4">
        <v>43</v>
      </c>
      <c r="L80" s="4">
        <f>3967+3188+3188+3405</f>
        <v>13748</v>
      </c>
      <c r="M80" s="4">
        <f>29+27+19</f>
        <v>75</v>
      </c>
    </row>
    <row r="81" spans="1:13">
      <c r="A81" s="5" t="s">
        <v>108</v>
      </c>
      <c r="B81" s="4">
        <v>607</v>
      </c>
      <c r="C81" s="4">
        <v>359</v>
      </c>
      <c r="D81" s="4">
        <v>36</v>
      </c>
      <c r="E81" s="4">
        <v>21</v>
      </c>
      <c r="F81" s="4">
        <v>8.3000000000000007</v>
      </c>
      <c r="G81" s="4">
        <v>7.9</v>
      </c>
      <c r="H81" s="4">
        <v>141.6</v>
      </c>
      <c r="I81" s="4">
        <v>109</v>
      </c>
      <c r="J81" s="4">
        <v>-142</v>
      </c>
      <c r="K81" s="4">
        <v>4</v>
      </c>
      <c r="L81" s="4">
        <f>2568+2834+2135+2016</f>
        <v>9553</v>
      </c>
      <c r="M81" s="4">
        <f>36+19</f>
        <v>55</v>
      </c>
    </row>
    <row r="82" spans="1:13">
      <c r="A82" s="5" t="s">
        <v>101</v>
      </c>
      <c r="B82" s="4">
        <v>1387</v>
      </c>
      <c r="C82" s="4">
        <v>908</v>
      </c>
      <c r="D82" s="4">
        <v>96</v>
      </c>
      <c r="E82" s="4">
        <v>31</v>
      </c>
      <c r="F82" s="4">
        <v>8.6999999999999993</v>
      </c>
      <c r="G82" s="4">
        <v>9.1</v>
      </c>
      <c r="H82" s="4">
        <v>157.1</v>
      </c>
      <c r="I82" s="4">
        <v>277</v>
      </c>
      <c r="J82" s="4">
        <v>620</v>
      </c>
      <c r="K82" s="4">
        <v>13</v>
      </c>
      <c r="L82" s="4">
        <f>3194+2648+2221+1394</f>
        <v>9457</v>
      </c>
      <c r="M82" s="4">
        <f>17+22+31+13+3</f>
        <v>86</v>
      </c>
    </row>
    <row r="83" spans="1:13">
      <c r="A83" s="5" t="s">
        <v>100</v>
      </c>
      <c r="B83" s="4">
        <v>434</v>
      </c>
      <c r="C83" s="4">
        <v>282</v>
      </c>
      <c r="D83" s="4">
        <v>29</v>
      </c>
      <c r="E83" s="4">
        <v>7</v>
      </c>
      <c r="F83" s="4">
        <v>8</v>
      </c>
      <c r="G83" s="4">
        <v>8.6999999999999993</v>
      </c>
      <c r="H83" s="4">
        <v>151.4</v>
      </c>
      <c r="I83" s="4">
        <v>73</v>
      </c>
      <c r="J83" s="4">
        <v>-5</v>
      </c>
      <c r="K83" s="4">
        <v>6</v>
      </c>
      <c r="L83" s="4">
        <f>2209+3352+1854+2296</f>
        <v>9711</v>
      </c>
      <c r="M83" s="4">
        <f>10+17</f>
        <v>27</v>
      </c>
    </row>
    <row r="84" spans="1:13">
      <c r="A84" s="5" t="s">
        <v>128</v>
      </c>
      <c r="B84" s="4">
        <v>923</v>
      </c>
      <c r="C84" s="4">
        <v>540</v>
      </c>
      <c r="D84" s="4">
        <v>38</v>
      </c>
      <c r="E84" s="4">
        <v>24</v>
      </c>
      <c r="F84" s="4">
        <v>6.3</v>
      </c>
      <c r="G84" s="4">
        <v>5.9</v>
      </c>
      <c r="H84" s="4">
        <v>119.6</v>
      </c>
      <c r="I84" s="4">
        <v>230</v>
      </c>
      <c r="J84" s="4">
        <v>800</v>
      </c>
      <c r="K84" s="4">
        <v>16</v>
      </c>
      <c r="L84" s="4">
        <f>1129+1628+2492+2364</f>
        <v>7613</v>
      </c>
      <c r="M84" s="4">
        <f>11+13</f>
        <v>24</v>
      </c>
    </row>
    <row r="85" spans="1:13">
      <c r="A85" s="5" t="s">
        <v>119</v>
      </c>
      <c r="B85" s="4">
        <v>1031</v>
      </c>
      <c r="C85" s="4">
        <v>638</v>
      </c>
      <c r="D85" s="4">
        <v>70</v>
      </c>
      <c r="E85" s="4">
        <v>27</v>
      </c>
      <c r="F85" s="4">
        <v>8.3000000000000007</v>
      </c>
      <c r="G85" s="4">
        <v>8.5</v>
      </c>
      <c r="H85" s="4">
        <v>148.69999999999999</v>
      </c>
      <c r="I85" s="4">
        <v>115</v>
      </c>
      <c r="J85" s="4">
        <v>196</v>
      </c>
      <c r="K85" s="4">
        <v>9</v>
      </c>
      <c r="L85" s="4">
        <f>2071+2571+2831+2603</f>
        <v>10076</v>
      </c>
      <c r="M85" s="4">
        <f>16+4+13</f>
        <v>33</v>
      </c>
    </row>
    <row r="86" spans="1:13">
      <c r="A86" s="5" t="s">
        <v>109</v>
      </c>
      <c r="B86" s="4">
        <v>973</v>
      </c>
      <c r="C86" s="4">
        <v>563</v>
      </c>
      <c r="D86" s="4">
        <v>43</v>
      </c>
      <c r="E86" s="4">
        <v>19</v>
      </c>
      <c r="F86" s="4">
        <v>7.3</v>
      </c>
      <c r="G86" s="4">
        <v>7.3</v>
      </c>
      <c r="H86" s="4">
        <v>129.6</v>
      </c>
      <c r="I86" s="4">
        <v>201</v>
      </c>
      <c r="J86" s="4">
        <v>70</v>
      </c>
      <c r="K86" s="4">
        <v>7</v>
      </c>
      <c r="L86" s="4">
        <f>805+1886+2796+2699</f>
        <v>8186</v>
      </c>
      <c r="M86" s="4">
        <f>42+17+27</f>
        <v>86</v>
      </c>
    </row>
    <row r="87" spans="1:13">
      <c r="A87" s="5" t="s">
        <v>130</v>
      </c>
      <c r="B87" s="4">
        <v>1085</v>
      </c>
      <c r="C87" s="4">
        <v>631</v>
      </c>
      <c r="D87" s="4">
        <v>42</v>
      </c>
      <c r="E87" s="4">
        <v>19</v>
      </c>
      <c r="F87" s="4">
        <v>6.5</v>
      </c>
      <c r="G87" s="4">
        <v>6.4</v>
      </c>
      <c r="H87" s="4">
        <v>121.7</v>
      </c>
      <c r="I87" s="4">
        <v>61</v>
      </c>
      <c r="J87" s="4">
        <v>-304</v>
      </c>
      <c r="K87" s="4">
        <v>1</v>
      </c>
      <c r="L87" s="4">
        <f>2799+1527+1551+1686</f>
        <v>7563</v>
      </c>
      <c r="M87" s="4">
        <f>13+18+14</f>
        <v>45</v>
      </c>
    </row>
    <row r="88" spans="1:13">
      <c r="A88" s="5" t="s">
        <v>129</v>
      </c>
      <c r="B88" s="4">
        <v>1412</v>
      </c>
      <c r="C88" s="4">
        <v>887</v>
      </c>
      <c r="D88" s="4">
        <v>60</v>
      </c>
      <c r="E88" s="4">
        <v>35</v>
      </c>
      <c r="F88" s="4">
        <v>6.9</v>
      </c>
      <c r="G88" s="4">
        <v>6.6</v>
      </c>
      <c r="H88" s="4">
        <v>129.9</v>
      </c>
      <c r="I88" s="4">
        <v>382</v>
      </c>
      <c r="J88" s="4">
        <v>933</v>
      </c>
      <c r="K88" s="4">
        <v>13</v>
      </c>
      <c r="L88" s="4">
        <f>1450+1855+2031+2557</f>
        <v>7893</v>
      </c>
      <c r="M88" s="4">
        <f>28+23+23</f>
        <v>74</v>
      </c>
    </row>
    <row r="89" spans="1:13">
      <c r="A89" s="5" t="s">
        <v>126</v>
      </c>
      <c r="B89" s="4">
        <v>1029</v>
      </c>
      <c r="C89" s="4">
        <v>580</v>
      </c>
      <c r="D89" s="4">
        <v>36</v>
      </c>
      <c r="E89" s="4">
        <v>32</v>
      </c>
      <c r="F89" s="4">
        <v>7.1</v>
      </c>
      <c r="G89" s="4">
        <v>6.4</v>
      </c>
      <c r="H89" s="4">
        <v>121.2</v>
      </c>
      <c r="I89" s="4">
        <v>446</v>
      </c>
      <c r="J89" s="4">
        <v>1495</v>
      </c>
      <c r="K89" s="4">
        <v>33</v>
      </c>
      <c r="L89" s="4">
        <f>2387+1873+2801+2538</f>
        <v>9599</v>
      </c>
      <c r="M89" s="4">
        <f>13+20+32</f>
        <v>65</v>
      </c>
    </row>
    <row r="90" spans="1:13">
      <c r="A90" s="5" t="s">
        <v>120</v>
      </c>
      <c r="B90" s="4">
        <v>852</v>
      </c>
      <c r="C90" s="4">
        <v>473</v>
      </c>
      <c r="D90" s="4">
        <v>44</v>
      </c>
      <c r="E90" s="4">
        <v>26</v>
      </c>
      <c r="F90" s="4">
        <v>6.9</v>
      </c>
      <c r="G90" s="4">
        <v>6.5</v>
      </c>
      <c r="H90" s="4">
        <v>124.2</v>
      </c>
      <c r="I90" s="4">
        <v>253</v>
      </c>
      <c r="J90" s="4">
        <v>1467</v>
      </c>
      <c r="K90" s="4">
        <v>18</v>
      </c>
      <c r="L90" s="4">
        <f>2911+3395+2887+2754</f>
        <v>11947</v>
      </c>
    </row>
    <row r="91" spans="1:13">
      <c r="A91" s="5" t="s">
        <v>112</v>
      </c>
      <c r="B91" s="4">
        <v>1037</v>
      </c>
      <c r="C91" s="4">
        <v>650</v>
      </c>
      <c r="D91" s="4">
        <v>50</v>
      </c>
      <c r="E91" s="4">
        <v>21</v>
      </c>
      <c r="F91" s="4">
        <f>8300/B91</f>
        <v>8.0038572806171651</v>
      </c>
      <c r="G91" s="4">
        <f>((F91*B91)+(20*D91)-(45*E91))/B91</f>
        <v>8.056894889103182</v>
      </c>
      <c r="H91" s="4">
        <f>(8.4*F91*B91+330*D91-200*E91+100*C91)/B91</f>
        <v>141.77434908389586</v>
      </c>
      <c r="I91" s="4">
        <v>179</v>
      </c>
      <c r="J91" s="4">
        <v>427</v>
      </c>
      <c r="K91" s="4">
        <v>15</v>
      </c>
      <c r="L91" s="4">
        <f>1237+2284+1317</f>
        <v>4838</v>
      </c>
      <c r="M91" s="4">
        <f>16+16+17</f>
        <v>49</v>
      </c>
    </row>
    <row r="92" spans="1:13">
      <c r="A92" s="5" t="s">
        <v>114</v>
      </c>
      <c r="B92" s="4">
        <v>669</v>
      </c>
      <c r="C92" s="4">
        <v>390</v>
      </c>
      <c r="D92" s="4">
        <v>40</v>
      </c>
      <c r="E92" s="4">
        <v>16</v>
      </c>
      <c r="F92" s="4">
        <v>8.1</v>
      </c>
      <c r="G92" s="4">
        <v>8.1999999999999993</v>
      </c>
      <c r="H92" s="4">
        <v>140.9</v>
      </c>
      <c r="I92" s="4">
        <v>122</v>
      </c>
      <c r="J92" s="4">
        <v>-6</v>
      </c>
      <c r="K92" s="4">
        <v>9</v>
      </c>
      <c r="L92" s="4">
        <f>2497+2093+2580+1800</f>
        <v>8970</v>
      </c>
      <c r="M92" s="4">
        <f>13+3+25</f>
        <v>41</v>
      </c>
    </row>
    <row r="93" spans="1:13">
      <c r="A93" s="5" t="s">
        <v>111</v>
      </c>
      <c r="B93" s="4">
        <v>932</v>
      </c>
      <c r="C93" s="4">
        <v>586</v>
      </c>
      <c r="D93" s="4">
        <v>44</v>
      </c>
      <c r="E93" s="4">
        <v>22</v>
      </c>
      <c r="F93" s="4">
        <f>6341/B93</f>
        <v>6.8036480686695278</v>
      </c>
      <c r="G93" s="4">
        <f>((F93*B93)+(20*D93)-(45*E93))/B93</f>
        <v>6.6856223175965663</v>
      </c>
      <c r="H93" s="4">
        <f>(8.4*F93*B93+330*D93-200*E93+100*C93)/B93</f>
        <v>130.88454935622318</v>
      </c>
      <c r="I93" s="4">
        <v>177</v>
      </c>
      <c r="J93" s="4">
        <v>567</v>
      </c>
      <c r="K93" s="4">
        <v>21</v>
      </c>
      <c r="L93" s="4">
        <f>2054+2591+1960</f>
        <v>6605</v>
      </c>
    </row>
    <row r="94" spans="1:13">
      <c r="A94" s="5" t="s">
        <v>89</v>
      </c>
      <c r="B94" s="4">
        <v>83</v>
      </c>
      <c r="C94" s="4">
        <v>45</v>
      </c>
      <c r="D94" s="4">
        <v>9</v>
      </c>
      <c r="E94" s="4">
        <v>3</v>
      </c>
      <c r="F94" s="4">
        <v>7</v>
      </c>
      <c r="G94" s="4">
        <v>7.5</v>
      </c>
      <c r="H94" s="4">
        <v>141.5</v>
      </c>
      <c r="I94" s="4">
        <v>62</v>
      </c>
      <c r="J94" s="4">
        <v>365</v>
      </c>
      <c r="K94" s="4">
        <v>6</v>
      </c>
      <c r="L94" s="4">
        <f>4098+4189</f>
        <v>8287</v>
      </c>
      <c r="M94" s="4">
        <v>5</v>
      </c>
    </row>
    <row r="95" spans="1:13">
      <c r="A95" s="5" t="s">
        <v>69</v>
      </c>
      <c r="B95" s="4">
        <v>803</v>
      </c>
      <c r="C95" s="4">
        <v>513</v>
      </c>
      <c r="D95" s="4">
        <v>50</v>
      </c>
      <c r="E95" s="4">
        <v>21</v>
      </c>
      <c r="F95" s="4">
        <v>8.5</v>
      </c>
      <c r="G95" s="4">
        <v>8.6</v>
      </c>
      <c r="H95" s="4">
        <v>150.9</v>
      </c>
      <c r="I95" s="4">
        <v>203</v>
      </c>
      <c r="J95" s="4">
        <v>958</v>
      </c>
      <c r="K95" s="4">
        <v>16</v>
      </c>
      <c r="L95" s="4">
        <f>2270+2380+1793</f>
        <v>6443</v>
      </c>
      <c r="M95" s="4">
        <f>18+16+1</f>
        <v>35</v>
      </c>
    </row>
    <row r="96" spans="1:13">
      <c r="A96" s="5" t="s">
        <v>92</v>
      </c>
      <c r="B96" s="4">
        <v>1080</v>
      </c>
      <c r="C96" s="4">
        <v>666</v>
      </c>
      <c r="D96" s="4">
        <v>54</v>
      </c>
      <c r="E96" s="4">
        <v>27</v>
      </c>
      <c r="F96" s="4">
        <v>7.3</v>
      </c>
      <c r="G96" s="4">
        <v>7.1</v>
      </c>
      <c r="H96" s="4">
        <v>134.1</v>
      </c>
      <c r="I96" s="4">
        <v>192</v>
      </c>
      <c r="J96" s="4">
        <v>560</v>
      </c>
      <c r="K96" s="4">
        <v>12</v>
      </c>
      <c r="L96" s="4">
        <f>2399+2120+2057</f>
        <v>6576</v>
      </c>
      <c r="M96" s="4">
        <f>14+18+17</f>
        <v>49</v>
      </c>
    </row>
    <row r="97" spans="1:12">
      <c r="A97" s="6" t="s">
        <v>67</v>
      </c>
      <c r="B97" s="4">
        <v>1194</v>
      </c>
      <c r="C97" s="4">
        <v>758</v>
      </c>
      <c r="D97" s="4">
        <v>73</v>
      </c>
      <c r="E97" s="4">
        <v>35</v>
      </c>
      <c r="F97" s="4">
        <f>10465/B97</f>
        <v>8.7646566164154098</v>
      </c>
      <c r="G97" s="4">
        <f>((F97*B97)+(20*D97)-(45*E97))/B97</f>
        <v>8.6683417085427141</v>
      </c>
      <c r="H97" s="4">
        <f>(8.4*F97*B97+330*D97-200*E97+100*C97)/B97</f>
        <v>151.42043551088778</v>
      </c>
      <c r="I97" s="4">
        <v>198</v>
      </c>
      <c r="J97" s="4">
        <v>186</v>
      </c>
      <c r="K97" s="4">
        <v>12</v>
      </c>
      <c r="L97" s="4">
        <f>2447+1435+1229+1358</f>
        <v>6469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DEB3-DCC7-442F-B778-4BF922B816D2}">
  <dimension ref="B1:G12"/>
  <sheetViews>
    <sheetView workbookViewId="0">
      <selection activeCell="B1" sqref="B1"/>
    </sheetView>
  </sheetViews>
  <sheetFormatPr defaultRowHeight="15"/>
  <cols>
    <col min="2" max="2" width="11.7109375" bestFit="1" customWidth="1"/>
    <col min="3" max="3" width="19.7109375" bestFit="1" customWidth="1"/>
    <col min="5" max="5" width="14.42578125" bestFit="1" customWidth="1"/>
    <col min="6" max="6" width="20.140625" bestFit="1" customWidth="1"/>
    <col min="7" max="7" width="18.85546875" bestFit="1" customWidth="1"/>
  </cols>
  <sheetData>
    <row r="1" spans="2:7"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</row>
    <row r="2" spans="2:7">
      <c r="B2" t="s">
        <v>195</v>
      </c>
      <c r="C2" t="s">
        <v>273</v>
      </c>
      <c r="D2">
        <v>0.76490000000000002</v>
      </c>
      <c r="E2">
        <v>5.7229999999999999</v>
      </c>
      <c r="F2">
        <v>7</v>
      </c>
      <c r="G2" s="15">
        <v>5.2850000000000001</v>
      </c>
    </row>
    <row r="3" spans="2:7">
      <c r="B3" t="s">
        <v>193</v>
      </c>
      <c r="C3" t="s">
        <v>274</v>
      </c>
      <c r="D3">
        <v>0.91010000000000002</v>
      </c>
      <c r="E3" t="s">
        <v>275</v>
      </c>
      <c r="F3">
        <v>1</v>
      </c>
      <c r="G3" s="15">
        <v>8</v>
      </c>
    </row>
    <row r="4" spans="2:7">
      <c r="B4" t="s">
        <v>276</v>
      </c>
      <c r="C4" t="s">
        <v>277</v>
      </c>
      <c r="D4">
        <v>0.10929999999999999</v>
      </c>
      <c r="E4" t="s">
        <v>275</v>
      </c>
      <c r="F4">
        <v>0.3</v>
      </c>
      <c r="G4" s="15">
        <v>-0.156</v>
      </c>
    </row>
    <row r="5" spans="2:7">
      <c r="B5" t="s">
        <v>278</v>
      </c>
      <c r="C5" t="s">
        <v>279</v>
      </c>
      <c r="D5">
        <v>5.2499999999999998E-2</v>
      </c>
      <c r="E5" t="s">
        <v>275</v>
      </c>
      <c r="F5">
        <v>8.5000000000000006E-2</v>
      </c>
      <c r="G5" s="15">
        <v>0.04</v>
      </c>
    </row>
    <row r="6" spans="2:7">
      <c r="B6" t="s">
        <v>280</v>
      </c>
      <c r="C6" t="s">
        <v>281</v>
      </c>
      <c r="D6">
        <v>9.9400000000000002E-2</v>
      </c>
      <c r="E6" t="s">
        <v>275</v>
      </c>
      <c r="F6">
        <v>170</v>
      </c>
      <c r="G6" s="15">
        <f>16.815/0.1495</f>
        <v>112.47491638795988</v>
      </c>
    </row>
    <row r="7" spans="2:7">
      <c r="B7" t="s">
        <v>209</v>
      </c>
      <c r="C7" t="s">
        <v>282</v>
      </c>
      <c r="D7">
        <v>6.08E-2</v>
      </c>
      <c r="E7" t="s">
        <v>275</v>
      </c>
      <c r="F7">
        <v>4</v>
      </c>
      <c r="G7">
        <v>1</v>
      </c>
    </row>
    <row r="8" spans="2:7">
      <c r="B8" t="s">
        <v>210</v>
      </c>
      <c r="C8" s="16" t="s">
        <v>283</v>
      </c>
      <c r="D8">
        <v>5.7099999999999998E-2</v>
      </c>
      <c r="E8" t="s">
        <v>275</v>
      </c>
      <c r="F8">
        <v>2.5</v>
      </c>
      <c r="G8">
        <v>15</v>
      </c>
    </row>
    <row r="9" spans="2:7">
      <c r="B9" t="s">
        <v>211</v>
      </c>
      <c r="C9" t="s">
        <v>284</v>
      </c>
      <c r="D9">
        <v>0.16689999999999999</v>
      </c>
      <c r="E9" t="s">
        <v>275</v>
      </c>
      <c r="F9">
        <v>9.1999999999999993</v>
      </c>
      <c r="G9" s="15">
        <f>14.16/2.2619</f>
        <v>6.2602237057341181</v>
      </c>
    </row>
    <row r="10" spans="2:7">
      <c r="B10" t="s">
        <v>212</v>
      </c>
      <c r="C10" t="s">
        <v>285</v>
      </c>
      <c r="D10">
        <v>0.14069999999999999</v>
      </c>
      <c r="E10" t="s">
        <v>275</v>
      </c>
      <c r="F10">
        <v>10</v>
      </c>
      <c r="G10" s="15">
        <f>9.1312/1.6571</f>
        <v>5.5103494055880757</v>
      </c>
    </row>
    <row r="11" spans="2:7">
      <c r="B11" t="s">
        <v>286</v>
      </c>
      <c r="C11" s="16" t="s">
        <v>287</v>
      </c>
      <c r="D11">
        <v>0.2097</v>
      </c>
      <c r="E11" t="s">
        <v>275</v>
      </c>
      <c r="F11">
        <v>4.75</v>
      </c>
      <c r="G11" s="15">
        <f>EXP(-110.26/-66.95)</f>
        <v>5.1908666724257149</v>
      </c>
    </row>
    <row r="12" spans="2:7">
      <c r="B12" t="s">
        <v>215</v>
      </c>
      <c r="C12" t="s">
        <v>288</v>
      </c>
      <c r="D12">
        <v>6.5699999999999995E-2</v>
      </c>
      <c r="E12" t="s">
        <v>275</v>
      </c>
      <c r="F12">
        <v>10.25</v>
      </c>
      <c r="G12" s="15">
        <v>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E1FE-78E9-4331-99A7-109516868556}">
  <dimension ref="A2:H90"/>
  <sheetViews>
    <sheetView workbookViewId="0">
      <selection activeCell="J61" sqref="J61"/>
    </sheetView>
  </sheetViews>
  <sheetFormatPr defaultRowHeight="15"/>
  <cols>
    <col min="1" max="1" width="12.5703125" bestFit="1" customWidth="1"/>
    <col min="2" max="2" width="19.42578125" bestFit="1" customWidth="1"/>
  </cols>
  <sheetData>
    <row r="2" spans="1:5">
      <c r="A2" s="24" t="s">
        <v>212</v>
      </c>
      <c r="B2" t="s">
        <v>289</v>
      </c>
      <c r="D2" s="25" t="s">
        <v>208</v>
      </c>
      <c r="E2" s="25" t="s">
        <v>289</v>
      </c>
    </row>
    <row r="3" spans="1:5">
      <c r="A3">
        <v>11.1</v>
      </c>
      <c r="B3">
        <v>6.8</v>
      </c>
      <c r="D3">
        <v>181.3</v>
      </c>
      <c r="E3">
        <v>6.8</v>
      </c>
    </row>
    <row r="4" spans="1:5">
      <c r="A4">
        <v>10.6</v>
      </c>
      <c r="B4">
        <v>6.25</v>
      </c>
      <c r="D4">
        <v>175.4</v>
      </c>
      <c r="E4">
        <v>6.7</v>
      </c>
    </row>
    <row r="5" spans="1:5">
      <c r="A5">
        <v>10.5</v>
      </c>
      <c r="B5">
        <v>6.8</v>
      </c>
      <c r="D5">
        <v>174</v>
      </c>
      <c r="E5">
        <v>6.7</v>
      </c>
    </row>
    <row r="6" spans="1:5">
      <c r="A6">
        <v>10.3</v>
      </c>
      <c r="B6">
        <v>6.7</v>
      </c>
      <c r="D6">
        <v>171.8</v>
      </c>
      <c r="E6">
        <v>6.8</v>
      </c>
    </row>
    <row r="7" spans="1:5">
      <c r="A7">
        <v>9.9</v>
      </c>
      <c r="B7">
        <v>6.2</v>
      </c>
      <c r="D7">
        <v>166</v>
      </c>
      <c r="E7">
        <v>5.8</v>
      </c>
    </row>
    <row r="8" spans="1:5">
      <c r="A8">
        <v>9.6999999999999993</v>
      </c>
      <c r="B8">
        <v>5.9</v>
      </c>
      <c r="D8">
        <v>165.2</v>
      </c>
      <c r="E8">
        <v>5.9</v>
      </c>
    </row>
    <row r="9" spans="1:5">
      <c r="A9">
        <v>9.6</v>
      </c>
      <c r="B9">
        <v>5.4</v>
      </c>
      <c r="D9">
        <v>163.30000000000001</v>
      </c>
      <c r="E9">
        <v>7</v>
      </c>
    </row>
    <row r="10" spans="1:5">
      <c r="A10">
        <v>9.4063745019920315</v>
      </c>
      <c r="B10">
        <v>5.4</v>
      </c>
      <c r="D10">
        <v>162.9</v>
      </c>
      <c r="E10">
        <v>5.4</v>
      </c>
    </row>
    <row r="11" spans="1:5">
      <c r="A11">
        <v>9.4</v>
      </c>
      <c r="B11">
        <v>7</v>
      </c>
      <c r="D11">
        <v>161.39086294416245</v>
      </c>
      <c r="E11">
        <v>5.4</v>
      </c>
    </row>
    <row r="12" spans="1:5">
      <c r="A12">
        <v>9.380612244897959</v>
      </c>
      <c r="B12">
        <v>5.4</v>
      </c>
      <c r="D12">
        <v>161</v>
      </c>
      <c r="E12">
        <v>5.6</v>
      </c>
    </row>
    <row r="13" spans="1:5">
      <c r="A13">
        <v>9.3471385542168655</v>
      </c>
      <c r="B13">
        <v>5.4</v>
      </c>
      <c r="D13">
        <v>159.69999999999999</v>
      </c>
      <c r="E13">
        <v>6.2</v>
      </c>
    </row>
    <row r="14" spans="1:5">
      <c r="A14">
        <v>9.3045685279187822</v>
      </c>
      <c r="B14">
        <v>5.4</v>
      </c>
      <c r="D14">
        <v>159.45020408163268</v>
      </c>
      <c r="E14">
        <v>5.4</v>
      </c>
    </row>
    <row r="15" spans="1:5">
      <c r="A15">
        <v>9.3000000000000007</v>
      </c>
      <c r="B15">
        <v>5.6</v>
      </c>
      <c r="D15">
        <v>157.6</v>
      </c>
      <c r="E15">
        <v>7</v>
      </c>
    </row>
    <row r="16" spans="1:5">
      <c r="A16">
        <v>9.1</v>
      </c>
      <c r="B16">
        <v>5.5</v>
      </c>
      <c r="D16">
        <v>157.5</v>
      </c>
      <c r="E16">
        <v>6.8</v>
      </c>
    </row>
    <row r="17" spans="1:8">
      <c r="A17">
        <v>9</v>
      </c>
      <c r="B17">
        <v>6.2333333333333334</v>
      </c>
      <c r="D17">
        <v>157.1</v>
      </c>
      <c r="E17">
        <v>5.5</v>
      </c>
      <c r="G17" s="25" t="s">
        <v>212</v>
      </c>
      <c r="H17" s="25" t="s">
        <v>289</v>
      </c>
    </row>
    <row r="18" spans="1:8">
      <c r="A18">
        <v>8.9</v>
      </c>
      <c r="B18">
        <v>5.9</v>
      </c>
      <c r="D18">
        <v>156.80000000000001</v>
      </c>
      <c r="E18">
        <v>5.4</v>
      </c>
      <c r="G18">
        <v>11.1</v>
      </c>
      <c r="H18">
        <v>6.8</v>
      </c>
    </row>
    <row r="19" spans="1:8">
      <c r="A19">
        <v>8.8664710198092447</v>
      </c>
      <c r="B19">
        <v>5.4</v>
      </c>
      <c r="D19">
        <v>156.59654714475434</v>
      </c>
      <c r="E19">
        <v>5.4</v>
      </c>
      <c r="G19">
        <v>10.6</v>
      </c>
      <c r="H19">
        <v>6.25</v>
      </c>
    </row>
    <row r="20" spans="1:8">
      <c r="A20">
        <v>8.8000000000000007</v>
      </c>
      <c r="B20">
        <v>6.5</v>
      </c>
      <c r="D20">
        <v>156.4</v>
      </c>
      <c r="E20">
        <v>5.9</v>
      </c>
      <c r="G20">
        <v>10.5</v>
      </c>
      <c r="H20">
        <v>6.8</v>
      </c>
    </row>
    <row r="21" spans="1:8">
      <c r="A21">
        <v>8.6999999999999993</v>
      </c>
      <c r="B21">
        <v>6.08</v>
      </c>
      <c r="D21">
        <v>155.9331325301205</v>
      </c>
      <c r="E21">
        <v>5.4</v>
      </c>
      <c r="G21">
        <v>10.3</v>
      </c>
      <c r="H21">
        <v>6.7</v>
      </c>
    </row>
    <row r="22" spans="1:8">
      <c r="A22">
        <v>8.6683417085427141</v>
      </c>
      <c r="B22">
        <v>5.8</v>
      </c>
      <c r="D22">
        <v>155.19999999999999</v>
      </c>
      <c r="E22">
        <v>5.6</v>
      </c>
      <c r="G22">
        <v>9.9</v>
      </c>
      <c r="H22">
        <v>6.2</v>
      </c>
    </row>
    <row r="23" spans="1:8">
      <c r="A23">
        <v>8.6</v>
      </c>
      <c r="B23">
        <v>5.8249999999999993</v>
      </c>
      <c r="D23">
        <v>154.6</v>
      </c>
      <c r="E23">
        <v>5.5</v>
      </c>
      <c r="G23">
        <v>9.6999999999999993</v>
      </c>
      <c r="H23">
        <v>5.9</v>
      </c>
    </row>
    <row r="24" spans="1:8">
      <c r="A24">
        <v>8.5</v>
      </c>
      <c r="B24">
        <v>5.7200000000000006</v>
      </c>
      <c r="D24">
        <v>153.9</v>
      </c>
      <c r="E24">
        <v>6.7</v>
      </c>
      <c r="G24">
        <v>9.6</v>
      </c>
      <c r="H24">
        <v>5.4</v>
      </c>
    </row>
    <row r="25" spans="1:8">
      <c r="A25">
        <v>8.4</v>
      </c>
      <c r="B25">
        <v>5.4</v>
      </c>
      <c r="D25">
        <v>153.69999999999999</v>
      </c>
      <c r="E25">
        <v>7.1</v>
      </c>
      <c r="G25">
        <v>9.4063745019920315</v>
      </c>
      <c r="H25">
        <v>5.4</v>
      </c>
    </row>
    <row r="26" spans="1:8">
      <c r="A26">
        <v>8.3000000000000007</v>
      </c>
      <c r="B26">
        <v>5.9249999999999998</v>
      </c>
      <c r="D26">
        <v>153.19999999999999</v>
      </c>
      <c r="E26">
        <v>5.4</v>
      </c>
      <c r="G26">
        <v>9.4</v>
      </c>
      <c r="H26">
        <v>7</v>
      </c>
    </row>
    <row r="27" spans="1:8">
      <c r="A27">
        <v>8.1999999999999993</v>
      </c>
      <c r="B27">
        <v>5.8999999999999995</v>
      </c>
      <c r="D27">
        <v>152.30000000000001</v>
      </c>
      <c r="E27">
        <v>5.4</v>
      </c>
      <c r="G27">
        <v>9.380612244897959</v>
      </c>
      <c r="H27">
        <v>5.4</v>
      </c>
    </row>
    <row r="28" spans="1:8">
      <c r="A28">
        <v>8.1</v>
      </c>
      <c r="B28">
        <v>6.55</v>
      </c>
      <c r="D28">
        <v>152</v>
      </c>
      <c r="E28">
        <v>6.3</v>
      </c>
      <c r="G28">
        <v>9.3471385542168655</v>
      </c>
      <c r="H28">
        <v>5.4</v>
      </c>
    </row>
    <row r="29" spans="1:8">
      <c r="A29">
        <v>8.056894889103182</v>
      </c>
      <c r="B29">
        <v>5.0999999999999996</v>
      </c>
      <c r="D29">
        <v>151.42043551088778</v>
      </c>
      <c r="E29">
        <v>5.8</v>
      </c>
      <c r="G29">
        <v>9.3045685279187822</v>
      </c>
      <c r="H29">
        <v>5.4</v>
      </c>
    </row>
    <row r="30" spans="1:8">
      <c r="A30">
        <v>8</v>
      </c>
      <c r="B30">
        <v>6.125</v>
      </c>
      <c r="D30">
        <v>151.4</v>
      </c>
      <c r="E30">
        <v>5.75</v>
      </c>
      <c r="G30">
        <v>9.3000000000000007</v>
      </c>
      <c r="H30">
        <v>5.6</v>
      </c>
    </row>
    <row r="31" spans="1:8">
      <c r="A31">
        <v>7.9</v>
      </c>
      <c r="B31">
        <v>5.4</v>
      </c>
      <c r="D31">
        <v>151.00073367571534</v>
      </c>
      <c r="E31">
        <v>5.4</v>
      </c>
      <c r="G31">
        <v>9.1</v>
      </c>
      <c r="H31">
        <v>5.5</v>
      </c>
    </row>
    <row r="32" spans="1:8">
      <c r="A32">
        <v>7.8</v>
      </c>
      <c r="B32">
        <v>5.6</v>
      </c>
      <c r="D32">
        <v>150.9</v>
      </c>
      <c r="E32">
        <v>5.9</v>
      </c>
      <c r="G32">
        <v>9</v>
      </c>
      <c r="H32">
        <v>6.2333333333333334</v>
      </c>
    </row>
    <row r="33" spans="1:8">
      <c r="A33">
        <v>7.7</v>
      </c>
      <c r="B33">
        <v>6.1</v>
      </c>
      <c r="D33">
        <v>150.80000000000001</v>
      </c>
      <c r="E33">
        <v>6.1</v>
      </c>
      <c r="G33">
        <v>8.9</v>
      </c>
      <c r="H33">
        <v>5.9</v>
      </c>
    </row>
    <row r="34" spans="1:8">
      <c r="A34">
        <v>7.6</v>
      </c>
      <c r="B34">
        <v>6.2</v>
      </c>
      <c r="D34">
        <v>150.5</v>
      </c>
      <c r="E34">
        <v>5.4</v>
      </c>
      <c r="G34">
        <v>8.8664710198092447</v>
      </c>
      <c r="H34">
        <v>5.4</v>
      </c>
    </row>
    <row r="35" spans="1:8">
      <c r="A35">
        <v>7.5337487019730007</v>
      </c>
      <c r="B35">
        <v>5.5</v>
      </c>
      <c r="D35">
        <v>149.30000000000001</v>
      </c>
      <c r="E35">
        <v>5.6</v>
      </c>
      <c r="G35">
        <v>8.8000000000000007</v>
      </c>
      <c r="H35">
        <v>6.5</v>
      </c>
    </row>
    <row r="36" spans="1:8">
      <c r="A36">
        <v>7.5</v>
      </c>
      <c r="B36">
        <v>5.9333333333333327</v>
      </c>
      <c r="D36">
        <v>148.69999999999999</v>
      </c>
      <c r="E36">
        <v>5.0999999999999996</v>
      </c>
      <c r="G36">
        <v>8.6999999999999993</v>
      </c>
      <c r="H36">
        <v>6.08</v>
      </c>
    </row>
    <row r="37" spans="1:8">
      <c r="A37">
        <v>7.4</v>
      </c>
      <c r="B37">
        <v>5.7333333333333334</v>
      </c>
      <c r="D37">
        <v>147.69999999999999</v>
      </c>
      <c r="E37">
        <v>6.3</v>
      </c>
      <c r="G37">
        <v>8.6683417085427141</v>
      </c>
      <c r="H37">
        <v>5.8</v>
      </c>
    </row>
    <row r="38" spans="1:8">
      <c r="A38">
        <v>7.3</v>
      </c>
      <c r="B38">
        <v>5.5</v>
      </c>
      <c r="D38">
        <v>147.4</v>
      </c>
      <c r="E38">
        <v>5.9</v>
      </c>
      <c r="G38">
        <v>8.6</v>
      </c>
      <c r="H38">
        <v>5.8249999999999993</v>
      </c>
    </row>
    <row r="39" spans="1:8">
      <c r="A39">
        <v>7.2</v>
      </c>
      <c r="B39">
        <v>5.6999999999999993</v>
      </c>
      <c r="D39">
        <v>146.19999999999999</v>
      </c>
      <c r="E39">
        <v>6.1</v>
      </c>
      <c r="G39">
        <v>8.5</v>
      </c>
      <c r="H39">
        <v>5.7200000000000006</v>
      </c>
    </row>
    <row r="40" spans="1:8">
      <c r="A40">
        <v>7.1</v>
      </c>
      <c r="B40">
        <v>5.9499999999999993</v>
      </c>
      <c r="D40">
        <v>146</v>
      </c>
      <c r="E40">
        <v>5.9</v>
      </c>
      <c r="G40">
        <v>8.4</v>
      </c>
      <c r="H40">
        <v>5.4</v>
      </c>
    </row>
    <row r="41" spans="1:8">
      <c r="A41">
        <v>7</v>
      </c>
      <c r="B41">
        <v>5.5400000000000009</v>
      </c>
      <c r="D41">
        <v>145.30000000000001</v>
      </c>
      <c r="E41">
        <v>5.9</v>
      </c>
      <c r="G41">
        <v>8.3000000000000007</v>
      </c>
      <c r="H41">
        <v>5.9249999999999998</v>
      </c>
    </row>
    <row r="42" spans="1:8">
      <c r="A42">
        <v>6.9</v>
      </c>
      <c r="B42">
        <v>5.6</v>
      </c>
      <c r="D42">
        <v>144.9</v>
      </c>
      <c r="E42">
        <v>6.3</v>
      </c>
      <c r="G42">
        <v>8.1999999999999993</v>
      </c>
      <c r="H42">
        <v>5.8999999999999995</v>
      </c>
    </row>
    <row r="43" spans="1:8">
      <c r="A43">
        <v>6.8963028169014091</v>
      </c>
      <c r="B43">
        <v>5.8</v>
      </c>
      <c r="D43">
        <v>144.6</v>
      </c>
      <c r="E43">
        <v>5.6</v>
      </c>
      <c r="G43">
        <v>8.1</v>
      </c>
      <c r="H43">
        <v>6.55</v>
      </c>
    </row>
    <row r="44" spans="1:8">
      <c r="A44">
        <v>6.7</v>
      </c>
      <c r="B44">
        <v>5.5</v>
      </c>
      <c r="D44">
        <v>144.5</v>
      </c>
      <c r="E44">
        <v>5.4</v>
      </c>
      <c r="G44">
        <v>8.056894889103182</v>
      </c>
      <c r="H44">
        <v>5.0999999999999996</v>
      </c>
    </row>
    <row r="45" spans="1:8">
      <c r="A45">
        <v>6.6856223175965663</v>
      </c>
      <c r="D45">
        <v>144.1</v>
      </c>
      <c r="E45">
        <v>5.8</v>
      </c>
      <c r="G45">
        <v>8</v>
      </c>
      <c r="H45">
        <v>6.125</v>
      </c>
    </row>
    <row r="46" spans="1:8">
      <c r="A46">
        <v>6.6</v>
      </c>
      <c r="B46">
        <v>5.35</v>
      </c>
      <c r="D46">
        <v>144</v>
      </c>
      <c r="E46">
        <v>7</v>
      </c>
      <c r="G46">
        <v>7.9</v>
      </c>
      <c r="H46">
        <v>5.4</v>
      </c>
    </row>
    <row r="47" spans="1:8">
      <c r="A47">
        <v>6.5</v>
      </c>
      <c r="B47">
        <v>5.6</v>
      </c>
      <c r="D47">
        <v>143.9</v>
      </c>
      <c r="E47">
        <v>5.9</v>
      </c>
      <c r="G47">
        <v>7.8</v>
      </c>
      <c r="H47">
        <v>5.6</v>
      </c>
    </row>
    <row r="48" spans="1:8">
      <c r="A48">
        <v>6.4</v>
      </c>
      <c r="B48">
        <v>5.0999999999999996</v>
      </c>
      <c r="D48">
        <v>143.19999999999999</v>
      </c>
      <c r="E48">
        <v>5.5</v>
      </c>
      <c r="G48">
        <v>7.7</v>
      </c>
      <c r="H48">
        <v>6.1</v>
      </c>
    </row>
    <row r="49" spans="1:8">
      <c r="A49">
        <v>6.3</v>
      </c>
      <c r="B49">
        <v>5.45</v>
      </c>
      <c r="D49">
        <v>142.9</v>
      </c>
      <c r="E49">
        <v>6.25</v>
      </c>
      <c r="G49">
        <v>7.6</v>
      </c>
      <c r="H49">
        <v>6.2</v>
      </c>
    </row>
    <row r="50" spans="1:8">
      <c r="A50">
        <v>6.2</v>
      </c>
      <c r="B50">
        <v>6.3</v>
      </c>
      <c r="D50">
        <v>142.80000000000001</v>
      </c>
      <c r="E50">
        <v>6.1</v>
      </c>
      <c r="G50">
        <v>7.5337487019730007</v>
      </c>
      <c r="H50">
        <v>5.5</v>
      </c>
    </row>
    <row r="51" spans="1:8">
      <c r="A51">
        <v>5.9</v>
      </c>
      <c r="B51">
        <v>5.65</v>
      </c>
      <c r="D51">
        <v>141.80000000000001</v>
      </c>
      <c r="E51">
        <v>5.6</v>
      </c>
      <c r="G51">
        <v>7.5</v>
      </c>
      <c r="H51">
        <v>5.9333333333333327</v>
      </c>
    </row>
    <row r="52" spans="1:8">
      <c r="A52">
        <v>5.8</v>
      </c>
      <c r="B52">
        <v>5.4</v>
      </c>
      <c r="D52">
        <v>141.77434908389586</v>
      </c>
      <c r="E52">
        <v>5.0999999999999996</v>
      </c>
      <c r="G52">
        <v>7.4</v>
      </c>
      <c r="H52">
        <v>5.7333333333333334</v>
      </c>
    </row>
    <row r="53" spans="1:8">
      <c r="A53" t="s">
        <v>290</v>
      </c>
      <c r="B53">
        <v>5.8258064516129062</v>
      </c>
      <c r="D53">
        <v>141.6</v>
      </c>
      <c r="E53">
        <v>5.4</v>
      </c>
      <c r="G53">
        <v>7.3</v>
      </c>
      <c r="H53">
        <v>5.5</v>
      </c>
    </row>
    <row r="54" spans="1:8">
      <c r="D54">
        <v>140.9</v>
      </c>
      <c r="E54">
        <v>5.0999999999999996</v>
      </c>
      <c r="G54">
        <v>7.2</v>
      </c>
      <c r="H54">
        <v>5.6999999999999993</v>
      </c>
    </row>
    <row r="55" spans="1:8">
      <c r="D55">
        <v>140.46728971962617</v>
      </c>
      <c r="E55">
        <v>5.5</v>
      </c>
      <c r="G55">
        <v>7.1</v>
      </c>
      <c r="H55">
        <v>5.9499999999999993</v>
      </c>
    </row>
    <row r="56" spans="1:8">
      <c r="D56">
        <v>140.1</v>
      </c>
      <c r="E56">
        <v>6.7</v>
      </c>
      <c r="G56">
        <v>7</v>
      </c>
      <c r="H56">
        <v>5.5400000000000009</v>
      </c>
    </row>
    <row r="57" spans="1:8">
      <c r="D57">
        <v>139.80000000000001</v>
      </c>
      <c r="E57">
        <v>6.3</v>
      </c>
      <c r="G57">
        <v>6.9</v>
      </c>
      <c r="H57">
        <v>5.6</v>
      </c>
    </row>
    <row r="58" spans="1:8">
      <c r="D58">
        <v>139.5</v>
      </c>
      <c r="E58">
        <v>5.8</v>
      </c>
      <c r="G58">
        <v>6.8963028169014091</v>
      </c>
      <c r="H58">
        <v>5.8</v>
      </c>
    </row>
    <row r="59" spans="1:8">
      <c r="D59">
        <v>139.1</v>
      </c>
      <c r="E59">
        <v>5.5</v>
      </c>
      <c r="G59">
        <v>6.7</v>
      </c>
      <c r="H59">
        <v>5.5</v>
      </c>
    </row>
    <row r="60" spans="1:8">
      <c r="D60">
        <v>138.80000000000001</v>
      </c>
      <c r="E60">
        <v>6.4</v>
      </c>
      <c r="G60">
        <v>6.6</v>
      </c>
      <c r="H60">
        <v>5.35</v>
      </c>
    </row>
    <row r="61" spans="1:8">
      <c r="D61">
        <v>138.69999999999999</v>
      </c>
      <c r="E61">
        <v>5.6</v>
      </c>
      <c r="G61">
        <v>6.5</v>
      </c>
      <c r="H61">
        <v>5.6</v>
      </c>
    </row>
    <row r="62" spans="1:8">
      <c r="D62">
        <v>138.4</v>
      </c>
      <c r="E62">
        <v>6.2</v>
      </c>
      <c r="G62">
        <v>6.4</v>
      </c>
      <c r="H62">
        <v>5.0999999999999996</v>
      </c>
    </row>
    <row r="63" spans="1:8">
      <c r="D63">
        <v>137.80000000000001</v>
      </c>
      <c r="E63">
        <v>5.0999999999999996</v>
      </c>
      <c r="G63">
        <v>6.3</v>
      </c>
      <c r="H63">
        <v>5.45</v>
      </c>
    </row>
    <row r="64" spans="1:8">
      <c r="D64">
        <v>137.69999999999999</v>
      </c>
      <c r="E64">
        <v>6.4</v>
      </c>
      <c r="G64">
        <v>6.2</v>
      </c>
      <c r="H64">
        <v>6.3</v>
      </c>
    </row>
    <row r="65" spans="4:8">
      <c r="D65">
        <v>137.1</v>
      </c>
      <c r="E65">
        <v>5.8</v>
      </c>
      <c r="G65">
        <v>5.9</v>
      </c>
      <c r="H65">
        <v>5.65</v>
      </c>
    </row>
    <row r="66" spans="4:8">
      <c r="D66">
        <v>137</v>
      </c>
      <c r="E66">
        <v>6.8</v>
      </c>
      <c r="G66">
        <v>5.8</v>
      </c>
      <c r="H66">
        <v>5.4</v>
      </c>
    </row>
    <row r="67" spans="4:8">
      <c r="D67">
        <v>135.80000000000001</v>
      </c>
      <c r="E67">
        <v>5.8</v>
      </c>
    </row>
    <row r="68" spans="4:8">
      <c r="D68">
        <v>135</v>
      </c>
      <c r="E68">
        <v>5.5</v>
      </c>
    </row>
    <row r="69" spans="4:8">
      <c r="D69">
        <v>134.80000000000001</v>
      </c>
      <c r="E69">
        <v>5.9</v>
      </c>
    </row>
    <row r="70" spans="4:8">
      <c r="D70">
        <v>134.1</v>
      </c>
      <c r="E70">
        <v>5.6999999999999993</v>
      </c>
    </row>
    <row r="71" spans="4:8">
      <c r="D71">
        <v>133.9</v>
      </c>
      <c r="E71">
        <v>5.4</v>
      </c>
    </row>
    <row r="72" spans="4:8">
      <c r="D72">
        <v>133.19999999999999</v>
      </c>
      <c r="E72">
        <v>5.6</v>
      </c>
    </row>
    <row r="73" spans="4:8">
      <c r="D73">
        <v>132.19999999999999</v>
      </c>
      <c r="E73">
        <v>5.6</v>
      </c>
    </row>
    <row r="74" spans="4:8">
      <c r="D74">
        <v>131.30000000000001</v>
      </c>
      <c r="E74">
        <v>6.1</v>
      </c>
    </row>
    <row r="75" spans="4:8">
      <c r="D75">
        <v>129.9</v>
      </c>
      <c r="E75">
        <v>5.0999999999999996</v>
      </c>
    </row>
    <row r="76" spans="4:8">
      <c r="D76">
        <v>129.80000000000001</v>
      </c>
      <c r="E76">
        <v>5.5</v>
      </c>
    </row>
    <row r="77" spans="4:8">
      <c r="D77">
        <v>129.6</v>
      </c>
      <c r="E77">
        <v>5.0999999999999996</v>
      </c>
    </row>
    <row r="78" spans="4:8">
      <c r="D78">
        <v>129.30000000000001</v>
      </c>
      <c r="E78">
        <v>5.8</v>
      </c>
    </row>
    <row r="79" spans="4:8">
      <c r="D79">
        <v>128.19999999999999</v>
      </c>
      <c r="E79">
        <v>5.5</v>
      </c>
    </row>
    <row r="80" spans="4:8">
      <c r="D80">
        <v>126.5</v>
      </c>
      <c r="E80">
        <v>5.8</v>
      </c>
    </row>
    <row r="81" spans="4:5">
      <c r="D81">
        <v>124.2</v>
      </c>
      <c r="E81">
        <v>5.0999999999999996</v>
      </c>
    </row>
    <row r="82" spans="4:5">
      <c r="D82">
        <v>122.9</v>
      </c>
      <c r="E82">
        <v>6.3</v>
      </c>
    </row>
    <row r="83" spans="4:5">
      <c r="D83">
        <v>122.5</v>
      </c>
      <c r="E83">
        <v>5.4</v>
      </c>
    </row>
    <row r="84" spans="4:5">
      <c r="D84">
        <v>122.4</v>
      </c>
      <c r="E84">
        <v>5.5</v>
      </c>
    </row>
    <row r="85" spans="4:5">
      <c r="D85">
        <v>121.7</v>
      </c>
      <c r="E85">
        <v>5.0999999999999996</v>
      </c>
    </row>
    <row r="86" spans="4:5">
      <c r="D86">
        <v>121.4</v>
      </c>
      <c r="E86">
        <v>6.1</v>
      </c>
    </row>
    <row r="87" spans="4:5">
      <c r="D87">
        <v>121.2</v>
      </c>
      <c r="E87">
        <v>5.0999999999999996</v>
      </c>
    </row>
    <row r="88" spans="4:5">
      <c r="D88">
        <v>119.6</v>
      </c>
      <c r="E88">
        <v>5.4</v>
      </c>
    </row>
    <row r="89" spans="4:5">
      <c r="D89">
        <v>118.1</v>
      </c>
      <c r="E89">
        <v>5.9</v>
      </c>
    </row>
    <row r="90" spans="4:5">
      <c r="D90">
        <v>117.1</v>
      </c>
      <c r="E90">
        <v>5.4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Andy Kaminski</cp:lastModifiedBy>
  <cp:revision/>
  <dcterms:created xsi:type="dcterms:W3CDTF">2022-03-02T14:43:18Z</dcterms:created>
  <dcterms:modified xsi:type="dcterms:W3CDTF">2022-07-26T17:56:29Z</dcterms:modified>
  <cp:category/>
  <cp:contentStatus/>
</cp:coreProperties>
</file>