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 Projects\Brand-Perception-Case-Study\"/>
    </mc:Choice>
  </mc:AlternateContent>
  <xr:revisionPtr revIDLastSave="0" documentId="8_{C6CDDE4B-5F5F-4430-ABB8-977A9133E5CB}" xr6:coauthVersionLast="47" xr6:coauthVersionMax="47" xr10:uidLastSave="{00000000-0000-0000-0000-000000000000}"/>
  <bookViews>
    <workbookView xWindow="-120" yWindow="-120" windowWidth="29040" windowHeight="15720" xr2:uid="{E1FB335E-9A2D-40A6-A4B0-C95934A72CD1}"/>
  </bookViews>
  <sheets>
    <sheet name="ConcentrixCombined" sheetId="1" r:id="rId1"/>
  </sheet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1" i="1" l="1"/>
  <c r="F304" i="1"/>
  <c r="F307" i="1"/>
  <c r="F310" i="1"/>
  <c r="F313" i="1"/>
  <c r="F301" i="1"/>
  <c r="E305" i="1"/>
  <c r="E314" i="1"/>
  <c r="E311" i="1"/>
  <c r="E308" i="1"/>
  <c r="E302" i="1"/>
  <c r="E315" i="1"/>
  <c r="E313" i="1"/>
  <c r="E312" i="1"/>
  <c r="E310" i="1"/>
  <c r="E309" i="1"/>
  <c r="E307" i="1"/>
  <c r="E306" i="1"/>
  <c r="E304" i="1"/>
  <c r="E303" i="1"/>
  <c r="E301" i="1"/>
  <c r="F290" i="1"/>
  <c r="E292" i="1"/>
  <c r="E291" i="1"/>
  <c r="E290" i="1"/>
  <c r="F278" i="1"/>
  <c r="F281" i="1"/>
  <c r="F284" i="1"/>
  <c r="F287" i="1"/>
  <c r="F293" i="1"/>
  <c r="F296" i="1"/>
  <c r="E298" i="1"/>
  <c r="E297" i="1"/>
  <c r="E296" i="1"/>
  <c r="E295" i="1"/>
  <c r="E294" i="1"/>
  <c r="E293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F275" i="1"/>
  <c r="E277" i="1"/>
  <c r="E276" i="1"/>
  <c r="F215" i="1"/>
  <c r="F218" i="1"/>
  <c r="F221" i="1"/>
  <c r="F224" i="1"/>
  <c r="F227" i="1"/>
  <c r="F232" i="1"/>
  <c r="F235" i="1"/>
  <c r="E275" i="1"/>
  <c r="F240" i="1"/>
  <c r="F243" i="1"/>
  <c r="F246" i="1"/>
  <c r="F249" i="1"/>
  <c r="F252" i="1"/>
  <c r="F255" i="1"/>
  <c r="F258" i="1"/>
  <c r="F264" i="1"/>
  <c r="F267" i="1"/>
  <c r="F270" i="1"/>
  <c r="F261" i="1"/>
  <c r="E270" i="1"/>
  <c r="E271" i="1"/>
  <c r="E272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0" i="1"/>
  <c r="E251" i="1"/>
  <c r="E249" i="1"/>
  <c r="E248" i="1"/>
  <c r="E247" i="1"/>
  <c r="E246" i="1"/>
  <c r="E245" i="1"/>
  <c r="E244" i="1"/>
  <c r="E243" i="1"/>
  <c r="E242" i="1"/>
  <c r="E241" i="1"/>
  <c r="E240" i="1"/>
  <c r="E237" i="1"/>
  <c r="E236" i="1"/>
  <c r="E235" i="1"/>
  <c r="E233" i="1"/>
  <c r="E234" i="1"/>
  <c r="E232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K208" i="1"/>
  <c r="K209" i="1"/>
  <c r="K210" i="1"/>
  <c r="K150" i="1"/>
  <c r="K151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92" i="1"/>
  <c r="K205" i="1" s="1"/>
  <c r="K187" i="1"/>
  <c r="K186" i="1"/>
  <c r="K182" i="1"/>
  <c r="K181" i="1"/>
  <c r="K176" i="1"/>
  <c r="K169" i="1"/>
  <c r="K168" i="1"/>
  <c r="K170" i="1"/>
  <c r="K175" i="1"/>
  <c r="K167" i="1"/>
  <c r="K172" i="1"/>
  <c r="K174" i="1"/>
  <c r="K173" i="1"/>
  <c r="K171" i="1"/>
  <c r="K177" i="1"/>
  <c r="K156" i="1"/>
  <c r="K163" i="1"/>
  <c r="K160" i="1"/>
  <c r="K162" i="1"/>
  <c r="K159" i="1"/>
  <c r="K161" i="1"/>
  <c r="K158" i="1"/>
  <c r="K157" i="1"/>
  <c r="K149" i="1"/>
  <c r="K152" i="1"/>
  <c r="K148" i="1"/>
  <c r="K183" i="1" l="1"/>
  <c r="K178" i="1"/>
  <c r="K188" i="1"/>
  <c r="K153" i="1"/>
  <c r="K164" i="1"/>
</calcChain>
</file>

<file path=xl/sharedStrings.xml><?xml version="1.0" encoding="utf-8"?>
<sst xmlns="http://schemas.openxmlformats.org/spreadsheetml/2006/main" count="1279" uniqueCount="166">
  <si>
    <t>Account_Number</t>
  </si>
  <si>
    <t>Interaction_ID</t>
  </si>
  <si>
    <t>Contact_Date</t>
  </si>
  <si>
    <t>NPS_Score</t>
  </si>
  <si>
    <t>Overall_Experience</t>
  </si>
  <si>
    <t>Self_Service_Channel_Used</t>
  </si>
  <si>
    <t>Advisor_Role</t>
  </si>
  <si>
    <t>Contact_Channel</t>
  </si>
  <si>
    <t>Contact_Reason</t>
  </si>
  <si>
    <t>Contact_Resolution</t>
  </si>
  <si>
    <t>Issue_Resolved</t>
  </si>
  <si>
    <t>Verbatims</t>
  </si>
  <si>
    <t>No Attempt</t>
  </si>
  <si>
    <t>Tier 1</t>
  </si>
  <si>
    <t>Chat</t>
  </si>
  <si>
    <t>Cancel Service</t>
  </si>
  <si>
    <t>Yes</t>
  </si>
  <si>
    <t>bad service and awful app is the cause of me leaving</t>
  </si>
  <si>
    <t>App</t>
  </si>
  <si>
    <t>Disconnect</t>
  </si>
  <si>
    <t>No, but expect it to be resolved</t>
  </si>
  <si>
    <t>DONE.</t>
  </si>
  <si>
    <t>IVR</t>
  </si>
  <si>
    <t>Tier 2</t>
  </si>
  <si>
    <t>Voice</t>
  </si>
  <si>
    <t>Change Plan</t>
  </si>
  <si>
    <t>My plan costed too much but the advisor worked with me and found a cheaper plan.</t>
  </si>
  <si>
    <t>Web</t>
  </si>
  <si>
    <t>Explain Bill</t>
  </si>
  <si>
    <t>I was fed up but Accommodating advisor who helped me understand my bill</t>
  </si>
  <si>
    <t>Finished with TelCo Inc. the advisor was great, gave me no issues cancelling my service.</t>
  </si>
  <si>
    <t>Add Services</t>
  </si>
  <si>
    <t>Transfer</t>
  </si>
  <si>
    <t>Add Device</t>
  </si>
  <si>
    <t>Shouldn't I be able to add a new device on the app?</t>
  </si>
  <si>
    <t>Thanks for helping</t>
  </si>
  <si>
    <t>I hate talking to call centers</t>
  </si>
  <si>
    <t>Add Data</t>
  </si>
  <si>
    <t>I would consider myself pretty tech savvy</t>
  </si>
  <si>
    <t>This seems like it should have been eaier to do on my own</t>
  </si>
  <si>
    <t>Fixed, thanks</t>
  </si>
  <si>
    <t>Let your advisors help people</t>
  </si>
  <si>
    <t>Every advisor should be able to do everything in my opinion</t>
  </si>
  <si>
    <t>Don't all advisors use the same tools? If so, why did I have to be transferred?</t>
  </si>
  <si>
    <t>second advisor was more helpful. First advisor not helpful</t>
  </si>
  <si>
    <t>advisor said they couldn't help and I was transferred.</t>
  </si>
  <si>
    <t>Why?</t>
  </si>
  <si>
    <t>This person clearly knew what they were doing, thanks! Still don't understand why the first advisor said they couldn't help me or the system stopped me.</t>
  </si>
  <si>
    <t>got connected on my 2nd try and got  my new device. Thanks</t>
  </si>
  <si>
    <t>advisor didnÂ’t listen well. Seems easy enough</t>
  </si>
  <si>
    <t>my time is valuable and I should be able to get through straight away</t>
  </si>
  <si>
    <t>hold was never ending</t>
  </si>
  <si>
    <t>watch the clock</t>
  </si>
  <si>
    <t>Thanks for the help!</t>
  </si>
  <si>
    <t>Make a Payment</t>
  </si>
  <si>
    <t>Process Payment</t>
  </si>
  <si>
    <t>too many bad words to say about this whole thing</t>
  </si>
  <si>
    <t>What is going on</t>
  </si>
  <si>
    <t>Why is it so hard?</t>
  </si>
  <si>
    <t>great advisor bad TelCo. get your stuff together.</t>
  </si>
  <si>
    <t>ran into an issue but you helped</t>
  </si>
  <si>
    <t>Getting tired of contacting TelCo. for everything I need to do. The advisor handled my exasperation well.</t>
  </si>
  <si>
    <t>advisor was helpful, but prefer to not talk to anyone</t>
  </si>
  <si>
    <t>App is awful</t>
  </si>
  <si>
    <t>system is ineffective. the advisor I spoke with was quick and efficient. but annoyed TelCo can't get their technology to function.</t>
  </si>
  <si>
    <t>all of the sudden I'm talking to an advisor</t>
  </si>
  <si>
    <t>Did my payment go through twice? I tried through the IVR and the advisor.</t>
  </si>
  <si>
    <t>Chat advisor helped me with my payment</t>
  </si>
  <si>
    <t>Ridiculous! My payment kept getting rejected.</t>
  </si>
  <si>
    <t>I got caught in a loop for you to take my money. Maybe it's time to look for other phone company options.</t>
  </si>
  <si>
    <t xml:space="preserve"> it's 2022Â…</t>
  </si>
  <si>
    <t>fix the issue</t>
  </si>
  <si>
    <t>Service Question</t>
  </si>
  <si>
    <t>Provide Info</t>
  </si>
  <si>
    <t>Thanks for helping me get the answer</t>
  </si>
  <si>
    <t>Do you have any chat advisors working on the weekend, got tired of waiting and will contact you again later</t>
  </si>
  <si>
    <t>I couldn't find my answer anywhere</t>
  </si>
  <si>
    <t>I added an extra line to my plan online and it was a super easy process, but I couldnÂ’t find any additional information when I looked at your FAQs about what plan benefits are</t>
  </si>
  <si>
    <t xml:space="preserve">TelCo. Is taking a nose dive. </t>
  </si>
  <si>
    <t>I couldn't find where to go.</t>
  </si>
  <si>
    <t>Improve everything</t>
  </si>
  <si>
    <t>No</t>
  </si>
  <si>
    <t>your FAQs were worthless so I called and I still didn't get my answer. Annoying.</t>
  </si>
  <si>
    <t>Device Question</t>
  </si>
  <si>
    <t>I'm losing faith in your company</t>
  </si>
  <si>
    <t>Activate Device</t>
  </si>
  <si>
    <t>next time I'll do this myself so I don't have to talk to anyone</t>
  </si>
  <si>
    <t>Thanks</t>
  </si>
  <si>
    <t>Now I know</t>
  </si>
  <si>
    <t>Thanks for showing me how to do this on the web!</t>
  </si>
  <si>
    <t>thanks for guiding me on how to do this myself</t>
  </si>
  <si>
    <t>super helpful</t>
  </si>
  <si>
    <t>One thing after another. sort it out!!!</t>
  </si>
  <si>
    <t>I don't want to have to contact you for everything</t>
  </si>
  <si>
    <t>Billing Dispute</t>
  </si>
  <si>
    <t>Refund Account</t>
  </si>
  <si>
    <t>disappointed the advisor took so long to understand my billing issue and this is the second time I had to call because the first didnÂ’t work</t>
  </si>
  <si>
    <t>Thanks for making it right</t>
  </si>
  <si>
    <t>There has to be a system glitch</t>
  </si>
  <si>
    <t>I was concerned with how much my bill was this month but they helped quickly and told me it would be correct in a week. I hope they're right.</t>
  </si>
  <si>
    <t>Not sure what is happening but I've waited awhile</t>
  </si>
  <si>
    <t>Like your service, but not your billing issues. Something is wrong</t>
  </si>
  <si>
    <t xml:space="preserve"> They donÂ’t seem to know why this is happening </t>
  </si>
  <si>
    <t>Had to repeat myself</t>
  </si>
  <si>
    <t>should be resolved this time</t>
  </si>
  <si>
    <t>I cant wait much longer, but they promised it will be soon. We'll seeÂ…</t>
  </si>
  <si>
    <t>I was charged more money this month for no reason. Things are tight. I'm on a fixed income. I cant have these random charges.</t>
  </si>
  <si>
    <t>Annoyed. When I signed up they said my bill wouldnÂ’t fluctuate. I hate having to talk on the phone when I shouldnÂ’t need to.</t>
  </si>
  <si>
    <t>I called to cancel because im so frustrated but they guaranteed me the refund will come tomorrow. It better</t>
  </si>
  <si>
    <t>Billing Question</t>
  </si>
  <si>
    <t>Advisor was rude and didnÂ’t understand what happened. Hoping it all works out</t>
  </si>
  <si>
    <t>Understood my issue and refunded my account</t>
  </si>
  <si>
    <t>Thank you!!</t>
  </si>
  <si>
    <t>I had to contact twice</t>
  </si>
  <si>
    <t>advisor refunded my account and answered my question</t>
  </si>
  <si>
    <t>thanks</t>
  </si>
  <si>
    <t>Just had a question about my bill and it turns out im actually getting money back</t>
  </si>
  <si>
    <t>Had to go through the whole process again and this advisor didnÂ’t believe me</t>
  </si>
  <si>
    <t>Advisor was clueless</t>
  </si>
  <si>
    <t>Thanks for refunding my account</t>
  </si>
  <si>
    <t>Had questions about overages and my balance</t>
  </si>
  <si>
    <t>advisor was great, systems are broken</t>
  </si>
  <si>
    <t>thanks for answering my questions</t>
  </si>
  <si>
    <t>Pleasantly surprised, wasnÂ’t expecting a refund</t>
  </si>
  <si>
    <t>Hoping I get the money back soon but I wasnÂ’t expecting it in the first place.</t>
  </si>
  <si>
    <t>Why make it so difficult to understand my bill?</t>
  </si>
  <si>
    <t>Empathetic advisor who said it will come through this time</t>
  </si>
  <si>
    <t>what takes so long to get through?</t>
  </si>
  <si>
    <t>Calling back</t>
  </si>
  <si>
    <t>I still don't understand what's up with my bill, but at least I got connected faster</t>
  </si>
  <si>
    <t>too long</t>
  </si>
  <si>
    <t>Much better, thanks</t>
  </si>
  <si>
    <t>Does anyone work there?</t>
  </si>
  <si>
    <t>I have better things to do with my time.</t>
  </si>
  <si>
    <t>Average of NPS_Score</t>
  </si>
  <si>
    <t>Average of Overall_Experience</t>
  </si>
  <si>
    <t>(blank)</t>
  </si>
  <si>
    <t>Count</t>
  </si>
  <si>
    <t>NA</t>
  </si>
  <si>
    <t>Total</t>
  </si>
  <si>
    <t>Time</t>
  </si>
  <si>
    <t>Advisor Role</t>
  </si>
  <si>
    <t>Self Service Channel</t>
  </si>
  <si>
    <t>Contact Reasons</t>
  </si>
  <si>
    <t>Contact Resolutions</t>
  </si>
  <si>
    <t>Issue Resolved?</t>
  </si>
  <si>
    <t>Contact Channel</t>
  </si>
  <si>
    <t>NPS</t>
  </si>
  <si>
    <t>Row Labels</t>
  </si>
  <si>
    <t>Grand Total</t>
  </si>
  <si>
    <t>Count of NPS_Score</t>
  </si>
  <si>
    <t>Self Service Channel Used</t>
  </si>
  <si>
    <t>NPS Score Count</t>
  </si>
  <si>
    <t>NPS Score (Raw)</t>
  </si>
  <si>
    <t>NPS Score (Calculated)</t>
  </si>
  <si>
    <t>Support Tier</t>
  </si>
  <si>
    <t>Cacel Service</t>
  </si>
  <si>
    <t>Contact Resolution</t>
  </si>
  <si>
    <t>Contact Reason</t>
  </si>
  <si>
    <t>0-6 (Detractors)</t>
  </si>
  <si>
    <t>7 and 8 (Passives)</t>
  </si>
  <si>
    <t>9 and 10 (Promoters)</t>
  </si>
  <si>
    <t>Overall Experience</t>
  </si>
  <si>
    <t>Sum of NPS Score (Calculated)</t>
  </si>
  <si>
    <t>Calculated NPS Score</t>
  </si>
  <si>
    <t>Average of Overall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</si>
</sst>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16" fillId="0" borderId="19" xfId="0" applyFont="1" applyBorder="1"/>
    <xf numFmtId="0" fontId="16" fillId="0" borderId="20" xfId="0" applyFont="1" applyBorder="1"/>
    <xf numFmtId="0" fontId="0" fillId="0" borderId="21" xfId="0" applyBorder="1"/>
    <xf numFmtId="0" fontId="0" fillId="0" borderId="22" xfId="0" applyBorder="1"/>
    <xf numFmtId="14" fontId="0" fillId="0" borderId="0" xfId="0" applyNumberFormat="1"/>
    <xf numFmtId="164" fontId="0" fillId="0" borderId="0" xfId="0" applyNumberFormat="1"/>
    <xf numFmtId="14" fontId="0" fillId="0" borderId="13" xfId="0" applyNumberFormat="1" applyBorder="1"/>
    <xf numFmtId="14" fontId="0" fillId="0" borderId="17" xfId="0" applyNumberFormat="1" applyBorder="1"/>
    <xf numFmtId="14" fontId="16" fillId="0" borderId="19" xfId="0" applyNumberFormat="1" applyFont="1" applyBorder="1"/>
    <xf numFmtId="14" fontId="0" fillId="0" borderId="21" xfId="0" applyNumberFormat="1" applyBorder="1"/>
    <xf numFmtId="0" fontId="0" fillId="0" borderId="10" xfId="0" applyBorder="1"/>
    <xf numFmtId="0" fontId="0" fillId="0" borderId="11" xfId="0" pivotButton="1" applyBorder="1"/>
    <xf numFmtId="0" fontId="0" fillId="0" borderId="23" xfId="0" applyBorder="1"/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4" xfId="0" applyBorder="1"/>
    <xf numFmtId="0" fontId="0" fillId="0" borderId="16" xfId="0" applyBorder="1"/>
    <xf numFmtId="0" fontId="0" fillId="0" borderId="0" xfId="0" pivotButton="1"/>
    <xf numFmtId="0" fontId="0" fillId="0" borderId="25" xfId="0" applyBorder="1"/>
    <xf numFmtId="0" fontId="0" fillId="0" borderId="19" xfId="0" applyBorder="1"/>
    <xf numFmtId="0" fontId="0" fillId="0" borderId="26" xfId="0" applyBorder="1"/>
    <xf numFmtId="0" fontId="0" fillId="0" borderId="20" xfId="0" applyBorder="1"/>
    <xf numFmtId="14" fontId="0" fillId="0" borderId="19" xfId="0" applyNumberFormat="1" applyBorder="1"/>
    <xf numFmtId="2" fontId="0" fillId="0" borderId="0" xfId="0" applyNumberFormat="1" applyAlignment="1">
      <alignment vertical="center"/>
    </xf>
    <xf numFmtId="9" fontId="0" fillId="0" borderId="0" xfId="0" applyNumberFormat="1"/>
    <xf numFmtId="0" fontId="16" fillId="33" borderId="19" xfId="0" applyFont="1" applyFill="1" applyBorder="1"/>
    <xf numFmtId="0" fontId="16" fillId="33" borderId="20" xfId="0" applyFont="1" applyFill="1" applyBorder="1"/>
    <xf numFmtId="0" fontId="0" fillId="0" borderId="17" xfId="0" applyBorder="1" applyAlignment="1">
      <alignment horizontal="left"/>
    </xf>
    <xf numFmtId="9" fontId="16" fillId="33" borderId="20" xfId="42" applyFont="1" applyFill="1" applyBorder="1"/>
    <xf numFmtId="9" fontId="0" fillId="0" borderId="18" xfId="42" applyFont="1" applyBorder="1"/>
    <xf numFmtId="9" fontId="0" fillId="0" borderId="14" xfId="42" applyFont="1" applyBorder="1"/>
    <xf numFmtId="9" fontId="0" fillId="0" borderId="16" xfId="42" applyFont="1" applyBorder="1"/>
    <xf numFmtId="9" fontId="0" fillId="0" borderId="10" xfId="42" applyFont="1" applyBorder="1"/>
    <xf numFmtId="0" fontId="16" fillId="33" borderId="12" xfId="0" applyFont="1" applyFill="1" applyBorder="1"/>
    <xf numFmtId="9" fontId="0" fillId="0" borderId="14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0" fillId="0" borderId="19" xfId="0" pivotButton="1" applyBorder="1"/>
    <xf numFmtId="9" fontId="0" fillId="0" borderId="20" xfId="0" applyNumberFormat="1" applyBorder="1"/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3" formatCode="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Self Service Channel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ConcentrixCombined!$J$148:$J$152</c:f>
              <c:strCache>
                <c:ptCount val="5"/>
                <c:pt idx="0">
                  <c:v>No Attempt</c:v>
                </c:pt>
                <c:pt idx="1">
                  <c:v>App</c:v>
                </c:pt>
                <c:pt idx="2">
                  <c:v>NA</c:v>
                </c:pt>
                <c:pt idx="3">
                  <c:v>IVR</c:v>
                </c:pt>
                <c:pt idx="4">
                  <c:v>Web</c:v>
                </c:pt>
              </c:strCache>
            </c:strRef>
          </c:cat>
          <c:val>
            <c:numRef>
              <c:f>ConcentrixCombined!$K$148:$K$152</c:f>
              <c:numCache>
                <c:formatCode>General</c:formatCode>
                <c:ptCount val="5"/>
                <c:pt idx="0">
                  <c:v>67</c:v>
                </c:pt>
                <c:pt idx="1">
                  <c:v>34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5-445C-BC4C-BFB17EC01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1171335328"/>
        <c:axId val="962351248"/>
      </c:barChart>
      <c:catAx>
        <c:axId val="11713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Self Service 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1248"/>
        <c:crosses val="autoZero"/>
        <c:auto val="1"/>
        <c:lblAlgn val="ctr"/>
        <c:lblOffset val="100"/>
        <c:noMultiLvlLbl val="0"/>
      </c:catAx>
      <c:valAx>
        <c:axId val="96235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Different Contact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ConcentrixCombined!$K$155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ConcentrixCombined!$J$156:$J$163</c:f>
              <c:strCache>
                <c:ptCount val="8"/>
                <c:pt idx="0">
                  <c:v>Add Services</c:v>
                </c:pt>
                <c:pt idx="1">
                  <c:v>Billing Question</c:v>
                </c:pt>
                <c:pt idx="2">
                  <c:v>Make a Payment</c:v>
                </c:pt>
                <c:pt idx="3">
                  <c:v>Billing Dispute</c:v>
                </c:pt>
                <c:pt idx="4">
                  <c:v>Service Question</c:v>
                </c:pt>
                <c:pt idx="5">
                  <c:v>Cancel Service</c:v>
                </c:pt>
                <c:pt idx="6">
                  <c:v>Device Question</c:v>
                </c:pt>
                <c:pt idx="7">
                  <c:v>Change Plan</c:v>
                </c:pt>
              </c:strCache>
            </c:strRef>
          </c:cat>
          <c:val>
            <c:numRef>
              <c:f>ConcentrixCombined!$K$156:$K$163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21</c:v>
                </c:pt>
                <c:pt idx="3">
                  <c:v>17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F-49B5-A97B-EAE94A11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1171335328"/>
        <c:axId val="962351248"/>
      </c:barChart>
      <c:catAx>
        <c:axId val="11713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1248"/>
        <c:crosses val="autoZero"/>
        <c:auto val="1"/>
        <c:lblAlgn val="ctr"/>
        <c:lblOffset val="100"/>
        <c:noMultiLvlLbl val="0"/>
      </c:catAx>
      <c:valAx>
        <c:axId val="96235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Frequency of Different Contact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ConcentrixCombined!$J$167:$J$177</c:f>
              <c:strCache>
                <c:ptCount val="11"/>
                <c:pt idx="0">
                  <c:v>Refund Account</c:v>
                </c:pt>
                <c:pt idx="1">
                  <c:v>Process Payment</c:v>
                </c:pt>
                <c:pt idx="2">
                  <c:v>Transfer</c:v>
                </c:pt>
                <c:pt idx="3">
                  <c:v>Disconnect</c:v>
                </c:pt>
                <c:pt idx="4">
                  <c:v>Add Data</c:v>
                </c:pt>
                <c:pt idx="5">
                  <c:v>Provide Info</c:v>
                </c:pt>
                <c:pt idx="6">
                  <c:v>Add Device</c:v>
                </c:pt>
                <c:pt idx="7">
                  <c:v>Activate Device</c:v>
                </c:pt>
                <c:pt idx="8">
                  <c:v>Explain Bill</c:v>
                </c:pt>
                <c:pt idx="9">
                  <c:v>Change Plan</c:v>
                </c:pt>
                <c:pt idx="10">
                  <c:v>Cancel Service</c:v>
                </c:pt>
              </c:strCache>
            </c:strRef>
          </c:cat>
          <c:val>
            <c:numRef>
              <c:f>ConcentrixCombined!$K$167:$K$177</c:f>
              <c:numCache>
                <c:formatCode>General</c:formatCode>
                <c:ptCount val="11"/>
                <c:pt idx="0">
                  <c:v>39</c:v>
                </c:pt>
                <c:pt idx="1">
                  <c:v>19</c:v>
                </c:pt>
                <c:pt idx="2">
                  <c:v>18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2-428A-A738-AD96CACE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1171335328"/>
        <c:axId val="962351248"/>
      </c:barChart>
      <c:catAx>
        <c:axId val="11713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</a:t>
                </a:r>
                <a:r>
                  <a:rPr lang="en-US" baseline="0"/>
                  <a:t> Resolutions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1248"/>
        <c:crosses val="autoZero"/>
        <c:auto val="1"/>
        <c:lblAlgn val="ctr"/>
        <c:lblOffset val="100"/>
        <c:noMultiLvlLbl val="0"/>
      </c:catAx>
      <c:valAx>
        <c:axId val="96235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68961067366579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5-4A6A-97BB-8FAF9F6FB0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5-4A6A-97BB-8FAF9F6FB0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ConcentrixCombined!$J$181:$J$182</c:f>
              <c:strCache>
                <c:ptCount val="2"/>
                <c:pt idx="0">
                  <c:v>Voice</c:v>
                </c:pt>
                <c:pt idx="1">
                  <c:v>Chat</c:v>
                </c:pt>
              </c:strCache>
            </c:strRef>
          </c:cat>
          <c:val>
            <c:numRef>
              <c:f>ConcentrixCombined!$K$181:$K$182</c:f>
              <c:numCache>
                <c:formatCode>General</c:formatCode>
                <c:ptCount val="2"/>
                <c:pt idx="0">
                  <c:v>110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2-421E-B472-30A2B5633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Frequency of Different Contact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ConcentrixCombined!$J$192:$J$204</c:f>
              <c:numCache>
                <c:formatCode>m/d/yyyy</c:formatCode>
                <c:ptCount val="13"/>
                <c:pt idx="0">
                  <c:v>44788</c:v>
                </c:pt>
                <c:pt idx="1">
                  <c:v>44786</c:v>
                </c:pt>
                <c:pt idx="2">
                  <c:v>44784</c:v>
                </c:pt>
                <c:pt idx="3">
                  <c:v>44783</c:v>
                </c:pt>
                <c:pt idx="4">
                  <c:v>44791</c:v>
                </c:pt>
                <c:pt idx="5">
                  <c:v>44785</c:v>
                </c:pt>
                <c:pt idx="6">
                  <c:v>44789</c:v>
                </c:pt>
                <c:pt idx="7">
                  <c:v>44790</c:v>
                </c:pt>
                <c:pt idx="8">
                  <c:v>44792</c:v>
                </c:pt>
                <c:pt idx="9">
                  <c:v>44795</c:v>
                </c:pt>
                <c:pt idx="10">
                  <c:v>44794</c:v>
                </c:pt>
                <c:pt idx="11">
                  <c:v>44793</c:v>
                </c:pt>
                <c:pt idx="12">
                  <c:v>44787</c:v>
                </c:pt>
              </c:numCache>
            </c:numRef>
          </c:cat>
          <c:val>
            <c:numRef>
              <c:f>ConcentrixCombined!$K$192:$K$204</c:f>
              <c:numCache>
                <c:formatCode>General</c:formatCode>
                <c:ptCount val="13"/>
                <c:pt idx="0">
                  <c:v>16</c:v>
                </c:pt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16</c:v>
                </c:pt>
                <c:pt idx="8">
                  <c:v>6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E-4BAE-B3C9-D4599911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1171335328"/>
        <c:axId val="962351248"/>
      </c:barChart>
      <c:dateAx>
        <c:axId val="11713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</a:t>
                </a:r>
                <a:r>
                  <a:rPr lang="en-US" baseline="0"/>
                  <a:t> Resolutions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51248"/>
        <c:crosses val="autoZero"/>
        <c:auto val="1"/>
        <c:lblOffset val="100"/>
        <c:baseTimeUnit val="days"/>
      </c:dateAx>
      <c:valAx>
        <c:axId val="9623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 Customer Support Experience Have an Impact on Brand Perception?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8533470353231E-2"/>
          <c:y val="0.26139225134171667"/>
          <c:w val="0.85606317728802417"/>
          <c:h val="0.61546302789990182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71664653029482"/>
                  <c:y val="0.28341223018764444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ConcentrixCombined!$F$2:$F$144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5</c:v>
                </c:pt>
              </c:numCache>
            </c:numRef>
          </c:xVal>
          <c:yVal>
            <c:numRef>
              <c:f>ConcentrixCombined!$E$2:$E$144</c:f>
              <c:numCache>
                <c:formatCode>General</c:formatCode>
                <c:ptCount val="143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1</c:v>
                </c:pt>
                <c:pt idx="28">
                  <c:v>10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10</c:v>
                </c:pt>
                <c:pt idx="34">
                  <c:v>1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2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10</c:v>
                </c:pt>
                <c:pt idx="51">
                  <c:v>8</c:v>
                </c:pt>
                <c:pt idx="52">
                  <c:v>0</c:v>
                </c:pt>
                <c:pt idx="53">
                  <c:v>8</c:v>
                </c:pt>
                <c:pt idx="54">
                  <c:v>1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</c:v>
                </c:pt>
                <c:pt idx="60">
                  <c:v>8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5</c:v>
                </c:pt>
                <c:pt idx="65">
                  <c:v>8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8</c:v>
                </c:pt>
                <c:pt idx="79">
                  <c:v>3</c:v>
                </c:pt>
                <c:pt idx="80">
                  <c:v>4</c:v>
                </c:pt>
                <c:pt idx="81">
                  <c:v>8</c:v>
                </c:pt>
                <c:pt idx="82">
                  <c:v>2</c:v>
                </c:pt>
                <c:pt idx="83">
                  <c:v>8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3</c:v>
                </c:pt>
                <c:pt idx="91">
                  <c:v>1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4</c:v>
                </c:pt>
                <c:pt idx="107">
                  <c:v>8</c:v>
                </c:pt>
                <c:pt idx="108">
                  <c:v>8</c:v>
                </c:pt>
                <c:pt idx="109">
                  <c:v>5</c:v>
                </c:pt>
                <c:pt idx="110">
                  <c:v>8</c:v>
                </c:pt>
                <c:pt idx="111">
                  <c:v>3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10</c:v>
                </c:pt>
                <c:pt idx="120">
                  <c:v>10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7</c:v>
                </c:pt>
                <c:pt idx="130">
                  <c:v>6</c:v>
                </c:pt>
                <c:pt idx="131">
                  <c:v>9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8</c:v>
                </c:pt>
                <c:pt idx="136">
                  <c:v>7</c:v>
                </c:pt>
                <c:pt idx="137">
                  <c:v>9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5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C-AB7B-48D3-AB57-C96C76C5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71183"/>
        <c:axId val="1373759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8403740157480314"/>
                        <c:y val="-0.3788994604841061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ln>
                              <a:noFill/>
                            </a:ln>
                            <a:solidFill>
                              <a:schemeClr val="tx1">
                                <a:lumMod val="95000"/>
                                <a:lumOff val="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ConcentrixCombined!$E$2:$E$144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2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7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1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10</c:v>
                      </c:pt>
                      <c:pt idx="51">
                        <c:v>8</c:v>
                      </c:pt>
                      <c:pt idx="52">
                        <c:v>0</c:v>
                      </c:pt>
                      <c:pt idx="53">
                        <c:v>8</c:v>
                      </c:pt>
                      <c:pt idx="54">
                        <c:v>1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4</c:v>
                      </c:pt>
                      <c:pt idx="58">
                        <c:v>8</c:v>
                      </c:pt>
                      <c:pt idx="59">
                        <c:v>1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1</c:v>
                      </c:pt>
                      <c:pt idx="63">
                        <c:v>8</c:v>
                      </c:pt>
                      <c:pt idx="64">
                        <c:v>5</c:v>
                      </c:pt>
                      <c:pt idx="65">
                        <c:v>8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4</c:v>
                      </c:pt>
                      <c:pt idx="70">
                        <c:v>7</c:v>
                      </c:pt>
                      <c:pt idx="71">
                        <c:v>8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1</c:v>
                      </c:pt>
                      <c:pt idx="75">
                        <c:v>4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8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8</c:v>
                      </c:pt>
                      <c:pt idx="82">
                        <c:v>2</c:v>
                      </c:pt>
                      <c:pt idx="83">
                        <c:v>8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3</c:v>
                      </c:pt>
                      <c:pt idx="91">
                        <c:v>1</c:v>
                      </c:pt>
                      <c:pt idx="92">
                        <c:v>8</c:v>
                      </c:pt>
                      <c:pt idx="93">
                        <c:v>6</c:v>
                      </c:pt>
                      <c:pt idx="94">
                        <c:v>8</c:v>
                      </c:pt>
                      <c:pt idx="95">
                        <c:v>7</c:v>
                      </c:pt>
                      <c:pt idx="96">
                        <c:v>8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6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4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5</c:v>
                      </c:pt>
                      <c:pt idx="110">
                        <c:v>8</c:v>
                      </c:pt>
                      <c:pt idx="111">
                        <c:v>3</c:v>
                      </c:pt>
                      <c:pt idx="112">
                        <c:v>9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8</c:v>
                      </c:pt>
                      <c:pt idx="122">
                        <c:v>9</c:v>
                      </c:pt>
                      <c:pt idx="123">
                        <c:v>10</c:v>
                      </c:pt>
                      <c:pt idx="124">
                        <c:v>9</c:v>
                      </c:pt>
                      <c:pt idx="125">
                        <c:v>8</c:v>
                      </c:pt>
                      <c:pt idx="126">
                        <c:v>7</c:v>
                      </c:pt>
                      <c:pt idx="127">
                        <c:v>8</c:v>
                      </c:pt>
                      <c:pt idx="128">
                        <c:v>9</c:v>
                      </c:pt>
                      <c:pt idx="129">
                        <c:v>7</c:v>
                      </c:pt>
                      <c:pt idx="130">
                        <c:v>6</c:v>
                      </c:pt>
                      <c:pt idx="131">
                        <c:v>9</c:v>
                      </c:pt>
                      <c:pt idx="132">
                        <c:v>8</c:v>
                      </c:pt>
                      <c:pt idx="133">
                        <c:v>7</c:v>
                      </c:pt>
                      <c:pt idx="134">
                        <c:v>2</c:v>
                      </c:pt>
                      <c:pt idx="135">
                        <c:v>8</c:v>
                      </c:pt>
                      <c:pt idx="136">
                        <c:v>7</c:v>
                      </c:pt>
                      <c:pt idx="137">
                        <c:v>9</c:v>
                      </c:pt>
                      <c:pt idx="138">
                        <c:v>7</c:v>
                      </c:pt>
                      <c:pt idx="139">
                        <c:v>8</c:v>
                      </c:pt>
                      <c:pt idx="140">
                        <c:v>9</c:v>
                      </c:pt>
                      <c:pt idx="141">
                        <c:v>5</c:v>
                      </c:pt>
                      <c:pt idx="142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ConcentrixCombined!$F$2:$F$144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5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4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2</c:v>
                      </c:pt>
                      <c:pt idx="78">
                        <c:v>5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1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3</c:v>
                      </c:pt>
                      <c:pt idx="116">
                        <c:v>5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3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4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3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1</c:v>
                      </c:pt>
                      <c:pt idx="142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B7B-48D3-AB57-C96C76C5B70B}"/>
                  </c:ext>
                </c:extLst>
              </c15:ser>
            </c15:filteredScatterSeries>
          </c:ext>
        </c:extLst>
      </c:scatterChart>
      <c:valAx>
        <c:axId val="1373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5983"/>
        <c:crosses val="autoZero"/>
        <c:crossBetween val="midCat"/>
      </c:valAx>
      <c:valAx>
        <c:axId val="1373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7-450A-85B0-74F0AAC56A8D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27-450A-85B0-74F0AAC56A8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327-450A-85B0-74F0AAC56A8D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7-450A-85B0-74F0AAC56A8D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327-450A-85B0-74F0AAC56A8D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9157AF9-59D2-4CAA-A472-7CA53969742E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sz="1200" baseline="0"/>
                      <a:t>
</a:t>
                    </a:r>
                    <a:fld id="{A4D04334-A40A-49FD-9292-488B84F0F05C}" type="PERCENTAGE">
                      <a:rPr lang="en-US" sz="1600" baseline="0"/>
                      <a:pPr>
                        <a:defRPr/>
                      </a:pPr>
                      <a:t>[PERCENTAGE]</a:t>
                    </a:fld>
                    <a:endParaRPr lang="en-US" sz="1200" baseline="0"/>
                  </a:p>
                </c:rich>
              </c:tx>
              <c:spPr>
                <a:noFill/>
                <a:ln cap="sq" cmpd="sng">
                  <a:noFill/>
                  <a:prstDash val="solid"/>
                  <a:round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082147997629328"/>
                      <c:h val="0.1723092909378467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27-450A-85B0-74F0AAC56A8D}"/>
                </c:ext>
              </c:extLst>
            </c:dLbl>
            <c:dLbl>
              <c:idx val="1"/>
              <c:layout>
                <c:manualLayout>
                  <c:x val="0.14436864307096839"/>
                  <c:y val="-0.23225447587015335"/>
                </c:manualLayout>
              </c:layout>
              <c:tx>
                <c:rich>
                  <a:bodyPr/>
                  <a:lstStyle/>
                  <a:p>
                    <a:fld id="{EB909A3E-ED8D-4A7B-B601-5A4ED2273516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2C21DB37-D911-45C0-AA11-63280984158D}" type="PERCENTAGE">
                      <a:rPr lang="en-US" sz="16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48509658453985"/>
                      <c:h val="0.131501926902453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27-450A-85B0-74F0AAC56A8D}"/>
                </c:ext>
              </c:extLst>
            </c:dLbl>
            <c:dLbl>
              <c:idx val="2"/>
              <c:layout>
                <c:manualLayout>
                  <c:x val="0.13924560453893747"/>
                  <c:y val="2.8250284964447293E-2"/>
                </c:manualLayout>
              </c:layout>
              <c:tx>
                <c:rich>
                  <a:bodyPr/>
                  <a:lstStyle/>
                  <a:p>
                    <a:fld id="{082F8DF8-CEDD-458E-B1F2-390719E6ECE9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370DF769-BC26-4F37-81E0-841F8F60BD7B}" type="PERCENTAGE">
                      <a:rPr lang="en-US" sz="16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327-450A-85B0-74F0AAC56A8D}"/>
                </c:ext>
              </c:extLst>
            </c:dLbl>
            <c:dLbl>
              <c:idx val="3"/>
              <c:layout>
                <c:manualLayout>
                  <c:x val="8.5286234958905069E-2"/>
                  <c:y val="0.13544857736796651"/>
                </c:manualLayout>
              </c:layout>
              <c:tx>
                <c:rich>
                  <a:bodyPr/>
                  <a:lstStyle/>
                  <a:p>
                    <a:fld id="{84A37E75-B762-43AD-9FAD-C9285C12ECB8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ECA59AFB-B827-4DE8-8643-EA9F6D6648A7}" type="PERCENTAGE">
                      <a:rPr lang="en-US" sz="16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27-450A-85B0-74F0AAC56A8D}"/>
                </c:ext>
              </c:extLst>
            </c:dLbl>
            <c:dLbl>
              <c:idx val="4"/>
              <c:layout>
                <c:manualLayout>
                  <c:x val="4.3918463464235974E-2"/>
                  <c:y val="0.10771584688005592"/>
                </c:manualLayout>
              </c:layout>
              <c:tx>
                <c:rich>
                  <a:bodyPr/>
                  <a:lstStyle/>
                  <a:p>
                    <a:fld id="{739446D9-C0B2-4B81-A4ED-C5EC13361E17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08938D79-A9B4-4AA7-B41D-15A476AFB2B9}" type="PERCENTAGE">
                      <a:rPr lang="en-US" sz="16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47994329698505"/>
                      <c:h val="0.19680330358783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27-450A-85B0-74F0AAC56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ConcentrixCombined!$J$148:$J$152</c:f>
              <c:strCache>
                <c:ptCount val="5"/>
                <c:pt idx="0">
                  <c:v>No Attempt</c:v>
                </c:pt>
                <c:pt idx="1">
                  <c:v>App</c:v>
                </c:pt>
                <c:pt idx="2">
                  <c:v>NA</c:v>
                </c:pt>
                <c:pt idx="3">
                  <c:v>IVR</c:v>
                </c:pt>
                <c:pt idx="4">
                  <c:v>Web</c:v>
                </c:pt>
              </c:strCache>
            </c:strRef>
          </c:cat>
          <c:val>
            <c:numRef>
              <c:f>ConcentrixCombined!$K$148:$K$152</c:f>
              <c:numCache>
                <c:formatCode>General</c:formatCode>
                <c:ptCount val="5"/>
                <c:pt idx="0">
                  <c:v>67</c:v>
                </c:pt>
                <c:pt idx="1">
                  <c:v>34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7-450A-85B0-74F0AAC5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144</xdr:row>
      <xdr:rowOff>147637</xdr:rowOff>
    </xdr:from>
    <xdr:to>
      <xdr:col>12</xdr:col>
      <xdr:colOff>3314700</xdr:colOff>
      <xdr:row>158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F71E0-CAAB-30E3-BFA5-99C8C25AF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159</xdr:row>
      <xdr:rowOff>161925</xdr:rowOff>
    </xdr:from>
    <xdr:to>
      <xdr:col>12</xdr:col>
      <xdr:colOff>3419475</xdr:colOff>
      <xdr:row>174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7699A-D906-4984-919B-6F02569C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723899</xdr:colOff>
      <xdr:row>174</xdr:row>
      <xdr:rowOff>28575</xdr:rowOff>
    </xdr:from>
    <xdr:to>
      <xdr:col>12</xdr:col>
      <xdr:colOff>3448049</xdr:colOff>
      <xdr:row>189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4E780B-FB92-459B-B515-3E0C381D4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4014787</xdr:colOff>
      <xdr:row>169</xdr:row>
      <xdr:rowOff>100012</xdr:rowOff>
    </xdr:from>
    <xdr:to>
      <xdr:col>12</xdr:col>
      <xdr:colOff>8586787</xdr:colOff>
      <xdr:row>183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9669AC-78AD-D581-82E3-15B88AA59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714375</xdr:colOff>
      <xdr:row>190</xdr:row>
      <xdr:rowOff>104775</xdr:rowOff>
    </xdr:from>
    <xdr:to>
      <xdr:col>12</xdr:col>
      <xdr:colOff>3438525</xdr:colOff>
      <xdr:row>206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DF95F8-DC45-438A-8E75-29B5FD033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3981449</xdr:colOff>
      <xdr:row>151</xdr:row>
      <xdr:rowOff>161925</xdr:rowOff>
    </xdr:from>
    <xdr:to>
      <xdr:col>12</xdr:col>
      <xdr:colOff>9382124</xdr:colOff>
      <xdr:row>168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36995-C647-A004-EDED-4C5FEDA8A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4362449</xdr:colOff>
      <xdr:row>185</xdr:row>
      <xdr:rowOff>114301</xdr:rowOff>
    </xdr:from>
    <xdr:to>
      <xdr:col>12</xdr:col>
      <xdr:colOff>10296525</xdr:colOff>
      <xdr:row>207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21E90-60B3-283A-6A06-B41813B8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548.469807754627" createdVersion="8" refreshedVersion="8" minRefreshableVersion="3" recordCount="143" xr:uid="{DFC757DB-296B-44F6-85AB-C38AAF014FE9}">
  <cacheSource type="worksheet">
    <worksheetSource ref="A1:M144" sheet="ConcentrixCombined"/>
  </cacheSource>
  <cacheFields count="12">
    <cacheField name="Account_Number" numFmtId="0">
      <sharedItems containsSemiMixedTypes="0" containsString="0" containsNumber="1" containsInteger="1" minValue="9000001" maxValue="9000095"/>
    </cacheField>
    <cacheField name="Interaction_ID" numFmtId="0">
      <sharedItems containsSemiMixedTypes="0" containsString="0" containsNumber="1" containsInteger="1" minValue="1234501" maxValue="1234643"/>
    </cacheField>
    <cacheField name="Contact_Date" numFmtId="22">
      <sharedItems containsSemiMixedTypes="0" containsNonDate="0" containsDate="1" containsString="0" minDate="2022-08-10T07:15:00" maxDate="2022-08-22T18:09:00"/>
    </cacheField>
    <cacheField name="NPS_Score" numFmtId="0">
      <sharedItems containsSemiMixedTypes="0" containsString="0" containsNumber="1" containsInteger="1" minValue="0" maxValue="10" count="11">
        <n v="2"/>
        <n v="1"/>
        <n v="8"/>
        <n v="0"/>
        <n v="7"/>
        <n v="10"/>
        <n v="9"/>
        <n v="3"/>
        <n v="5"/>
        <n v="6"/>
        <n v="4"/>
      </sharedItems>
    </cacheField>
    <cacheField name="Overall_Experience" numFmtId="0">
      <sharedItems containsSemiMixedTypes="0" containsString="0" containsNumber="1" containsInteger="1" minValue="1" maxValue="5"/>
    </cacheField>
    <cacheField name="Self_Service_Channel_Used" numFmtId="0">
      <sharedItems containsBlank="1" count="5">
        <s v="No Attempt"/>
        <s v="App"/>
        <s v="IVR"/>
        <s v="Web"/>
        <m/>
      </sharedItems>
    </cacheField>
    <cacheField name="Advisor_Role" numFmtId="0">
      <sharedItems count="2">
        <s v="Tier 1"/>
        <s v="Tier 2"/>
      </sharedItems>
    </cacheField>
    <cacheField name="Contact_Channel" numFmtId="0">
      <sharedItems count="2">
        <s v="Chat"/>
        <s v="Voice"/>
      </sharedItems>
    </cacheField>
    <cacheField name="Contact_Reason" numFmtId="0">
      <sharedItems count="8">
        <s v="Cancel Service"/>
        <s v="Add Services"/>
        <s v="Change Plan"/>
        <s v="Make a Payment"/>
        <s v="Service Question"/>
        <s v="Device Question"/>
        <s v="Billing Dispute"/>
        <s v="Billing Question"/>
      </sharedItems>
    </cacheField>
    <cacheField name="Contact_Resolution" numFmtId="0">
      <sharedItems count="11">
        <s v="Cancel Service"/>
        <s v="Disconnect"/>
        <s v="Change Plan"/>
        <s v="Explain Bill"/>
        <s v="Transfer"/>
        <s v="Add Device"/>
        <s v="Add Data"/>
        <s v="Process Payment"/>
        <s v="Provide Info"/>
        <s v="Activate Device"/>
        <s v="Refund Account"/>
      </sharedItems>
    </cacheField>
    <cacheField name="Issue_Resolved" numFmtId="0">
      <sharedItems count="3">
        <s v="Yes"/>
        <s v="No, but expect it to be resolved"/>
        <s v="No"/>
      </sharedItems>
    </cacheField>
    <cacheField name="Verbatim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552.830267592595" createdVersion="8" refreshedVersion="8" minRefreshableVersion="3" recordCount="15" xr:uid="{8CA5FFFE-3146-499E-A666-AF67142CF37A}">
  <cacheSource type="worksheet">
    <worksheetSource ref="C300:F315" sheet="ConcentrixCombined"/>
  </cacheSource>
  <cacheFields count="4">
    <cacheField name="Overall Experience" numFmtId="2">
      <sharedItems containsString="0" containsBlank="1" containsNumber="1" containsInteger="1" minValue="1" maxValue="5" count="6">
        <n v="1"/>
        <m/>
        <n v="2"/>
        <n v="3"/>
        <n v="4"/>
        <n v="5"/>
      </sharedItems>
    </cacheField>
    <cacheField name="NPS Score (Raw)" numFmtId="0">
      <sharedItems/>
    </cacheField>
    <cacheField name="NPS Score Count" numFmtId="0">
      <sharedItems containsSemiMixedTypes="0" containsString="0" containsNumber="1" containsInteger="1" minValue="0" maxValue="26"/>
    </cacheField>
    <cacheField name="NPS Score (Calculated)" numFmtId="9">
      <sharedItems containsString="0" containsBlank="1" containsNumber="1" minValue="-0.42105263157894735" maxValue="0.16666666666666669" count="6">
        <n v="-0.40540540540540543"/>
        <m/>
        <n v="-0.42105263157894735"/>
        <n v="0.14285714285714288"/>
        <n v="-0.13333333333333336"/>
        <n v="0.166666666666666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552.833088888889" createdVersion="8" refreshedVersion="8" minRefreshableVersion="3" recordCount="24" xr:uid="{247B4DEB-A044-4E40-9F1A-B76FBA0AC5C5}">
  <cacheSource type="worksheet">
    <worksheetSource ref="C274:F298" sheet="ConcentrixCombined"/>
  </cacheSource>
  <cacheFields count="4">
    <cacheField name="Contact Reason" numFmtId="14">
      <sharedItems containsNonDate="0" containsBlank="1" count="9">
        <s v="Add Services"/>
        <m/>
        <s v="Billing Question"/>
        <s v="Make a Payment"/>
        <s v="Billing Dispute"/>
        <s v="Service Question"/>
        <s v="Cancel Service"/>
        <s v="Device Question"/>
        <s v="Change Plan"/>
      </sharedItems>
    </cacheField>
    <cacheField name="NPS Score (Raw)" numFmtId="0">
      <sharedItems/>
    </cacheField>
    <cacheField name="NPS Score Count" numFmtId="0">
      <sharedItems containsSemiMixedTypes="0" containsString="0" containsNumber="1" containsInteger="1" minValue="0" maxValue="25"/>
    </cacheField>
    <cacheField name="NPS Score (Calculated)" numFmtId="9">
      <sharedItems containsString="0" containsBlank="1" containsNumber="1" minValue="-0.75" maxValue="0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552.838575462963" createdVersion="8" refreshedVersion="8" minRefreshableVersion="3" recordCount="33" xr:uid="{CBD4BF3E-200D-4B10-8E77-EEECF6B0FF1F}">
  <cacheSource type="worksheet">
    <worksheetSource ref="C239:F272" sheet="ConcentrixCombined"/>
  </cacheSource>
  <cacheFields count="4">
    <cacheField name="Contact Resolution" numFmtId="14">
      <sharedItems containsNonDate="0" containsBlank="1" count="12">
        <s v="Activate Device"/>
        <m/>
        <s v="Add Data"/>
        <s v="Add Device"/>
        <s v="Cacel Service"/>
        <s v="Change Plan"/>
        <s v="Disconnect"/>
        <s v="Explain Bill"/>
        <s v="Process Payment"/>
        <s v="Provide Info"/>
        <s v="Refund Account"/>
        <s v="Transfer"/>
      </sharedItems>
    </cacheField>
    <cacheField name="NPS Score (Raw)" numFmtId="0">
      <sharedItems/>
    </cacheField>
    <cacheField name="NPS Score Count" numFmtId="0">
      <sharedItems containsSemiMixedTypes="0" containsString="0" containsNumber="1" containsInteger="1" minValue="0" maxValue="23"/>
    </cacheField>
    <cacheField name="NPS Score (Calculated)" numFmtId="9">
      <sharedItems containsString="0" containsBlank="1" containsNumber="1" minValue="-1" maxValue="0.85714285714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552.839289814816" createdVersion="8" refreshedVersion="8" minRefreshableVersion="3" recordCount="6" xr:uid="{305A6E82-2E83-4D66-93ED-9CD889C7AFA9}">
  <cacheSource type="worksheet">
    <worksheetSource ref="C231:F237" sheet="ConcentrixCombined"/>
  </cacheSource>
  <cacheFields count="4">
    <cacheField name="Support Tier" numFmtId="14">
      <sharedItems containsNonDate="0" containsBlank="1" count="3">
        <s v="Tier 1"/>
        <m/>
        <s v="Tier 2"/>
      </sharedItems>
    </cacheField>
    <cacheField name="NPS Score (Raw)" numFmtId="0">
      <sharedItems/>
    </cacheField>
    <cacheField name="NPS Score Count" numFmtId="0">
      <sharedItems containsSemiMixedTypes="0" containsString="0" containsNumber="1" containsInteger="1" minValue="9" maxValue="39"/>
    </cacheField>
    <cacheField name="NPS Score (Calculated)" numFmtId="9">
      <sharedItems containsString="0" containsBlank="1" containsNumber="1" minValue="-0.24324324324324323" maxValue="5.797101449275363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552.839983796293" createdVersion="8" refreshedVersion="8" minRefreshableVersion="3" recordCount="15" xr:uid="{9D543618-B1B1-4E42-BD9C-F4AFA48A0BA2}">
  <cacheSource type="worksheet">
    <worksheetSource ref="C214:F229" sheet="ConcentrixCombined"/>
  </cacheSource>
  <cacheFields count="4">
    <cacheField name="Self Service Channel Used" numFmtId="0">
      <sharedItems containsBlank="1" count="6">
        <s v="App"/>
        <m/>
        <s v="IVR"/>
        <s v="No Attempt"/>
        <s v="Web"/>
        <s v="NA"/>
      </sharedItems>
    </cacheField>
    <cacheField name="NPS Score (Raw)" numFmtId="0">
      <sharedItems/>
    </cacheField>
    <cacheField name="NPS Score Count" numFmtId="0">
      <sharedItems containsSemiMixedTypes="0" containsString="0" containsNumber="1" containsInteger="1" minValue="0" maxValue="37"/>
    </cacheField>
    <cacheField name="NPS Score (Calculated)" numFmtId="9">
      <sharedItems containsString="0" containsBlank="1" containsNumber="1" minValue="-0.625" maxValue="0.3888888888888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9000001"/>
    <n v="1234531"/>
    <d v="2022-08-15T11:54:00"/>
    <x v="0"/>
    <n v="1"/>
    <x v="0"/>
    <x v="0"/>
    <x v="0"/>
    <x v="0"/>
    <x v="0"/>
    <x v="0"/>
    <s v="bad service and awful app is the cause of me leaving"/>
  </r>
  <r>
    <n v="9000001"/>
    <n v="1234545"/>
    <d v="2022-08-13T10:54:00"/>
    <x v="1"/>
    <n v="1"/>
    <x v="1"/>
    <x v="0"/>
    <x v="0"/>
    <x v="0"/>
    <x v="1"/>
    <x v="1"/>
    <s v="DONE."/>
  </r>
  <r>
    <n v="9000002"/>
    <n v="1234523"/>
    <d v="2022-08-11T08:06:00"/>
    <x v="2"/>
    <n v="5"/>
    <x v="2"/>
    <x v="1"/>
    <x v="1"/>
    <x v="0"/>
    <x v="2"/>
    <x v="0"/>
    <s v="My plan costed too much but the advisor worked with me and found a cheaper plan."/>
  </r>
  <r>
    <n v="9000003"/>
    <n v="1234507"/>
    <d v="2022-08-10T11:58:00"/>
    <x v="2"/>
    <n v="5"/>
    <x v="3"/>
    <x v="1"/>
    <x v="0"/>
    <x v="0"/>
    <x v="3"/>
    <x v="0"/>
    <s v="I was fed up but Accommodating advisor who helped me understand my bill"/>
  </r>
  <r>
    <n v="9000004"/>
    <n v="1234600"/>
    <d v="2022-08-18T12:12:00"/>
    <x v="3"/>
    <n v="5"/>
    <x v="0"/>
    <x v="1"/>
    <x v="1"/>
    <x v="0"/>
    <x v="0"/>
    <x v="0"/>
    <s v="Finished with TelCo Inc. the advisor was great, gave me no issues cancelling my service."/>
  </r>
  <r>
    <n v="9000005"/>
    <n v="1234503"/>
    <d v="2022-08-10T07:37:00"/>
    <x v="4"/>
    <n v="1"/>
    <x v="1"/>
    <x v="0"/>
    <x v="1"/>
    <x v="1"/>
    <x v="4"/>
    <x v="1"/>
    <m/>
  </r>
  <r>
    <n v="9000005"/>
    <n v="1234504"/>
    <d v="2022-08-10T07:42:00"/>
    <x v="5"/>
    <n v="5"/>
    <x v="4"/>
    <x v="1"/>
    <x v="1"/>
    <x v="1"/>
    <x v="5"/>
    <x v="0"/>
    <m/>
  </r>
  <r>
    <n v="9000006"/>
    <n v="1234516"/>
    <d v="2022-08-10T16:54:00"/>
    <x v="2"/>
    <n v="2"/>
    <x v="4"/>
    <x v="1"/>
    <x v="1"/>
    <x v="1"/>
    <x v="5"/>
    <x v="0"/>
    <m/>
  </r>
  <r>
    <n v="9000006"/>
    <n v="1234515"/>
    <d v="2022-08-10T16:23:00"/>
    <x v="4"/>
    <n v="1"/>
    <x v="1"/>
    <x v="0"/>
    <x v="1"/>
    <x v="1"/>
    <x v="4"/>
    <x v="1"/>
    <m/>
  </r>
  <r>
    <n v="9000007"/>
    <n v="1234512"/>
    <d v="2022-08-10T13:53:00"/>
    <x v="6"/>
    <n v="3"/>
    <x v="4"/>
    <x v="1"/>
    <x v="1"/>
    <x v="1"/>
    <x v="5"/>
    <x v="0"/>
    <s v="Shouldn't I be able to add a new device on the app?"/>
  </r>
  <r>
    <n v="9000007"/>
    <n v="1234511"/>
    <d v="2022-08-10T13:36:00"/>
    <x v="4"/>
    <n v="1"/>
    <x v="1"/>
    <x v="0"/>
    <x v="1"/>
    <x v="1"/>
    <x v="4"/>
    <x v="1"/>
    <m/>
  </r>
  <r>
    <n v="9000008"/>
    <n v="1234529"/>
    <d v="2022-08-11T14:08:00"/>
    <x v="6"/>
    <n v="3"/>
    <x v="4"/>
    <x v="1"/>
    <x v="1"/>
    <x v="1"/>
    <x v="5"/>
    <x v="0"/>
    <m/>
  </r>
  <r>
    <n v="9000008"/>
    <n v="1234527"/>
    <d v="2022-08-11T13:50:00"/>
    <x v="1"/>
    <n v="1"/>
    <x v="1"/>
    <x v="0"/>
    <x v="1"/>
    <x v="1"/>
    <x v="4"/>
    <x v="1"/>
    <m/>
  </r>
  <r>
    <n v="9000009"/>
    <n v="1234521"/>
    <d v="2022-08-11T07:06:00"/>
    <x v="0"/>
    <n v="1"/>
    <x v="1"/>
    <x v="0"/>
    <x v="1"/>
    <x v="1"/>
    <x v="4"/>
    <x v="1"/>
    <m/>
  </r>
  <r>
    <n v="9000009"/>
    <n v="1234522"/>
    <d v="2022-08-11T07:30:00"/>
    <x v="2"/>
    <n v="3"/>
    <x v="4"/>
    <x v="1"/>
    <x v="1"/>
    <x v="1"/>
    <x v="5"/>
    <x v="0"/>
    <s v="Thanks for helping"/>
  </r>
  <r>
    <n v="9000010"/>
    <n v="1234539"/>
    <d v="2022-08-12T17:31:00"/>
    <x v="2"/>
    <n v="2"/>
    <x v="4"/>
    <x v="1"/>
    <x v="1"/>
    <x v="1"/>
    <x v="5"/>
    <x v="0"/>
    <s v="I hate talking to call centers"/>
  </r>
  <r>
    <n v="9000010"/>
    <n v="1234538"/>
    <d v="2022-08-12T17:16:00"/>
    <x v="7"/>
    <n v="1"/>
    <x v="1"/>
    <x v="0"/>
    <x v="1"/>
    <x v="1"/>
    <x v="4"/>
    <x v="1"/>
    <m/>
  </r>
  <r>
    <n v="9000011"/>
    <n v="1234565"/>
    <d v="2022-08-15T08:27:00"/>
    <x v="4"/>
    <n v="1"/>
    <x v="1"/>
    <x v="0"/>
    <x v="1"/>
    <x v="1"/>
    <x v="4"/>
    <x v="1"/>
    <m/>
  </r>
  <r>
    <n v="9000011"/>
    <n v="1234566"/>
    <d v="2022-08-15T08:49:00"/>
    <x v="2"/>
    <n v="3"/>
    <x v="4"/>
    <x v="1"/>
    <x v="1"/>
    <x v="1"/>
    <x v="6"/>
    <x v="0"/>
    <s v="I would consider myself pretty tech savvy"/>
  </r>
  <r>
    <n v="9000012"/>
    <n v="1234572"/>
    <d v="2022-08-15T19:21:00"/>
    <x v="4"/>
    <n v="3"/>
    <x v="4"/>
    <x v="1"/>
    <x v="1"/>
    <x v="1"/>
    <x v="6"/>
    <x v="0"/>
    <s v="This seems like it should have been eaier to do on my own"/>
  </r>
  <r>
    <n v="9000012"/>
    <n v="1234571"/>
    <d v="2022-08-15T18:55:00"/>
    <x v="4"/>
    <n v="1"/>
    <x v="1"/>
    <x v="0"/>
    <x v="1"/>
    <x v="1"/>
    <x v="4"/>
    <x v="1"/>
    <m/>
  </r>
  <r>
    <n v="9000013"/>
    <n v="1234579"/>
    <d v="2022-08-16T14:28:00"/>
    <x v="2"/>
    <n v="5"/>
    <x v="4"/>
    <x v="1"/>
    <x v="1"/>
    <x v="1"/>
    <x v="6"/>
    <x v="0"/>
    <m/>
  </r>
  <r>
    <n v="9000013"/>
    <n v="1234578"/>
    <d v="2022-08-16T14:12:00"/>
    <x v="8"/>
    <n v="1"/>
    <x v="1"/>
    <x v="0"/>
    <x v="1"/>
    <x v="1"/>
    <x v="4"/>
    <x v="1"/>
    <m/>
  </r>
  <r>
    <n v="9000014"/>
    <n v="1234593"/>
    <d v="2022-08-17T16:01:00"/>
    <x v="0"/>
    <n v="1"/>
    <x v="1"/>
    <x v="0"/>
    <x v="1"/>
    <x v="1"/>
    <x v="4"/>
    <x v="1"/>
    <m/>
  </r>
  <r>
    <n v="9000014"/>
    <n v="1234594"/>
    <d v="2022-08-17T16:16:00"/>
    <x v="6"/>
    <n v="5"/>
    <x v="4"/>
    <x v="1"/>
    <x v="1"/>
    <x v="1"/>
    <x v="6"/>
    <x v="0"/>
    <s v="Fixed, thanks"/>
  </r>
  <r>
    <n v="9000015"/>
    <n v="1234598"/>
    <d v="2022-08-17T19:21:00"/>
    <x v="5"/>
    <n v="3"/>
    <x v="4"/>
    <x v="1"/>
    <x v="1"/>
    <x v="1"/>
    <x v="6"/>
    <x v="0"/>
    <m/>
  </r>
  <r>
    <n v="9000015"/>
    <n v="1234597"/>
    <d v="2022-08-17T19:04:00"/>
    <x v="4"/>
    <n v="1"/>
    <x v="1"/>
    <x v="0"/>
    <x v="1"/>
    <x v="1"/>
    <x v="4"/>
    <x v="1"/>
    <m/>
  </r>
  <r>
    <n v="9000016"/>
    <n v="1234589"/>
    <d v="2022-08-17T10:35:00"/>
    <x v="1"/>
    <n v="1"/>
    <x v="1"/>
    <x v="0"/>
    <x v="1"/>
    <x v="1"/>
    <x v="4"/>
    <x v="1"/>
    <m/>
  </r>
  <r>
    <n v="9000016"/>
    <n v="1234590"/>
    <d v="2022-08-17T10:55:00"/>
    <x v="5"/>
    <n v="3"/>
    <x v="4"/>
    <x v="1"/>
    <x v="1"/>
    <x v="1"/>
    <x v="6"/>
    <x v="0"/>
    <s v="Let your advisors help people"/>
  </r>
  <r>
    <n v="9000017"/>
    <n v="1234605"/>
    <d v="2022-08-18T19:23:00"/>
    <x v="4"/>
    <n v="1"/>
    <x v="1"/>
    <x v="0"/>
    <x v="1"/>
    <x v="1"/>
    <x v="4"/>
    <x v="1"/>
    <m/>
  </r>
  <r>
    <n v="9000017"/>
    <n v="1234607"/>
    <d v="2022-08-18T19:33:00"/>
    <x v="2"/>
    <n v="3"/>
    <x v="4"/>
    <x v="1"/>
    <x v="1"/>
    <x v="1"/>
    <x v="6"/>
    <x v="0"/>
    <s v="Every advisor should be able to do everything in my opinion"/>
  </r>
  <r>
    <n v="9000018"/>
    <n v="1234604"/>
    <d v="2022-08-18T13:06:00"/>
    <x v="2"/>
    <n v="3"/>
    <x v="4"/>
    <x v="1"/>
    <x v="1"/>
    <x v="1"/>
    <x v="6"/>
    <x v="0"/>
    <s v="Don't all advisors use the same tools? If so, why did I have to be transferred?"/>
  </r>
  <r>
    <n v="9000018"/>
    <n v="1234603"/>
    <d v="2022-08-18T12:49:00"/>
    <x v="4"/>
    <n v="1"/>
    <x v="1"/>
    <x v="0"/>
    <x v="1"/>
    <x v="1"/>
    <x v="4"/>
    <x v="1"/>
    <m/>
  </r>
  <r>
    <n v="9000019"/>
    <n v="1234613"/>
    <d v="2022-08-19T21:23:00"/>
    <x v="5"/>
    <n v="3"/>
    <x v="4"/>
    <x v="1"/>
    <x v="1"/>
    <x v="1"/>
    <x v="6"/>
    <x v="0"/>
    <s v="second advisor was more helpful. First advisor not helpful"/>
  </r>
  <r>
    <n v="9000019"/>
    <n v="1234612"/>
    <d v="2022-08-19T20:56:00"/>
    <x v="1"/>
    <n v="1"/>
    <x v="1"/>
    <x v="0"/>
    <x v="1"/>
    <x v="1"/>
    <x v="4"/>
    <x v="1"/>
    <m/>
  </r>
  <r>
    <n v="9000020"/>
    <n v="1234643"/>
    <d v="2022-08-22T18:09:00"/>
    <x v="2"/>
    <n v="3"/>
    <x v="4"/>
    <x v="1"/>
    <x v="1"/>
    <x v="1"/>
    <x v="6"/>
    <x v="0"/>
    <s v="advisor said they couldn't help and I was transferred."/>
  </r>
  <r>
    <n v="9000020"/>
    <n v="1234641"/>
    <d v="2022-08-22T17:44:00"/>
    <x v="4"/>
    <n v="1"/>
    <x v="2"/>
    <x v="0"/>
    <x v="1"/>
    <x v="1"/>
    <x v="4"/>
    <x v="1"/>
    <m/>
  </r>
  <r>
    <n v="9000021"/>
    <n v="1234634"/>
    <d v="2022-08-22T07:57:00"/>
    <x v="4"/>
    <n v="1"/>
    <x v="2"/>
    <x v="0"/>
    <x v="1"/>
    <x v="1"/>
    <x v="4"/>
    <x v="1"/>
    <m/>
  </r>
  <r>
    <n v="9000021"/>
    <n v="1234635"/>
    <d v="2022-08-22T08:11:00"/>
    <x v="2"/>
    <n v="3"/>
    <x v="4"/>
    <x v="1"/>
    <x v="1"/>
    <x v="1"/>
    <x v="6"/>
    <x v="0"/>
    <s v="Why?"/>
  </r>
  <r>
    <n v="9000022"/>
    <n v="1234638"/>
    <d v="2022-08-22T10:15:00"/>
    <x v="2"/>
    <n v="4"/>
    <x v="4"/>
    <x v="1"/>
    <x v="1"/>
    <x v="1"/>
    <x v="6"/>
    <x v="0"/>
    <s v="This person clearly knew what they were doing, thanks! Still don't understand why the first advisor said they couldn't help me or the system stopped me."/>
  </r>
  <r>
    <n v="9000022"/>
    <n v="1234637"/>
    <d v="2022-08-22T10:03:00"/>
    <x v="0"/>
    <n v="1"/>
    <x v="2"/>
    <x v="0"/>
    <x v="1"/>
    <x v="1"/>
    <x v="4"/>
    <x v="1"/>
    <m/>
  </r>
  <r>
    <n v="9000023"/>
    <n v="1234627"/>
    <d v="2022-08-21T07:14:00"/>
    <x v="4"/>
    <n v="3"/>
    <x v="0"/>
    <x v="1"/>
    <x v="1"/>
    <x v="1"/>
    <x v="5"/>
    <x v="0"/>
    <m/>
  </r>
  <r>
    <n v="9000023"/>
    <n v="1234542"/>
    <d v="2022-08-13T07:31:00"/>
    <x v="4"/>
    <n v="1"/>
    <x v="2"/>
    <x v="0"/>
    <x v="1"/>
    <x v="1"/>
    <x v="1"/>
    <x v="1"/>
    <m/>
  </r>
  <r>
    <n v="9000024"/>
    <n v="1234615"/>
    <d v="2022-08-20T09:25:00"/>
    <x v="4"/>
    <n v="1"/>
    <x v="2"/>
    <x v="0"/>
    <x v="1"/>
    <x v="1"/>
    <x v="1"/>
    <x v="1"/>
    <m/>
  </r>
  <r>
    <n v="9000024"/>
    <n v="1234628"/>
    <d v="2022-08-21T08:15:00"/>
    <x v="4"/>
    <n v="3"/>
    <x v="0"/>
    <x v="1"/>
    <x v="1"/>
    <x v="1"/>
    <x v="5"/>
    <x v="0"/>
    <s v="got connected on my 2nd try and got  my new device. Thanks"/>
  </r>
  <r>
    <n v="9000025"/>
    <n v="1234626"/>
    <d v="2022-08-20T20:03:00"/>
    <x v="2"/>
    <n v="1"/>
    <x v="1"/>
    <x v="0"/>
    <x v="0"/>
    <x v="2"/>
    <x v="2"/>
    <x v="0"/>
    <s v="advisor didnÂ’t listen well. Seems easy enough"/>
  </r>
  <r>
    <n v="9000026"/>
    <n v="1234623"/>
    <d v="2022-08-20T18:26:00"/>
    <x v="2"/>
    <n v="1"/>
    <x v="1"/>
    <x v="0"/>
    <x v="0"/>
    <x v="2"/>
    <x v="2"/>
    <x v="0"/>
    <m/>
  </r>
  <r>
    <n v="9000027"/>
    <n v="1234631"/>
    <d v="2022-08-21T16:26:00"/>
    <x v="2"/>
    <n v="1"/>
    <x v="1"/>
    <x v="0"/>
    <x v="0"/>
    <x v="2"/>
    <x v="2"/>
    <x v="0"/>
    <s v="my time is valuable and I should be able to get through straight away"/>
  </r>
  <r>
    <n v="9000028"/>
    <n v="1234617"/>
    <d v="2022-08-20T11:35:00"/>
    <x v="2"/>
    <n v="1"/>
    <x v="2"/>
    <x v="1"/>
    <x v="1"/>
    <x v="2"/>
    <x v="6"/>
    <x v="0"/>
    <s v="hold was never ending"/>
  </r>
  <r>
    <n v="9000029"/>
    <n v="1234632"/>
    <d v="2022-08-21T17:19:00"/>
    <x v="2"/>
    <n v="1"/>
    <x v="2"/>
    <x v="1"/>
    <x v="1"/>
    <x v="2"/>
    <x v="5"/>
    <x v="0"/>
    <s v="watch the clock"/>
  </r>
  <r>
    <n v="9000030"/>
    <n v="1234561"/>
    <d v="2022-08-15T07:38:00"/>
    <x v="5"/>
    <n v="5"/>
    <x v="0"/>
    <x v="1"/>
    <x v="1"/>
    <x v="2"/>
    <x v="5"/>
    <x v="0"/>
    <s v="Thanks for the help!"/>
  </r>
  <r>
    <n v="9000031"/>
    <n v="1234636"/>
    <d v="2022-08-22T09:27:00"/>
    <x v="2"/>
    <n v="3"/>
    <x v="0"/>
    <x v="0"/>
    <x v="1"/>
    <x v="3"/>
    <x v="7"/>
    <x v="0"/>
    <m/>
  </r>
  <r>
    <n v="9000031"/>
    <n v="1234630"/>
    <d v="2022-08-21T14:57:00"/>
    <x v="3"/>
    <n v="1"/>
    <x v="1"/>
    <x v="0"/>
    <x v="1"/>
    <x v="3"/>
    <x v="1"/>
    <x v="1"/>
    <s v="too many bad words to say about this whole thing"/>
  </r>
  <r>
    <n v="9000032"/>
    <n v="1234556"/>
    <d v="2022-08-21T15:40:00"/>
    <x v="2"/>
    <n v="2"/>
    <x v="0"/>
    <x v="0"/>
    <x v="1"/>
    <x v="3"/>
    <x v="7"/>
    <x v="0"/>
    <m/>
  </r>
  <r>
    <n v="9000032"/>
    <n v="1234537"/>
    <d v="2022-08-20T15:48:00"/>
    <x v="1"/>
    <n v="1"/>
    <x v="2"/>
    <x v="0"/>
    <x v="1"/>
    <x v="3"/>
    <x v="1"/>
    <x v="1"/>
    <s v="What is going on"/>
  </r>
  <r>
    <n v="9000033"/>
    <n v="1234533"/>
    <d v="2022-08-12T14:05:00"/>
    <x v="9"/>
    <n v="4"/>
    <x v="1"/>
    <x v="1"/>
    <x v="0"/>
    <x v="3"/>
    <x v="7"/>
    <x v="0"/>
    <s v="Why is it so hard?"/>
  </r>
  <r>
    <n v="9000034"/>
    <n v="1234506"/>
    <d v="2022-08-10T11:30:00"/>
    <x v="2"/>
    <n v="5"/>
    <x v="1"/>
    <x v="1"/>
    <x v="0"/>
    <x v="3"/>
    <x v="7"/>
    <x v="0"/>
    <m/>
  </r>
  <r>
    <n v="9000035"/>
    <n v="1234599"/>
    <d v="2022-08-18T12:04:00"/>
    <x v="10"/>
    <n v="5"/>
    <x v="1"/>
    <x v="1"/>
    <x v="0"/>
    <x v="3"/>
    <x v="7"/>
    <x v="0"/>
    <s v="great advisor bad TelCo. get your stuff together."/>
  </r>
  <r>
    <n v="9000036"/>
    <n v="1234602"/>
    <d v="2022-08-18T12:31:00"/>
    <x v="2"/>
    <n v="4"/>
    <x v="1"/>
    <x v="1"/>
    <x v="0"/>
    <x v="3"/>
    <x v="7"/>
    <x v="0"/>
    <s v="ran into an issue but you helped"/>
  </r>
  <r>
    <n v="9000037"/>
    <n v="1234642"/>
    <d v="2022-08-22T17:59:00"/>
    <x v="1"/>
    <n v="5"/>
    <x v="1"/>
    <x v="1"/>
    <x v="0"/>
    <x v="3"/>
    <x v="7"/>
    <x v="0"/>
    <s v="Getting tired of contacting TelCo. for everything I need to do. The advisor handled my exasperation well."/>
  </r>
  <r>
    <n v="9000038"/>
    <n v="1234610"/>
    <d v="2022-08-19T14:36:00"/>
    <x v="2"/>
    <n v="5"/>
    <x v="1"/>
    <x v="1"/>
    <x v="0"/>
    <x v="3"/>
    <x v="7"/>
    <x v="0"/>
    <s v="advisor was helpful, but prefer to not talk to anyone"/>
  </r>
  <r>
    <n v="9000039"/>
    <n v="1234514"/>
    <d v="2022-08-10T15:30:00"/>
    <x v="2"/>
    <n v="5"/>
    <x v="1"/>
    <x v="1"/>
    <x v="0"/>
    <x v="3"/>
    <x v="7"/>
    <x v="0"/>
    <s v="App is awful"/>
  </r>
  <r>
    <n v="9000040"/>
    <n v="1234625"/>
    <d v="2022-08-20T19:24:00"/>
    <x v="1"/>
    <n v="5"/>
    <x v="2"/>
    <x v="0"/>
    <x v="1"/>
    <x v="3"/>
    <x v="7"/>
    <x v="0"/>
    <s v="system is ineffective. the advisor I spoke with was quick and efficient. but annoyed TelCo can't get their technology to function."/>
  </r>
  <r>
    <n v="9000041"/>
    <n v="1234570"/>
    <d v="2022-08-15T16:38:00"/>
    <x v="2"/>
    <n v="5"/>
    <x v="2"/>
    <x v="0"/>
    <x v="1"/>
    <x v="3"/>
    <x v="7"/>
    <x v="0"/>
    <s v="all of the sudden I'm talking to an advisor"/>
  </r>
  <r>
    <n v="9000042"/>
    <n v="1234550"/>
    <d v="2022-08-13T19:42:00"/>
    <x v="8"/>
    <n v="4"/>
    <x v="2"/>
    <x v="0"/>
    <x v="1"/>
    <x v="3"/>
    <x v="7"/>
    <x v="0"/>
    <s v="Did my payment go through twice? I tried through the IVR and the advisor."/>
  </r>
  <r>
    <n v="9000043"/>
    <n v="1234620"/>
    <d v="2022-08-20T16:36:00"/>
    <x v="2"/>
    <n v="5"/>
    <x v="1"/>
    <x v="0"/>
    <x v="0"/>
    <x v="3"/>
    <x v="7"/>
    <x v="0"/>
    <s v="Chat advisor helped me with my payment"/>
  </r>
  <r>
    <n v="9000044"/>
    <n v="1234551"/>
    <d v="2022-08-13T19:56:00"/>
    <x v="10"/>
    <n v="4"/>
    <x v="1"/>
    <x v="0"/>
    <x v="0"/>
    <x v="3"/>
    <x v="7"/>
    <x v="0"/>
    <s v="Ridiculous! My payment kept getting rejected."/>
  </r>
  <r>
    <n v="9000045"/>
    <n v="1234502"/>
    <d v="2022-08-10T07:27:00"/>
    <x v="8"/>
    <n v="5"/>
    <x v="2"/>
    <x v="1"/>
    <x v="1"/>
    <x v="3"/>
    <x v="7"/>
    <x v="0"/>
    <s v="I got caught in a loop for you to take my money. Maybe it's time to look for other phone company options."/>
  </r>
  <r>
    <n v="9000046"/>
    <n v="1234595"/>
    <d v="2022-08-17T17:17:00"/>
    <x v="8"/>
    <n v="5"/>
    <x v="2"/>
    <x v="1"/>
    <x v="1"/>
    <x v="3"/>
    <x v="7"/>
    <x v="0"/>
    <s v=" it's 2022Â…"/>
  </r>
  <r>
    <n v="9000047"/>
    <n v="1234526"/>
    <d v="2022-08-11T13:35:00"/>
    <x v="10"/>
    <n v="5"/>
    <x v="2"/>
    <x v="1"/>
    <x v="1"/>
    <x v="3"/>
    <x v="7"/>
    <x v="0"/>
    <s v="fix the issue"/>
  </r>
  <r>
    <n v="9000048"/>
    <n v="1234555"/>
    <d v="2022-08-14T14:50:00"/>
    <x v="4"/>
    <n v="1"/>
    <x v="3"/>
    <x v="0"/>
    <x v="0"/>
    <x v="4"/>
    <x v="1"/>
    <x v="1"/>
    <m/>
  </r>
  <r>
    <n v="9000048"/>
    <n v="1234563"/>
    <d v="2022-08-15T08:17:00"/>
    <x v="2"/>
    <n v="3"/>
    <x v="0"/>
    <x v="1"/>
    <x v="0"/>
    <x v="4"/>
    <x v="8"/>
    <x v="0"/>
    <m/>
  </r>
  <r>
    <n v="9000049"/>
    <n v="1234588"/>
    <d v="2022-08-17T10:08:00"/>
    <x v="4"/>
    <n v="3"/>
    <x v="0"/>
    <x v="1"/>
    <x v="0"/>
    <x v="4"/>
    <x v="8"/>
    <x v="0"/>
    <s v="Thanks for helping me get the answer"/>
  </r>
  <r>
    <n v="9000049"/>
    <n v="1234546"/>
    <d v="2022-08-13T15:15:00"/>
    <x v="4"/>
    <n v="1"/>
    <x v="3"/>
    <x v="0"/>
    <x v="0"/>
    <x v="4"/>
    <x v="1"/>
    <x v="1"/>
    <s v="Do you have any chat advisors working on the weekend, got tired of waiting and will contact you again later"/>
  </r>
  <r>
    <n v="9000050"/>
    <n v="1234622"/>
    <d v="2022-08-20T18:23:00"/>
    <x v="1"/>
    <n v="3"/>
    <x v="3"/>
    <x v="0"/>
    <x v="0"/>
    <x v="4"/>
    <x v="8"/>
    <x v="0"/>
    <s v="I couldn't find my answer anywhere"/>
  </r>
  <r>
    <n v="9000051"/>
    <n v="1234619"/>
    <d v="2022-08-20T16:28:00"/>
    <x v="10"/>
    <n v="3"/>
    <x v="3"/>
    <x v="1"/>
    <x v="0"/>
    <x v="4"/>
    <x v="8"/>
    <x v="0"/>
    <s v="I added an extra line to my plan online and it was a super easy process, but I couldnÂ’t find any additional information when I looked at your FAQs about what plan benefits are"/>
  </r>
  <r>
    <n v="9000052"/>
    <n v="1234624"/>
    <d v="2022-08-20T18:35:00"/>
    <x v="7"/>
    <n v="3"/>
    <x v="1"/>
    <x v="1"/>
    <x v="0"/>
    <x v="4"/>
    <x v="8"/>
    <x v="0"/>
    <s v="TelCo. Is taking a nose dive. "/>
  </r>
  <r>
    <n v="9000053"/>
    <n v="1234629"/>
    <d v="2022-08-21T13:52:00"/>
    <x v="7"/>
    <n v="2"/>
    <x v="1"/>
    <x v="0"/>
    <x v="0"/>
    <x v="4"/>
    <x v="8"/>
    <x v="0"/>
    <s v="I couldn't find where to go."/>
  </r>
  <r>
    <n v="9000057"/>
    <n v="1234564"/>
    <d v="2022-08-15T08:21:00"/>
    <x v="2"/>
    <n v="5"/>
    <x v="1"/>
    <x v="1"/>
    <x v="0"/>
    <x v="3"/>
    <x v="7"/>
    <x v="0"/>
    <m/>
  </r>
  <r>
    <n v="9000058"/>
    <n v="1234587"/>
    <d v="2022-08-17T10:04:00"/>
    <x v="7"/>
    <n v="2"/>
    <x v="3"/>
    <x v="1"/>
    <x v="1"/>
    <x v="4"/>
    <x v="8"/>
    <x v="0"/>
    <s v="Improve everything"/>
  </r>
  <r>
    <n v="9000059"/>
    <n v="1234573"/>
    <d v="2022-08-15T19:31:00"/>
    <x v="10"/>
    <n v="2"/>
    <x v="3"/>
    <x v="0"/>
    <x v="1"/>
    <x v="4"/>
    <x v="8"/>
    <x v="2"/>
    <s v="your FAQs were worthless so I called and I still didn't get my answer. Annoying."/>
  </r>
  <r>
    <n v="9000060"/>
    <n v="1234525"/>
    <d v="2022-08-11T12:04:00"/>
    <x v="2"/>
    <n v="3"/>
    <x v="0"/>
    <x v="0"/>
    <x v="1"/>
    <x v="4"/>
    <x v="8"/>
    <x v="0"/>
    <m/>
  </r>
  <r>
    <n v="9000061"/>
    <n v="1234557"/>
    <d v="2022-08-14T18:37:00"/>
    <x v="0"/>
    <n v="1"/>
    <x v="3"/>
    <x v="0"/>
    <x v="0"/>
    <x v="5"/>
    <x v="1"/>
    <x v="1"/>
    <s v="I'm losing faith in your company"/>
  </r>
  <r>
    <n v="9000061"/>
    <n v="1234596"/>
    <d v="2022-08-17T17:40:00"/>
    <x v="2"/>
    <n v="3"/>
    <x v="0"/>
    <x v="1"/>
    <x v="0"/>
    <x v="5"/>
    <x v="9"/>
    <x v="0"/>
    <m/>
  </r>
  <r>
    <n v="9000062"/>
    <n v="1234640"/>
    <d v="2022-08-22T14:29:00"/>
    <x v="5"/>
    <n v="5"/>
    <x v="0"/>
    <x v="0"/>
    <x v="0"/>
    <x v="5"/>
    <x v="9"/>
    <x v="0"/>
    <s v="next time I'll do this myself so I don't have to talk to anyone"/>
  </r>
  <r>
    <n v="9000063"/>
    <n v="1234575"/>
    <d v="2022-08-15T20:55:00"/>
    <x v="5"/>
    <n v="5"/>
    <x v="0"/>
    <x v="0"/>
    <x v="0"/>
    <x v="5"/>
    <x v="9"/>
    <x v="0"/>
    <s v="Thanks"/>
  </r>
  <r>
    <n v="9000064"/>
    <n v="1234520"/>
    <d v="2022-08-10T19:08:00"/>
    <x v="5"/>
    <n v="5"/>
    <x v="0"/>
    <x v="0"/>
    <x v="0"/>
    <x v="5"/>
    <x v="9"/>
    <x v="0"/>
    <s v="Now I know"/>
  </r>
  <r>
    <n v="9000065"/>
    <n v="1234586"/>
    <d v="2022-08-17T08:36:00"/>
    <x v="5"/>
    <n v="5"/>
    <x v="0"/>
    <x v="0"/>
    <x v="0"/>
    <x v="5"/>
    <x v="9"/>
    <x v="0"/>
    <s v="Thanks for showing me how to do this on the web!"/>
  </r>
  <r>
    <n v="9000066"/>
    <n v="1234583"/>
    <d v="2022-08-16T20:28:00"/>
    <x v="5"/>
    <n v="5"/>
    <x v="0"/>
    <x v="0"/>
    <x v="0"/>
    <x v="5"/>
    <x v="9"/>
    <x v="0"/>
    <s v="thanks for guiding me on how to do this myself"/>
  </r>
  <r>
    <n v="9000067"/>
    <n v="1234580"/>
    <d v="2022-08-16T16:21:00"/>
    <x v="5"/>
    <n v="5"/>
    <x v="0"/>
    <x v="0"/>
    <x v="1"/>
    <x v="5"/>
    <x v="9"/>
    <x v="0"/>
    <s v="super helpful"/>
  </r>
  <r>
    <n v="9000068"/>
    <n v="1234562"/>
    <d v="2022-08-15T07:49:00"/>
    <x v="7"/>
    <n v="2"/>
    <x v="1"/>
    <x v="0"/>
    <x v="0"/>
    <x v="4"/>
    <x v="8"/>
    <x v="2"/>
    <s v="One thing after another. sort it out!!!"/>
  </r>
  <r>
    <n v="9000069"/>
    <n v="1234532"/>
    <d v="2022-08-12T13:50:00"/>
    <x v="1"/>
    <n v="2"/>
    <x v="1"/>
    <x v="0"/>
    <x v="0"/>
    <x v="4"/>
    <x v="8"/>
    <x v="0"/>
    <s v="I don't want to have to contact you for everything"/>
  </r>
  <r>
    <n v="9000070"/>
    <n v="1234505"/>
    <d v="2022-08-10T08:30:00"/>
    <x v="2"/>
    <n v="3"/>
    <x v="0"/>
    <x v="0"/>
    <x v="1"/>
    <x v="6"/>
    <x v="10"/>
    <x v="1"/>
    <m/>
  </r>
  <r>
    <n v="9000070"/>
    <n v="1234618"/>
    <d v="2022-08-18T15:05:00"/>
    <x v="9"/>
    <n v="2"/>
    <x v="0"/>
    <x v="0"/>
    <x v="1"/>
    <x v="6"/>
    <x v="10"/>
    <x v="1"/>
    <s v="disappointed the advisor took so long to understand my billing issue and this is the second time I had to call because the first didnÂ’t work"/>
  </r>
  <r>
    <n v="9000071"/>
    <n v="1234552"/>
    <d v="2022-08-13T20:52:00"/>
    <x v="2"/>
    <n v="3"/>
    <x v="0"/>
    <x v="0"/>
    <x v="1"/>
    <x v="6"/>
    <x v="10"/>
    <x v="1"/>
    <s v="Thanks for making it right"/>
  </r>
  <r>
    <n v="9000071"/>
    <n v="1234582"/>
    <d v="2022-08-16T20:16:00"/>
    <x v="4"/>
    <n v="3"/>
    <x v="0"/>
    <x v="1"/>
    <x v="1"/>
    <x v="6"/>
    <x v="10"/>
    <x v="1"/>
    <s v="There has to be a system glitch"/>
  </r>
  <r>
    <n v="9000072"/>
    <n v="1234535"/>
    <d v="2022-08-12T14:41:00"/>
    <x v="2"/>
    <n v="4"/>
    <x v="0"/>
    <x v="0"/>
    <x v="1"/>
    <x v="6"/>
    <x v="10"/>
    <x v="1"/>
    <s v="I was concerned with how much my bill was this month but they helped quickly and told me it would be correct in a week. I hope they're right."/>
  </r>
  <r>
    <n v="9000072"/>
    <n v="1234611"/>
    <d v="2022-08-19T20:09:00"/>
    <x v="8"/>
    <n v="3"/>
    <x v="0"/>
    <x v="1"/>
    <x v="1"/>
    <x v="6"/>
    <x v="10"/>
    <x v="1"/>
    <s v="Not sure what is happening but I've waited awhile"/>
  </r>
  <r>
    <n v="9000073"/>
    <n v="1234585"/>
    <d v="2022-08-17T08:05:00"/>
    <x v="4"/>
    <n v="3"/>
    <x v="0"/>
    <x v="1"/>
    <x v="1"/>
    <x v="6"/>
    <x v="10"/>
    <x v="1"/>
    <s v="Like your service, but not your billing issues. Something is wrong"/>
  </r>
  <r>
    <n v="9000073"/>
    <n v="1234547"/>
    <d v="2022-08-13T17:04:00"/>
    <x v="2"/>
    <n v="3"/>
    <x v="0"/>
    <x v="0"/>
    <x v="1"/>
    <x v="6"/>
    <x v="10"/>
    <x v="1"/>
    <m/>
  </r>
  <r>
    <n v="9000074"/>
    <n v="1234621"/>
    <d v="2022-08-20T17:54:00"/>
    <x v="2"/>
    <n v="4"/>
    <x v="0"/>
    <x v="0"/>
    <x v="1"/>
    <x v="6"/>
    <x v="10"/>
    <x v="1"/>
    <m/>
  </r>
  <r>
    <n v="9000074"/>
    <n v="1234639"/>
    <d v="2022-08-22T12:38:00"/>
    <x v="4"/>
    <n v="2"/>
    <x v="0"/>
    <x v="0"/>
    <x v="1"/>
    <x v="6"/>
    <x v="10"/>
    <x v="1"/>
    <s v=" They donÂ’t seem to know why this is happening "/>
  </r>
  <r>
    <n v="9000075"/>
    <n v="1234544"/>
    <d v="2022-08-13T08:47:00"/>
    <x v="2"/>
    <n v="4"/>
    <x v="0"/>
    <x v="0"/>
    <x v="1"/>
    <x v="6"/>
    <x v="10"/>
    <x v="1"/>
    <m/>
  </r>
  <r>
    <n v="9000075"/>
    <n v="1234601"/>
    <d v="2022-08-18T12:21:00"/>
    <x v="9"/>
    <n v="3"/>
    <x v="0"/>
    <x v="1"/>
    <x v="1"/>
    <x v="6"/>
    <x v="10"/>
    <x v="1"/>
    <s v="Had to repeat myself"/>
  </r>
  <r>
    <n v="9000076"/>
    <n v="1234543"/>
    <d v="2022-08-13T08:46:00"/>
    <x v="2"/>
    <n v="3"/>
    <x v="0"/>
    <x v="0"/>
    <x v="1"/>
    <x v="6"/>
    <x v="10"/>
    <x v="1"/>
    <m/>
  </r>
  <r>
    <n v="9000076"/>
    <n v="1234633"/>
    <d v="2022-08-22T07:40:00"/>
    <x v="4"/>
    <n v="4"/>
    <x v="0"/>
    <x v="1"/>
    <x v="1"/>
    <x v="6"/>
    <x v="10"/>
    <x v="1"/>
    <s v="should be resolved this time"/>
  </r>
  <r>
    <n v="9000077"/>
    <n v="1234574"/>
    <d v="2022-08-15T20:00:00"/>
    <x v="10"/>
    <n v="2"/>
    <x v="0"/>
    <x v="0"/>
    <x v="1"/>
    <x v="0"/>
    <x v="10"/>
    <x v="1"/>
    <s v="I cant wait much longer, but they promised it will be soon. We'll seeÂ…"/>
  </r>
  <r>
    <n v="9000077"/>
    <n v="1234548"/>
    <d v="2022-08-13T17:41:00"/>
    <x v="2"/>
    <n v="4"/>
    <x v="0"/>
    <x v="0"/>
    <x v="1"/>
    <x v="6"/>
    <x v="10"/>
    <x v="1"/>
    <s v="I was charged more money this month for no reason. Things are tight. I'm on a fixed income. I cant have these random charges."/>
  </r>
  <r>
    <n v="9000078"/>
    <n v="1234541"/>
    <d v="2022-08-12T19:34:00"/>
    <x v="2"/>
    <n v="2"/>
    <x v="0"/>
    <x v="0"/>
    <x v="1"/>
    <x v="6"/>
    <x v="10"/>
    <x v="1"/>
    <s v="Annoyed. When I signed up they said my bill wouldnÂ’t fluctuate. I hate having to talk on the phone when I shouldnÂ’t need to."/>
  </r>
  <r>
    <n v="9000078"/>
    <n v="1234558"/>
    <d v="2022-08-14T18:47:00"/>
    <x v="8"/>
    <n v="2"/>
    <x v="0"/>
    <x v="0"/>
    <x v="1"/>
    <x v="0"/>
    <x v="10"/>
    <x v="1"/>
    <s v="I called to cancel because im so frustrated but they guaranteed me the refund will come tomorrow. It better"/>
  </r>
  <r>
    <n v="9000079"/>
    <n v="1234606"/>
    <d v="2022-08-18T19:29:00"/>
    <x v="2"/>
    <n v="2"/>
    <x v="0"/>
    <x v="0"/>
    <x v="1"/>
    <x v="6"/>
    <x v="10"/>
    <x v="1"/>
    <m/>
  </r>
  <r>
    <n v="9000079"/>
    <n v="1234616"/>
    <d v="2022-08-20T09:40:00"/>
    <x v="7"/>
    <n v="2"/>
    <x v="0"/>
    <x v="0"/>
    <x v="1"/>
    <x v="0"/>
    <x v="0"/>
    <x v="0"/>
    <m/>
  </r>
  <r>
    <n v="9000080"/>
    <n v="1234576"/>
    <d v="2022-08-16T07:15:00"/>
    <x v="6"/>
    <n v="2"/>
    <x v="0"/>
    <x v="0"/>
    <x v="1"/>
    <x v="7"/>
    <x v="10"/>
    <x v="1"/>
    <s v="Advisor was rude and didnÂ’t understand what happened. Hoping it all works out"/>
  </r>
  <r>
    <n v="9000080"/>
    <n v="1234501"/>
    <d v="2022-08-10T07:15:00"/>
    <x v="5"/>
    <n v="5"/>
    <x v="0"/>
    <x v="1"/>
    <x v="1"/>
    <x v="7"/>
    <x v="10"/>
    <x v="1"/>
    <s v="Understood my issue and refunded my account"/>
  </r>
  <r>
    <n v="9000081"/>
    <n v="1234513"/>
    <d v="2022-08-10T15:00:00"/>
    <x v="5"/>
    <n v="5"/>
    <x v="0"/>
    <x v="1"/>
    <x v="1"/>
    <x v="7"/>
    <x v="10"/>
    <x v="1"/>
    <s v="Thank you!!"/>
  </r>
  <r>
    <n v="9000081"/>
    <n v="1234592"/>
    <d v="2022-08-17T13:27:00"/>
    <x v="2"/>
    <n v="3"/>
    <x v="0"/>
    <x v="1"/>
    <x v="1"/>
    <x v="7"/>
    <x v="10"/>
    <x v="1"/>
    <s v="I had to contact twice"/>
  </r>
  <r>
    <n v="9000082"/>
    <n v="1234540"/>
    <d v="2022-08-12T18:20:00"/>
    <x v="2"/>
    <n v="5"/>
    <x v="0"/>
    <x v="1"/>
    <x v="1"/>
    <x v="7"/>
    <x v="10"/>
    <x v="1"/>
    <s v="advisor refunded my account and answered my question"/>
  </r>
  <r>
    <n v="9000082"/>
    <n v="1234591"/>
    <d v="2022-08-17T11:18:00"/>
    <x v="4"/>
    <n v="4"/>
    <x v="0"/>
    <x v="0"/>
    <x v="1"/>
    <x v="7"/>
    <x v="10"/>
    <x v="1"/>
    <s v="thanks"/>
  </r>
  <r>
    <n v="9000083"/>
    <n v="1234534"/>
    <d v="2022-08-12T14:26:00"/>
    <x v="4"/>
    <n v="4"/>
    <x v="0"/>
    <x v="1"/>
    <x v="1"/>
    <x v="7"/>
    <x v="10"/>
    <x v="1"/>
    <m/>
  </r>
  <r>
    <n v="9000083"/>
    <n v="1234519"/>
    <d v="2022-08-10T18:57:00"/>
    <x v="5"/>
    <n v="5"/>
    <x v="0"/>
    <x v="1"/>
    <x v="1"/>
    <x v="7"/>
    <x v="10"/>
    <x v="1"/>
    <m/>
  </r>
  <r>
    <n v="9000084"/>
    <n v="1234517"/>
    <d v="2022-08-10T17:22:00"/>
    <x v="5"/>
    <n v="3"/>
    <x v="0"/>
    <x v="1"/>
    <x v="1"/>
    <x v="7"/>
    <x v="10"/>
    <x v="1"/>
    <s v="Just had a question about my bill and it turns out im actually getting money back"/>
  </r>
  <r>
    <n v="9000084"/>
    <n v="1234530"/>
    <d v="2022-08-11T14:44:00"/>
    <x v="2"/>
    <n v="2"/>
    <x v="0"/>
    <x v="0"/>
    <x v="1"/>
    <x v="7"/>
    <x v="10"/>
    <x v="1"/>
    <s v="Had to go through the whole process again and this advisor didnÂ’t believe me"/>
  </r>
  <r>
    <n v="9000085"/>
    <n v="1234536"/>
    <d v="2022-08-12T15:09:00"/>
    <x v="6"/>
    <n v="2"/>
    <x v="0"/>
    <x v="0"/>
    <x v="1"/>
    <x v="7"/>
    <x v="10"/>
    <x v="1"/>
    <s v="Advisor was clueless"/>
  </r>
  <r>
    <n v="9000085"/>
    <n v="1234510"/>
    <d v="2022-08-10T13:08:00"/>
    <x v="5"/>
    <n v="3"/>
    <x v="0"/>
    <x v="1"/>
    <x v="1"/>
    <x v="7"/>
    <x v="10"/>
    <x v="1"/>
    <s v="Thanks for refunding my account"/>
  </r>
  <r>
    <n v="9000086"/>
    <n v="1234577"/>
    <d v="2022-08-16T12:57:00"/>
    <x v="6"/>
    <n v="3"/>
    <x v="0"/>
    <x v="1"/>
    <x v="1"/>
    <x v="7"/>
    <x v="10"/>
    <x v="1"/>
    <s v="Had questions about overages and my balance"/>
  </r>
  <r>
    <n v="9000086"/>
    <n v="1234609"/>
    <d v="2022-08-19T14:21:00"/>
    <x v="2"/>
    <n v="3"/>
    <x v="0"/>
    <x v="1"/>
    <x v="1"/>
    <x v="7"/>
    <x v="10"/>
    <x v="1"/>
    <m/>
  </r>
  <r>
    <n v="9000087"/>
    <n v="1234608"/>
    <d v="2022-08-19T10:21:00"/>
    <x v="4"/>
    <n v="4"/>
    <x v="0"/>
    <x v="1"/>
    <x v="1"/>
    <x v="7"/>
    <x v="10"/>
    <x v="1"/>
    <s v="advisor was great, systems are broken"/>
  </r>
  <r>
    <n v="9000087"/>
    <n v="1234569"/>
    <d v="2022-08-15T15:58:00"/>
    <x v="2"/>
    <n v="3"/>
    <x v="0"/>
    <x v="1"/>
    <x v="1"/>
    <x v="7"/>
    <x v="10"/>
    <x v="1"/>
    <s v="thanks for answering my questions"/>
  </r>
  <r>
    <n v="9000088"/>
    <n v="1234509"/>
    <d v="2022-08-10T13:03:00"/>
    <x v="6"/>
    <n v="3"/>
    <x v="0"/>
    <x v="0"/>
    <x v="1"/>
    <x v="7"/>
    <x v="10"/>
    <x v="1"/>
    <s v="Pleasantly surprised, wasnÂ’t expecting a refund"/>
  </r>
  <r>
    <n v="9000088"/>
    <n v="1234549"/>
    <d v="2022-08-13T19:37:00"/>
    <x v="4"/>
    <n v="4"/>
    <x v="0"/>
    <x v="1"/>
    <x v="1"/>
    <x v="7"/>
    <x v="10"/>
    <x v="1"/>
    <s v="Hoping I get the money back soon but I wasnÂ’t expecting it in the first place."/>
  </r>
  <r>
    <n v="9000089"/>
    <n v="1234584"/>
    <d v="2022-08-17T07:16:00"/>
    <x v="9"/>
    <n v="2"/>
    <x v="0"/>
    <x v="0"/>
    <x v="1"/>
    <x v="7"/>
    <x v="10"/>
    <x v="1"/>
    <s v="Why make it so difficult to understand my bill?"/>
  </r>
  <r>
    <n v="9000089"/>
    <n v="1234560"/>
    <d v="2022-08-15T07:14:00"/>
    <x v="6"/>
    <n v="4"/>
    <x v="0"/>
    <x v="1"/>
    <x v="1"/>
    <x v="7"/>
    <x v="10"/>
    <x v="1"/>
    <s v="Empathetic advisor who said it will come through this time"/>
  </r>
  <r>
    <n v="9000090"/>
    <n v="1234528"/>
    <d v="2022-08-16T12:10:00"/>
    <x v="2"/>
    <n v="3"/>
    <x v="0"/>
    <x v="1"/>
    <x v="1"/>
    <x v="7"/>
    <x v="3"/>
    <x v="0"/>
    <m/>
  </r>
  <r>
    <n v="9000090"/>
    <n v="1234614"/>
    <d v="2022-08-13T14:01:00"/>
    <x v="4"/>
    <n v="1"/>
    <x v="0"/>
    <x v="1"/>
    <x v="1"/>
    <x v="7"/>
    <x v="1"/>
    <x v="1"/>
    <s v="what takes so long to get through?"/>
  </r>
  <r>
    <n v="9000091"/>
    <n v="1234524"/>
    <d v="2022-08-13T09:19:00"/>
    <x v="0"/>
    <n v="1"/>
    <x v="0"/>
    <x v="1"/>
    <x v="1"/>
    <x v="7"/>
    <x v="1"/>
    <x v="1"/>
    <s v="Calling back"/>
  </r>
  <r>
    <n v="9000091"/>
    <n v="1234554"/>
    <d v="2022-08-14T14:30:00"/>
    <x v="2"/>
    <n v="3"/>
    <x v="0"/>
    <x v="1"/>
    <x v="1"/>
    <x v="7"/>
    <x v="3"/>
    <x v="2"/>
    <s v="I still don't understand what's up with my bill, but at least I got connected faster"/>
  </r>
  <r>
    <n v="9000092"/>
    <n v="1234567"/>
    <d v="2022-08-13T17:22:00"/>
    <x v="4"/>
    <n v="1"/>
    <x v="0"/>
    <x v="0"/>
    <x v="1"/>
    <x v="7"/>
    <x v="1"/>
    <x v="1"/>
    <s v="too long"/>
  </r>
  <r>
    <n v="9000092"/>
    <n v="1234518"/>
    <d v="2022-08-17T15:34:00"/>
    <x v="6"/>
    <n v="3"/>
    <x v="0"/>
    <x v="1"/>
    <x v="1"/>
    <x v="7"/>
    <x v="3"/>
    <x v="0"/>
    <s v="Much better, thanks"/>
  </r>
  <r>
    <n v="9000093"/>
    <n v="1234508"/>
    <d v="2022-08-14T13:03:00"/>
    <x v="4"/>
    <n v="1"/>
    <x v="0"/>
    <x v="0"/>
    <x v="1"/>
    <x v="7"/>
    <x v="1"/>
    <x v="1"/>
    <s v="Does anyone work there?"/>
  </r>
  <r>
    <n v="9000093"/>
    <n v="1234581"/>
    <d v="2022-08-16T17:24:00"/>
    <x v="2"/>
    <n v="3"/>
    <x v="0"/>
    <x v="1"/>
    <x v="1"/>
    <x v="7"/>
    <x v="3"/>
    <x v="0"/>
    <m/>
  </r>
  <r>
    <n v="9000094"/>
    <n v="1234568"/>
    <d v="2022-08-15T13:10:00"/>
    <x v="6"/>
    <n v="3"/>
    <x v="0"/>
    <x v="1"/>
    <x v="1"/>
    <x v="7"/>
    <x v="3"/>
    <x v="0"/>
    <m/>
  </r>
  <r>
    <n v="9000094"/>
    <n v="1234559"/>
    <d v="2022-08-14T07:14:00"/>
    <x v="8"/>
    <n v="1"/>
    <x v="0"/>
    <x v="0"/>
    <x v="1"/>
    <x v="7"/>
    <x v="1"/>
    <x v="1"/>
    <s v="I have better things to do with my time."/>
  </r>
  <r>
    <n v="9000095"/>
    <n v="1234553"/>
    <d v="2022-08-14T07:40:00"/>
    <x v="2"/>
    <n v="5"/>
    <x v="2"/>
    <x v="0"/>
    <x v="1"/>
    <x v="3"/>
    <x v="7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0-6 (Detractors)"/>
    <n v="15"/>
    <x v="0"/>
  </r>
  <r>
    <x v="1"/>
    <s v="7 and 8 (Passives)"/>
    <n v="22"/>
    <x v="1"/>
  </r>
  <r>
    <x v="1"/>
    <s v="9 and 10 (Promoters)"/>
    <n v="0"/>
    <x v="1"/>
  </r>
  <r>
    <x v="2"/>
    <s v="0-6 (Detractors)"/>
    <n v="10"/>
    <x v="2"/>
  </r>
  <r>
    <x v="1"/>
    <s v="7 and 8 (Passives)"/>
    <n v="7"/>
    <x v="1"/>
  </r>
  <r>
    <x v="1"/>
    <s v="9 and 10 (Promoters)"/>
    <n v="2"/>
    <x v="1"/>
  </r>
  <r>
    <x v="3"/>
    <s v="0-6 (Detractors)"/>
    <n v="5"/>
    <x v="3"/>
  </r>
  <r>
    <x v="1"/>
    <s v="7 and 8 (Passives)"/>
    <n v="26"/>
    <x v="1"/>
  </r>
  <r>
    <x v="1"/>
    <s v="9 and 10 (Promoters)"/>
    <n v="11"/>
    <x v="1"/>
  </r>
  <r>
    <x v="4"/>
    <s v="0-6 (Detractors)"/>
    <n v="3"/>
    <x v="4"/>
  </r>
  <r>
    <x v="1"/>
    <s v="7 and 8 (Passives)"/>
    <n v="11"/>
    <x v="1"/>
  </r>
  <r>
    <x v="1"/>
    <s v="9 and 10 (Promoters)"/>
    <n v="1"/>
    <x v="1"/>
  </r>
  <r>
    <x v="5"/>
    <s v="0-6 (Detractors)"/>
    <n v="7"/>
    <x v="5"/>
  </r>
  <r>
    <x v="1"/>
    <s v="7 and 8 (Passives)"/>
    <n v="11"/>
    <x v="1"/>
  </r>
  <r>
    <x v="1"/>
    <s v="9 and 10 (Promoters)"/>
    <n v="12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0-6 (Detractors)"/>
    <n v="8"/>
    <n v="-2.5000000000000022E-2"/>
  </r>
  <r>
    <x v="1"/>
    <s v="7 and 8 (Passives)"/>
    <n v="25"/>
    <m/>
  </r>
  <r>
    <x v="1"/>
    <s v="9 and 10 (Promoters)"/>
    <n v="7"/>
    <m/>
  </r>
  <r>
    <x v="2"/>
    <s v="0-6 (Detractors)"/>
    <n v="3"/>
    <n v="0.30000000000000004"/>
  </r>
  <r>
    <x v="1"/>
    <s v="7 and 8 (Passives)"/>
    <n v="15"/>
    <m/>
  </r>
  <r>
    <x v="1"/>
    <s v="9 and 10 (Promoters)"/>
    <n v="12"/>
    <m/>
  </r>
  <r>
    <x v="3"/>
    <s v="0-6 (Detractors)"/>
    <n v="11"/>
    <n v="-0.52380952380952384"/>
  </r>
  <r>
    <x v="1"/>
    <s v="7 and 8 (Passives)"/>
    <n v="10"/>
    <m/>
  </r>
  <r>
    <x v="1"/>
    <s v="9 and 10 (Promoters)"/>
    <n v="0"/>
    <m/>
  </r>
  <r>
    <x v="4"/>
    <s v="0-6 (Detractors)"/>
    <n v="3"/>
    <n v="-0.17647058823529413"/>
  </r>
  <r>
    <x v="1"/>
    <s v="7 and 8 (Passives)"/>
    <n v="14"/>
    <m/>
  </r>
  <r>
    <x v="1"/>
    <s v="9 and 10 (Promoters)"/>
    <n v="0"/>
    <m/>
  </r>
  <r>
    <x v="5"/>
    <s v="0-6 (Detractors)"/>
    <n v="8"/>
    <n v="-0.61538461538461542"/>
  </r>
  <r>
    <x v="1"/>
    <s v="7 and 8 (Passives)"/>
    <n v="5"/>
    <m/>
  </r>
  <r>
    <x v="1"/>
    <s v="9 and 10 (Promoters)"/>
    <n v="0"/>
    <m/>
  </r>
  <r>
    <x v="6"/>
    <s v="0-6 (Detractors)"/>
    <n v="6"/>
    <n v="-0.75"/>
  </r>
  <r>
    <x v="1"/>
    <s v="7 and 8 (Passives)"/>
    <n v="2"/>
    <m/>
  </r>
  <r>
    <x v="1"/>
    <s v="9 and 10 (Promoters)"/>
    <n v="0"/>
    <m/>
  </r>
  <r>
    <x v="7"/>
    <s v="0-6 (Detractors)"/>
    <n v="1"/>
    <n v="0.625"/>
  </r>
  <r>
    <x v="1"/>
    <s v="7 and 8 (Passives)"/>
    <n v="1"/>
    <m/>
  </r>
  <r>
    <x v="1"/>
    <s v="9 and 10 (Promoters)"/>
    <n v="6"/>
    <m/>
  </r>
  <r>
    <x v="8"/>
    <s v="0-6 (Detractors)"/>
    <n v="0"/>
    <n v="0.16666666666666666"/>
  </r>
  <r>
    <x v="1"/>
    <s v="7 and 8 (Passives)"/>
    <n v="5"/>
    <m/>
  </r>
  <r>
    <x v="1"/>
    <s v="9 and 10 (Promoters)"/>
    <n v="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0-6 (Detractors)"/>
    <n v="0"/>
    <n v="0.8571428571428571"/>
  </r>
  <r>
    <x v="1"/>
    <s v="7 and 8 (Passives)"/>
    <n v="1"/>
    <m/>
  </r>
  <r>
    <x v="1"/>
    <s v="9 and 10 (Promoters)"/>
    <n v="6"/>
    <m/>
  </r>
  <r>
    <x v="2"/>
    <s v="0-6 (Detractors)"/>
    <n v="0"/>
    <n v="0.30769230769230771"/>
  </r>
  <r>
    <x v="1"/>
    <s v="7 and 8 (Passives)"/>
    <n v="9"/>
    <m/>
  </r>
  <r>
    <x v="1"/>
    <s v="9 and 10 (Promoters)"/>
    <n v="4"/>
    <m/>
  </r>
  <r>
    <x v="3"/>
    <s v="0-6 (Detractors)"/>
    <n v="0"/>
    <n v="0.4"/>
  </r>
  <r>
    <x v="1"/>
    <s v="7 and 8 (Passives)"/>
    <n v="6"/>
    <m/>
  </r>
  <r>
    <x v="1"/>
    <s v="9 and 10 (Promoters)"/>
    <n v="4"/>
    <m/>
  </r>
  <r>
    <x v="4"/>
    <s v="0-6 (Detractors)"/>
    <n v="3"/>
    <n v="-1"/>
  </r>
  <r>
    <x v="1"/>
    <s v="7 and 8 (Passives)"/>
    <n v="0"/>
    <m/>
  </r>
  <r>
    <x v="1"/>
    <s v="9 and 10 (Promoters)"/>
    <n v="0"/>
    <m/>
  </r>
  <r>
    <x v="5"/>
    <s v="0-6 (Detractors)"/>
    <n v="0"/>
    <n v="0"/>
  </r>
  <r>
    <x v="1"/>
    <s v="7 and 8 (Passives)"/>
    <n v="4"/>
    <m/>
  </r>
  <r>
    <x v="1"/>
    <s v="9 and 10 (Promoters)"/>
    <n v="0"/>
    <m/>
  </r>
  <r>
    <x v="6"/>
    <s v="0-6 (Detractors)"/>
    <n v="6"/>
    <n v="-0.46153846153846156"/>
  </r>
  <r>
    <x v="1"/>
    <s v="7 and 8 (Passives)"/>
    <n v="7"/>
    <m/>
  </r>
  <r>
    <x v="1"/>
    <s v="9 and 10 (Promoters)"/>
    <n v="0"/>
    <m/>
  </r>
  <r>
    <x v="7"/>
    <s v="0-6 (Detractors)"/>
    <n v="0"/>
    <n v="0.33333333333333331"/>
  </r>
  <r>
    <x v="1"/>
    <s v="7 and 8 (Passives)"/>
    <n v="4"/>
    <m/>
  </r>
  <r>
    <x v="1"/>
    <s v="9 and 10 (Promoters)"/>
    <n v="2"/>
    <m/>
  </r>
  <r>
    <x v="8"/>
    <s v="0-6 (Detractors)"/>
    <n v="9"/>
    <n v="-0.47368421052631576"/>
  </r>
  <r>
    <x v="1"/>
    <s v="7 and 8 (Passives)"/>
    <n v="10"/>
    <m/>
  </r>
  <r>
    <x v="1"/>
    <s v="9 and 10 (Promoters)"/>
    <n v="0"/>
    <m/>
  </r>
  <r>
    <x v="9"/>
    <s v="0-6 (Detractors)"/>
    <n v="8"/>
    <n v="-0.72727272727272729"/>
  </r>
  <r>
    <x v="1"/>
    <s v="7 and 8 (Passives)"/>
    <n v="3"/>
    <m/>
  </r>
  <r>
    <x v="1"/>
    <s v="9 and 10 (Promoters)"/>
    <n v="0"/>
    <m/>
  </r>
  <r>
    <x v="10"/>
    <s v="0-6 (Detractors)"/>
    <n v="6"/>
    <n v="0.10256410256410253"/>
  </r>
  <r>
    <x v="1"/>
    <s v="7 and 8 (Passives)"/>
    <n v="23"/>
    <m/>
  </r>
  <r>
    <x v="1"/>
    <s v="9 and 10 (Promoters)"/>
    <n v="10"/>
    <m/>
  </r>
  <r>
    <x v="11"/>
    <s v="0-6 (Detractors)"/>
    <n v="8"/>
    <n v="-0.44444444444444442"/>
  </r>
  <r>
    <x v="1"/>
    <s v="7 and 8 (Passives)"/>
    <n v="10"/>
    <m/>
  </r>
  <r>
    <x v="1"/>
    <s v="9 and 10 (Promoters)"/>
    <n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0-6 (Detractors)"/>
    <n v="27"/>
    <n v="-0.24324324324324323"/>
  </r>
  <r>
    <x v="1"/>
    <s v="7 and 8 (Passives)"/>
    <n v="38"/>
    <m/>
  </r>
  <r>
    <x v="1"/>
    <s v="9 and 10 (Promoters)"/>
    <n v="9"/>
    <m/>
  </r>
  <r>
    <x v="2"/>
    <s v="0-6 (Detractors)"/>
    <n v="13"/>
    <n v="5.7971014492753631E-2"/>
  </r>
  <r>
    <x v="1"/>
    <s v="7 and 8 (Passives)"/>
    <n v="39"/>
    <m/>
  </r>
  <r>
    <x v="1"/>
    <s v="9 and 10 (Promoters)"/>
    <n v="17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0-6 (Detractors)"/>
    <n v="17"/>
    <n v="-0.5"/>
  </r>
  <r>
    <x v="1"/>
    <s v="7 and 8 (Passives)"/>
    <n v="17"/>
    <m/>
  </r>
  <r>
    <x v="1"/>
    <s v="9 and 10 (Promoters)"/>
    <n v="0"/>
    <m/>
  </r>
  <r>
    <x v="2"/>
    <s v="0-6 (Detractors)"/>
    <n v="7"/>
    <n v="-0.4375"/>
  </r>
  <r>
    <x v="1"/>
    <s v="7 and 8 (Passives)"/>
    <n v="9"/>
    <m/>
  </r>
  <r>
    <x v="1"/>
    <s v="9 and 10 (Promoters)"/>
    <n v="0"/>
    <m/>
  </r>
  <r>
    <x v="3"/>
    <s v="0-6 (Detractors)"/>
    <n v="11"/>
    <n v="0.11940298507462685"/>
  </r>
  <r>
    <x v="1"/>
    <s v="7 and 8 (Passives)"/>
    <n v="37"/>
    <m/>
  </r>
  <r>
    <x v="1"/>
    <s v="9 and 10 (Promoters)"/>
    <n v="19"/>
    <m/>
  </r>
  <r>
    <x v="4"/>
    <s v="0-6 (Detractors)"/>
    <n v="5"/>
    <n v="-0.625"/>
  </r>
  <r>
    <x v="1"/>
    <s v="7 and 8 (Passives)"/>
    <n v="3"/>
    <m/>
  </r>
  <r>
    <x v="1"/>
    <s v="9 and 10 (Promoters)"/>
    <n v="0"/>
    <m/>
  </r>
  <r>
    <x v="5"/>
    <s v="0-6 (Detractors)"/>
    <n v="0"/>
    <n v="0.3888888888888889"/>
  </r>
  <r>
    <x v="1"/>
    <s v="7 and 8 (Passives)"/>
    <n v="11"/>
    <m/>
  </r>
  <r>
    <x v="1"/>
    <s v="9 and 10 (Promoters)"/>
    <n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D846F-710F-49D4-A18A-72DCC02F680B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 rowHeaderCaption="Contact Resolutions">
  <location ref="F177:H188" firstHeaderRow="0" firstDataRow="1" firstDataCol="1"/>
  <pivotFields count="12">
    <pivotField showAll="0"/>
    <pivotField showAll="0"/>
    <pivotField numFmtId="22" showAll="0"/>
    <pivotField dataField="1" showAll="0"/>
    <pivotField dataField="1" showAll="0"/>
    <pivotField showAll="0"/>
    <pivotField showAll="0"/>
    <pivotField showAll="0"/>
    <pivotField showAll="0">
      <items count="9">
        <item x="1"/>
        <item x="6"/>
        <item x="7"/>
        <item x="0"/>
        <item x="2"/>
        <item x="5"/>
        <item x="3"/>
        <item x="4"/>
        <item t="default"/>
      </items>
    </pivotField>
    <pivotField axis="axisRow" showAll="0">
      <items count="12">
        <item x="9"/>
        <item x="6"/>
        <item x="5"/>
        <item x="0"/>
        <item x="2"/>
        <item x="1"/>
        <item x="3"/>
        <item x="7"/>
        <item x="8"/>
        <item x="10"/>
        <item x="4"/>
        <item t="default"/>
      </items>
    </pivotField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Average of NPS_Score" fld="3" subtotal="average" baseField="8" baseItem="0"/>
    <dataField name="Average of Overall_Experience" fld="4" subtotal="average" baseField="8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9" type="button" dataOnly="0" labelOnly="1" outline="0" axis="axisRow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9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2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chartFormats count="3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23742-C498-4364-B077-BB93192F75C5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ntact Channel">
  <location ref="F148:H150" firstHeaderRow="0" firstDataRow="1" firstDataCol="1"/>
  <pivotFields count="12">
    <pivotField showAll="0"/>
    <pivotField showAll="0"/>
    <pivotField numFmtId="22"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9">
        <item x="1"/>
        <item x="6"/>
        <item x="7"/>
        <item x="0"/>
        <item x="2"/>
        <item x="5"/>
        <item x="3"/>
        <item x="4"/>
        <item t="default"/>
      </items>
    </pivotField>
    <pivotField showAll="0"/>
    <pivotField showAll="0"/>
    <pivotField showAll="0"/>
  </pivotFields>
  <rowFields count="1">
    <field x="7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NPS_Score" fld="3" subtotal="average" baseField="8" baseItem="0"/>
    <dataField name="Average of Overall_Experience" fld="4" subtotal="average" baseField="8" baseItem="0"/>
  </dataFields>
  <formats count="5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7" type="button" dataOnly="0" labelOnly="1" outline="0" axis="axisRow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2">
              <x v="0"/>
              <x v="1"/>
            </reference>
          </references>
        </pivotArea>
      </pivotAreas>
    </conditionalFormat>
    <conditionalFormat type="all" priority="2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695E6-27F5-4DE1-BEB9-787215C60F07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 rowHeaderCaption="Issue Resolved?">
  <location ref="F191:H194" firstHeaderRow="0" firstDataRow="1" firstDataCol="1"/>
  <pivotFields count="12">
    <pivotField showAll="0"/>
    <pivotField showAll="0"/>
    <pivotField numFmtId="22" showAll="0"/>
    <pivotField dataField="1" showAll="0"/>
    <pivotField dataField="1" showAll="0"/>
    <pivotField showAll="0"/>
    <pivotField showAll="0"/>
    <pivotField showAll="0"/>
    <pivotField showAll="0">
      <items count="9">
        <item x="1"/>
        <item x="6"/>
        <item x="7"/>
        <item x="0"/>
        <item x="2"/>
        <item x="5"/>
        <item x="3"/>
        <item x="4"/>
        <item t="default"/>
      </items>
    </pivotField>
    <pivotField showAll="0">
      <items count="12">
        <item x="9"/>
        <item x="6"/>
        <item x="5"/>
        <item x="0"/>
        <item x="2"/>
        <item x="1"/>
        <item x="3"/>
        <item x="7"/>
        <item x="8"/>
        <item x="10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Average of NPS_Score" fld="3" subtotal="average" baseField="8" baseItem="0"/>
    <dataField name="Average of Overall_Experience" fld="4" subtotal="average" baseField="8" baseItem="0"/>
  </dataFields>
  <formats count="5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0" type="button" dataOnly="0" labelOnly="1" outline="0" axis="axisRow" fieldPosition="0"/>
    </format>
    <format dxfId="34">
      <pivotArea dataOnly="0" labelOnly="1" fieldPosition="0">
        <references count="1">
          <reference field="10" count="0"/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1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0" count="3">
              <x v="0"/>
              <x v="1"/>
              <x v="2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3">
              <x v="0"/>
              <x v="1"/>
              <x v="2"/>
            </reference>
          </references>
        </pivotArea>
      </pivotAreas>
    </conditionalFormat>
  </conditionalFormats>
  <chartFormats count="3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291BB-E804-461D-A966-95F89BAFD6C2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39:I252" firstHeaderRow="1" firstDataRow="1" firstDataCol="1"/>
  <pivotFields count="4">
    <pivotField axis="axisRow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PS Score (Calculate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ED73F-D801-4ABC-816D-65ECC08D12B9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ntact Reasons">
  <location ref="F166:H174" firstHeaderRow="0" firstDataRow="1" firstDataCol="1"/>
  <pivotFields count="12">
    <pivotField showAll="0"/>
    <pivotField showAll="0"/>
    <pivotField numFmtId="22" showAll="0"/>
    <pivotField dataField="1" showAll="0"/>
    <pivotField dataField="1" showAll="0"/>
    <pivotField showAll="0"/>
    <pivotField showAll="0"/>
    <pivotField showAll="0"/>
    <pivotField axis="axisRow" showAll="0">
      <items count="9">
        <item x="1"/>
        <item x="6"/>
        <item x="7"/>
        <item x="0"/>
        <item x="2"/>
        <item x="5"/>
        <item x="3"/>
        <item x="4"/>
        <item t="default"/>
      </items>
    </pivotField>
    <pivotField showAll="0"/>
    <pivotField showAll="0"/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Average of NPS_Score" fld="3" subtotal="average" baseField="8" baseItem="0"/>
    <dataField name="Average of Overall_Experience" fld="4" subtotal="average" baseField="8" baseItem="0"/>
  </dataFields>
  <formats count="5">
    <format dxfId="9">
      <pivotArea type="all" dataOnly="0" outline="0" fieldPosition="0"/>
    </format>
    <format dxfId="8">
      <pivotArea outline="0" collapsedLevelsAreSubtotals="1" fieldPosition="0"/>
    </format>
    <format dxfId="7">
      <pivotArea field="8" type="button" dataOnly="0" labelOnly="1" outline="0" axis="axisRow" fieldPosition="0"/>
    </format>
    <format dxfId="6">
      <pivotArea dataOnly="0" labelOnly="1" fieldPosition="0">
        <references count="1">
          <reference field="8" count="0"/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8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2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561D5-55BA-450F-B84F-E20FAD832ECB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ntact Reason">
  <location ref="H274:I283" firstHeaderRow="1" firstDataRow="1" firstDataCol="1"/>
  <pivotFields count="4">
    <pivotField axis="axisRow" showAll="0">
      <items count="10">
        <item x="0"/>
        <item x="4"/>
        <item x="2"/>
        <item x="6"/>
        <item x="8"/>
        <item x="7"/>
        <item x="3"/>
        <item x="5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alculated NPS Score" fld="3" baseField="0" baseItem="0" numFmtId="9"/>
  </dataFields>
  <formats count="8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43792-7FD0-4D91-91E2-0136A8F18A02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elf Service Channel">
  <location ref="F158:H163" firstHeaderRow="0" firstDataRow="1" firstDataCol="1"/>
  <pivotFields count="12">
    <pivotField showAll="0"/>
    <pivotField showAll="0"/>
    <pivotField numFmtId="22" showAll="0"/>
    <pivotField dataField="1" showAll="0"/>
    <pivotField dataField="1"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9">
        <item x="1"/>
        <item x="6"/>
        <item x="7"/>
        <item x="0"/>
        <item x="2"/>
        <item x="5"/>
        <item x="3"/>
        <item x="4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Average of NPS_Score" fld="3" subtotal="average" baseField="8" baseItem="0"/>
    <dataField name="Average of Overall_Experience" fld="4" subtotal="average" baseField="8" baseItem="0"/>
  </dataFields>
  <formats count="5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  <conditionalFormat type="all" priority="3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E6C2C-FB8B-4683-A24A-6E6A3444FB98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00:I306" firstHeaderRow="1" firstDataRow="1" firstDataCol="1"/>
  <pivotFields count="4">
    <pivotField axis="axisRow" showAll="0" defaultSubtotal="0">
      <items count="6">
        <item x="0"/>
        <item x="2"/>
        <item x="3"/>
        <item x="4"/>
        <item x="5"/>
        <item x="1"/>
      </items>
    </pivotField>
    <pivotField showAll="0" defaultSubtotal="0"/>
    <pivotField showAll="0" defaultSubtotal="0"/>
    <pivotField dataField="1" showAll="0" defaultSubtotal="0">
      <items count="6">
        <item x="2"/>
        <item x="0"/>
        <item x="4"/>
        <item x="3"/>
        <item x="5"/>
        <item x="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NPS Score (Calculate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39C65-8F75-4E11-98DE-7195BD51FD46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dvisor Role">
  <location ref="F153:H155" firstHeaderRow="0" firstDataRow="1" firstDataCol="1"/>
  <pivotFields count="12">
    <pivotField showAll="0"/>
    <pivotField showAll="0"/>
    <pivotField numFmtId="22" showAll="0"/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9">
        <item x="1"/>
        <item x="6"/>
        <item x="7"/>
        <item x="0"/>
        <item x="2"/>
        <item x="5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NPS_Score" fld="3" subtotal="average" baseField="8" baseItem="0"/>
    <dataField name="Average of Overall_Experience" fld="4" subtotal="average" baseField="8" baseItem="0"/>
  </dataFields>
  <formats count="5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6" type="button" dataOnly="0" labelOnly="1" outline="0" axis="axisRow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2">
              <x v="0"/>
              <x v="1"/>
            </reference>
          </references>
        </pivotArea>
      </pivotAreas>
    </conditionalFormat>
    <conditionalFormat type="all" priority="2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18B1B-930E-47BF-956D-55219D4670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99:F205" firstHeaderRow="1" firstDataRow="1" firstDataCol="1"/>
  <pivotFields count="12">
    <pivotField showAll="0"/>
    <pivotField showAll="0"/>
    <pivotField numFmtId="22" showAll="0"/>
    <pivotField dataField="1" showAll="0">
      <items count="12">
        <item x="3"/>
        <item x="1"/>
        <item x="0"/>
        <item x="7"/>
        <item x="10"/>
        <item x="8"/>
        <item x="9"/>
        <item x="4"/>
        <item x="2"/>
        <item x="6"/>
        <item x="5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PS_Score" fld="3" subtotal="countNums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40DF0-94DA-4AEA-B378-DBB43F5D097B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45:L252" firstHeaderRow="1" firstDataRow="1" firstDataCol="1"/>
  <pivotFields count="4">
    <pivotField axis="axisRow" showAll="0">
      <items count="7">
        <item x="0"/>
        <item x="2"/>
        <item x="5"/>
        <item x="3"/>
        <item x="4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PS Score (Calculate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04143-F34D-4003-A585-AD7AA00DE568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39:L243" firstHeaderRow="1" firstDataRow="1" firstDataCol="1"/>
  <pivotFields count="4"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PS Score (Calculate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96A9-A107-40C0-8175-368A2BF44E64}">
  <dimension ref="A1:M318"/>
  <sheetViews>
    <sheetView tabSelected="1" zoomScaleNormal="100" workbookViewId="0">
      <selection activeCell="K232" sqref="K232"/>
    </sheetView>
  </sheetViews>
  <sheetFormatPr defaultRowHeight="15" x14ac:dyDescent="0.25"/>
  <cols>
    <col min="1" max="1" width="16.140625" bestFit="1" customWidth="1"/>
    <col min="2" max="2" width="20.85546875" bestFit="1" customWidth="1"/>
    <col min="3" max="3" width="28.85546875" style="11" bestFit="1" customWidth="1"/>
    <col min="4" max="4" width="20.85546875" style="12" customWidth="1"/>
    <col min="5" max="5" width="16.42578125" customWidth="1"/>
    <col min="6" max="6" width="22.5703125" customWidth="1"/>
    <col min="7" max="7" width="20.85546875" bestFit="1" customWidth="1"/>
    <col min="8" max="8" width="18.85546875" customWidth="1"/>
    <col min="9" max="9" width="29.140625" bestFit="1" customWidth="1"/>
    <col min="10" max="10" width="30.5703125" customWidth="1"/>
    <col min="11" max="11" width="23.5703125" customWidth="1"/>
    <col min="12" max="12" width="29.140625" bestFit="1" customWidth="1"/>
    <col min="13" max="13" width="158.7109375" bestFit="1" customWidth="1"/>
  </cols>
  <sheetData>
    <row r="1" spans="1:13" x14ac:dyDescent="0.25">
      <c r="A1" t="s">
        <v>0</v>
      </c>
      <c r="B1" t="s">
        <v>1</v>
      </c>
      <c r="C1" s="11" t="s">
        <v>2</v>
      </c>
      <c r="D1" s="12" t="s">
        <v>140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9000001</v>
      </c>
      <c r="B2">
        <v>1234531</v>
      </c>
      <c r="C2" s="11">
        <v>44788</v>
      </c>
      <c r="D2" s="12">
        <v>0.49583333333333335</v>
      </c>
      <c r="E2">
        <v>2</v>
      </c>
      <c r="F2">
        <v>1</v>
      </c>
      <c r="G2" t="s">
        <v>12</v>
      </c>
      <c r="H2" t="s">
        <v>13</v>
      </c>
      <c r="I2" t="s">
        <v>14</v>
      </c>
      <c r="J2" t="s">
        <v>15</v>
      </c>
      <c r="K2" t="s">
        <v>15</v>
      </c>
      <c r="L2" t="s">
        <v>16</v>
      </c>
      <c r="M2" t="s">
        <v>17</v>
      </c>
    </row>
    <row r="3" spans="1:13" x14ac:dyDescent="0.25">
      <c r="A3">
        <v>9000001</v>
      </c>
      <c r="B3">
        <v>1234545</v>
      </c>
      <c r="C3" s="11">
        <v>44786</v>
      </c>
      <c r="D3" s="12">
        <v>0.45416666666666666</v>
      </c>
      <c r="E3">
        <v>1</v>
      </c>
      <c r="F3">
        <v>1</v>
      </c>
      <c r="G3" t="s">
        <v>18</v>
      </c>
      <c r="H3" t="s">
        <v>13</v>
      </c>
      <c r="I3" t="s">
        <v>14</v>
      </c>
      <c r="J3" t="s">
        <v>15</v>
      </c>
      <c r="K3" t="s">
        <v>19</v>
      </c>
      <c r="L3" t="s">
        <v>20</v>
      </c>
      <c r="M3" t="s">
        <v>21</v>
      </c>
    </row>
    <row r="4" spans="1:13" x14ac:dyDescent="0.25">
      <c r="A4">
        <v>9000002</v>
      </c>
      <c r="B4">
        <v>1234523</v>
      </c>
      <c r="C4" s="11">
        <v>44784</v>
      </c>
      <c r="D4" s="12">
        <v>0.33750000000000002</v>
      </c>
      <c r="E4">
        <v>8</v>
      </c>
      <c r="F4">
        <v>5</v>
      </c>
      <c r="G4" t="s">
        <v>22</v>
      </c>
      <c r="H4" t="s">
        <v>23</v>
      </c>
      <c r="I4" t="s">
        <v>24</v>
      </c>
      <c r="J4" t="s">
        <v>15</v>
      </c>
      <c r="K4" t="s">
        <v>25</v>
      </c>
      <c r="L4" t="s">
        <v>16</v>
      </c>
      <c r="M4" t="s">
        <v>26</v>
      </c>
    </row>
    <row r="5" spans="1:13" x14ac:dyDescent="0.25">
      <c r="A5">
        <v>9000003</v>
      </c>
      <c r="B5">
        <v>1234507</v>
      </c>
      <c r="C5" s="11">
        <v>44783</v>
      </c>
      <c r="D5" s="12">
        <v>0.49861111111111112</v>
      </c>
      <c r="E5">
        <v>8</v>
      </c>
      <c r="F5">
        <v>5</v>
      </c>
      <c r="G5" t="s">
        <v>27</v>
      </c>
      <c r="H5" t="s">
        <v>23</v>
      </c>
      <c r="I5" t="s">
        <v>14</v>
      </c>
      <c r="J5" t="s">
        <v>15</v>
      </c>
      <c r="K5" t="s">
        <v>28</v>
      </c>
      <c r="L5" t="s">
        <v>16</v>
      </c>
      <c r="M5" t="s">
        <v>29</v>
      </c>
    </row>
    <row r="6" spans="1:13" x14ac:dyDescent="0.25">
      <c r="A6">
        <v>9000004</v>
      </c>
      <c r="B6">
        <v>1234600</v>
      </c>
      <c r="C6" s="11">
        <v>44791</v>
      </c>
      <c r="D6" s="12">
        <v>0.5083333333333333</v>
      </c>
      <c r="E6">
        <v>0</v>
      </c>
      <c r="F6">
        <v>5</v>
      </c>
      <c r="G6" t="s">
        <v>12</v>
      </c>
      <c r="H6" t="s">
        <v>23</v>
      </c>
      <c r="I6" t="s">
        <v>24</v>
      </c>
      <c r="J6" t="s">
        <v>15</v>
      </c>
      <c r="K6" t="s">
        <v>15</v>
      </c>
      <c r="L6" t="s">
        <v>16</v>
      </c>
      <c r="M6" t="s">
        <v>30</v>
      </c>
    </row>
    <row r="7" spans="1:13" x14ac:dyDescent="0.25">
      <c r="A7">
        <v>9000005</v>
      </c>
      <c r="B7">
        <v>1234503</v>
      </c>
      <c r="C7" s="11">
        <v>44783</v>
      </c>
      <c r="D7" s="12">
        <v>0.31736111111111109</v>
      </c>
      <c r="E7">
        <v>7</v>
      </c>
      <c r="F7">
        <v>1</v>
      </c>
      <c r="G7" t="s">
        <v>18</v>
      </c>
      <c r="H7" t="s">
        <v>13</v>
      </c>
      <c r="I7" t="s">
        <v>24</v>
      </c>
      <c r="J7" t="s">
        <v>31</v>
      </c>
      <c r="K7" t="s">
        <v>32</v>
      </c>
      <c r="L7" t="s">
        <v>20</v>
      </c>
    </row>
    <row r="8" spans="1:13" x14ac:dyDescent="0.25">
      <c r="A8">
        <v>9000005</v>
      </c>
      <c r="B8">
        <v>1234504</v>
      </c>
      <c r="C8" s="11">
        <v>44783</v>
      </c>
      <c r="D8" s="12">
        <v>0.32083333333333336</v>
      </c>
      <c r="E8">
        <v>10</v>
      </c>
      <c r="F8">
        <v>5</v>
      </c>
      <c r="H8" t="s">
        <v>23</v>
      </c>
      <c r="I8" t="s">
        <v>24</v>
      </c>
      <c r="J8" t="s">
        <v>31</v>
      </c>
      <c r="K8" t="s">
        <v>33</v>
      </c>
      <c r="L8" t="s">
        <v>16</v>
      </c>
    </row>
    <row r="9" spans="1:13" x14ac:dyDescent="0.25">
      <c r="A9">
        <v>9000006</v>
      </c>
      <c r="B9">
        <v>1234516</v>
      </c>
      <c r="C9" s="11">
        <v>44783</v>
      </c>
      <c r="D9" s="12">
        <v>0.70416666666666672</v>
      </c>
      <c r="E9">
        <v>8</v>
      </c>
      <c r="F9">
        <v>2</v>
      </c>
      <c r="H9" t="s">
        <v>23</v>
      </c>
      <c r="I9" t="s">
        <v>24</v>
      </c>
      <c r="J9" t="s">
        <v>31</v>
      </c>
      <c r="K9" t="s">
        <v>33</v>
      </c>
      <c r="L9" t="s">
        <v>16</v>
      </c>
    </row>
    <row r="10" spans="1:13" x14ac:dyDescent="0.25">
      <c r="A10">
        <v>9000006</v>
      </c>
      <c r="B10">
        <v>1234515</v>
      </c>
      <c r="C10" s="11">
        <v>44783</v>
      </c>
      <c r="D10" s="12">
        <v>0.68263888888888891</v>
      </c>
      <c r="E10">
        <v>7</v>
      </c>
      <c r="F10">
        <v>1</v>
      </c>
      <c r="G10" t="s">
        <v>18</v>
      </c>
      <c r="H10" t="s">
        <v>13</v>
      </c>
      <c r="I10" t="s">
        <v>24</v>
      </c>
      <c r="J10" t="s">
        <v>31</v>
      </c>
      <c r="K10" t="s">
        <v>32</v>
      </c>
      <c r="L10" t="s">
        <v>20</v>
      </c>
    </row>
    <row r="11" spans="1:13" x14ac:dyDescent="0.25">
      <c r="A11">
        <v>9000007</v>
      </c>
      <c r="B11">
        <v>1234512</v>
      </c>
      <c r="C11" s="11">
        <v>44783</v>
      </c>
      <c r="D11" s="12">
        <v>0.57847222222222228</v>
      </c>
      <c r="E11">
        <v>9</v>
      </c>
      <c r="F11">
        <v>3</v>
      </c>
      <c r="H11" t="s">
        <v>23</v>
      </c>
      <c r="I11" t="s">
        <v>24</v>
      </c>
      <c r="J11" t="s">
        <v>31</v>
      </c>
      <c r="K11" t="s">
        <v>33</v>
      </c>
      <c r="L11" t="s">
        <v>16</v>
      </c>
      <c r="M11" t="s">
        <v>34</v>
      </c>
    </row>
    <row r="12" spans="1:13" x14ac:dyDescent="0.25">
      <c r="A12">
        <v>9000007</v>
      </c>
      <c r="B12">
        <v>1234511</v>
      </c>
      <c r="C12" s="11">
        <v>44783</v>
      </c>
      <c r="D12" s="12">
        <v>0.56666666666666665</v>
      </c>
      <c r="E12">
        <v>7</v>
      </c>
      <c r="F12">
        <v>1</v>
      </c>
      <c r="G12" t="s">
        <v>18</v>
      </c>
      <c r="H12" t="s">
        <v>13</v>
      </c>
      <c r="I12" t="s">
        <v>24</v>
      </c>
      <c r="J12" t="s">
        <v>31</v>
      </c>
      <c r="K12" t="s">
        <v>32</v>
      </c>
      <c r="L12" t="s">
        <v>20</v>
      </c>
    </row>
    <row r="13" spans="1:13" x14ac:dyDescent="0.25">
      <c r="A13">
        <v>9000008</v>
      </c>
      <c r="B13">
        <v>1234529</v>
      </c>
      <c r="C13" s="11">
        <v>44784</v>
      </c>
      <c r="D13" s="12">
        <v>0.58888888888888891</v>
      </c>
      <c r="E13">
        <v>9</v>
      </c>
      <c r="F13">
        <v>3</v>
      </c>
      <c r="H13" t="s">
        <v>23</v>
      </c>
      <c r="I13" t="s">
        <v>24</v>
      </c>
      <c r="J13" t="s">
        <v>31</v>
      </c>
      <c r="K13" t="s">
        <v>33</v>
      </c>
      <c r="L13" t="s">
        <v>16</v>
      </c>
    </row>
    <row r="14" spans="1:13" x14ac:dyDescent="0.25">
      <c r="A14">
        <v>9000008</v>
      </c>
      <c r="B14">
        <v>1234527</v>
      </c>
      <c r="C14" s="11">
        <v>44784</v>
      </c>
      <c r="D14" s="12">
        <v>0.57638888888888884</v>
      </c>
      <c r="E14">
        <v>1</v>
      </c>
      <c r="F14">
        <v>1</v>
      </c>
      <c r="G14" t="s">
        <v>18</v>
      </c>
      <c r="H14" t="s">
        <v>13</v>
      </c>
      <c r="I14" t="s">
        <v>24</v>
      </c>
      <c r="J14" t="s">
        <v>31</v>
      </c>
      <c r="K14" t="s">
        <v>32</v>
      </c>
      <c r="L14" t="s">
        <v>20</v>
      </c>
    </row>
    <row r="15" spans="1:13" x14ac:dyDescent="0.25">
      <c r="A15">
        <v>9000009</v>
      </c>
      <c r="B15">
        <v>1234521</v>
      </c>
      <c r="C15" s="11">
        <v>44784</v>
      </c>
      <c r="D15" s="12">
        <v>0.29583333333333334</v>
      </c>
      <c r="E15">
        <v>2</v>
      </c>
      <c r="F15">
        <v>1</v>
      </c>
      <c r="G15" t="s">
        <v>18</v>
      </c>
      <c r="H15" t="s">
        <v>13</v>
      </c>
      <c r="I15" t="s">
        <v>24</v>
      </c>
      <c r="J15" t="s">
        <v>31</v>
      </c>
      <c r="K15" t="s">
        <v>32</v>
      </c>
      <c r="L15" t="s">
        <v>20</v>
      </c>
    </row>
    <row r="16" spans="1:13" x14ac:dyDescent="0.25">
      <c r="A16">
        <v>9000009</v>
      </c>
      <c r="B16">
        <v>1234522</v>
      </c>
      <c r="C16" s="11">
        <v>44784</v>
      </c>
      <c r="D16" s="12">
        <v>0.3125</v>
      </c>
      <c r="E16">
        <v>8</v>
      </c>
      <c r="F16">
        <v>3</v>
      </c>
      <c r="H16" t="s">
        <v>23</v>
      </c>
      <c r="I16" t="s">
        <v>24</v>
      </c>
      <c r="J16" t="s">
        <v>31</v>
      </c>
      <c r="K16" t="s">
        <v>33</v>
      </c>
      <c r="L16" t="s">
        <v>16</v>
      </c>
      <c r="M16" t="s">
        <v>35</v>
      </c>
    </row>
    <row r="17" spans="1:13" x14ac:dyDescent="0.25">
      <c r="A17">
        <v>9000010</v>
      </c>
      <c r="B17">
        <v>1234539</v>
      </c>
      <c r="C17" s="11">
        <v>44785</v>
      </c>
      <c r="D17" s="12">
        <v>0.72986111111111107</v>
      </c>
      <c r="E17">
        <v>8</v>
      </c>
      <c r="F17">
        <v>2</v>
      </c>
      <c r="H17" t="s">
        <v>23</v>
      </c>
      <c r="I17" t="s">
        <v>24</v>
      </c>
      <c r="J17" t="s">
        <v>31</v>
      </c>
      <c r="K17" t="s">
        <v>33</v>
      </c>
      <c r="L17" t="s">
        <v>16</v>
      </c>
      <c r="M17" t="s">
        <v>36</v>
      </c>
    </row>
    <row r="18" spans="1:13" x14ac:dyDescent="0.25">
      <c r="A18">
        <v>9000010</v>
      </c>
      <c r="B18">
        <v>1234538</v>
      </c>
      <c r="C18" s="11">
        <v>44785</v>
      </c>
      <c r="D18" s="12">
        <v>0.71944444444444444</v>
      </c>
      <c r="E18">
        <v>3</v>
      </c>
      <c r="F18">
        <v>1</v>
      </c>
      <c r="G18" t="s">
        <v>18</v>
      </c>
      <c r="H18" t="s">
        <v>13</v>
      </c>
      <c r="I18" t="s">
        <v>24</v>
      </c>
      <c r="J18" t="s">
        <v>31</v>
      </c>
      <c r="K18" t="s">
        <v>32</v>
      </c>
      <c r="L18" t="s">
        <v>20</v>
      </c>
    </row>
    <row r="19" spans="1:13" x14ac:dyDescent="0.25">
      <c r="A19">
        <v>9000011</v>
      </c>
      <c r="B19">
        <v>1234565</v>
      </c>
      <c r="C19" s="11">
        <v>44788</v>
      </c>
      <c r="D19" s="12">
        <v>0.35208333333333336</v>
      </c>
      <c r="E19">
        <v>7</v>
      </c>
      <c r="F19">
        <v>1</v>
      </c>
      <c r="G19" t="s">
        <v>18</v>
      </c>
      <c r="H19" t="s">
        <v>13</v>
      </c>
      <c r="I19" t="s">
        <v>24</v>
      </c>
      <c r="J19" t="s">
        <v>31</v>
      </c>
      <c r="K19" t="s">
        <v>32</v>
      </c>
      <c r="L19" t="s">
        <v>20</v>
      </c>
    </row>
    <row r="20" spans="1:13" x14ac:dyDescent="0.25">
      <c r="A20">
        <v>9000011</v>
      </c>
      <c r="B20">
        <v>1234566</v>
      </c>
      <c r="C20" s="11">
        <v>44788</v>
      </c>
      <c r="D20" s="12">
        <v>0.36736111111111114</v>
      </c>
      <c r="E20">
        <v>8</v>
      </c>
      <c r="F20">
        <v>3</v>
      </c>
      <c r="H20" t="s">
        <v>23</v>
      </c>
      <c r="I20" t="s">
        <v>24</v>
      </c>
      <c r="J20" t="s">
        <v>31</v>
      </c>
      <c r="K20" t="s">
        <v>37</v>
      </c>
      <c r="L20" t="s">
        <v>16</v>
      </c>
      <c r="M20" t="s">
        <v>38</v>
      </c>
    </row>
    <row r="21" spans="1:13" x14ac:dyDescent="0.25">
      <c r="A21">
        <v>9000012</v>
      </c>
      <c r="B21">
        <v>1234572</v>
      </c>
      <c r="C21" s="11">
        <v>44788</v>
      </c>
      <c r="D21" s="12">
        <v>0.80625000000000002</v>
      </c>
      <c r="E21">
        <v>7</v>
      </c>
      <c r="F21">
        <v>3</v>
      </c>
      <c r="H21" t="s">
        <v>23</v>
      </c>
      <c r="I21" t="s">
        <v>24</v>
      </c>
      <c r="J21" t="s">
        <v>31</v>
      </c>
      <c r="K21" t="s">
        <v>37</v>
      </c>
      <c r="L21" t="s">
        <v>16</v>
      </c>
      <c r="M21" t="s">
        <v>39</v>
      </c>
    </row>
    <row r="22" spans="1:13" x14ac:dyDescent="0.25">
      <c r="A22">
        <v>9000012</v>
      </c>
      <c r="B22">
        <v>1234571</v>
      </c>
      <c r="C22" s="11">
        <v>44788</v>
      </c>
      <c r="D22" s="12">
        <v>0.78819444444444442</v>
      </c>
      <c r="E22">
        <v>7</v>
      </c>
      <c r="F22">
        <v>1</v>
      </c>
      <c r="G22" t="s">
        <v>18</v>
      </c>
      <c r="H22" t="s">
        <v>13</v>
      </c>
      <c r="I22" t="s">
        <v>24</v>
      </c>
      <c r="J22" t="s">
        <v>31</v>
      </c>
      <c r="K22" t="s">
        <v>32</v>
      </c>
      <c r="L22" t="s">
        <v>20</v>
      </c>
    </row>
    <row r="23" spans="1:13" x14ac:dyDescent="0.25">
      <c r="A23">
        <v>9000013</v>
      </c>
      <c r="B23">
        <v>1234579</v>
      </c>
      <c r="C23" s="11">
        <v>44789</v>
      </c>
      <c r="D23" s="12">
        <v>0.60277777777777775</v>
      </c>
      <c r="E23">
        <v>8</v>
      </c>
      <c r="F23">
        <v>5</v>
      </c>
      <c r="H23" t="s">
        <v>23</v>
      </c>
      <c r="I23" t="s">
        <v>24</v>
      </c>
      <c r="J23" t="s">
        <v>31</v>
      </c>
      <c r="K23" t="s">
        <v>37</v>
      </c>
      <c r="L23" t="s">
        <v>16</v>
      </c>
    </row>
    <row r="24" spans="1:13" x14ac:dyDescent="0.25">
      <c r="A24">
        <v>9000013</v>
      </c>
      <c r="B24">
        <v>1234578</v>
      </c>
      <c r="C24" s="11">
        <v>44789</v>
      </c>
      <c r="D24" s="12">
        <v>0.59166666666666667</v>
      </c>
      <c r="E24">
        <v>5</v>
      </c>
      <c r="F24">
        <v>1</v>
      </c>
      <c r="G24" t="s">
        <v>18</v>
      </c>
      <c r="H24" t="s">
        <v>13</v>
      </c>
      <c r="I24" t="s">
        <v>24</v>
      </c>
      <c r="J24" t="s">
        <v>31</v>
      </c>
      <c r="K24" t="s">
        <v>32</v>
      </c>
      <c r="L24" t="s">
        <v>20</v>
      </c>
    </row>
    <row r="25" spans="1:13" x14ac:dyDescent="0.25">
      <c r="A25">
        <v>9000014</v>
      </c>
      <c r="B25">
        <v>1234593</v>
      </c>
      <c r="C25" s="11">
        <v>44790</v>
      </c>
      <c r="D25" s="12">
        <v>0.66736111111111107</v>
      </c>
      <c r="E25">
        <v>2</v>
      </c>
      <c r="F25">
        <v>1</v>
      </c>
      <c r="G25" t="s">
        <v>18</v>
      </c>
      <c r="H25" t="s">
        <v>13</v>
      </c>
      <c r="I25" t="s">
        <v>24</v>
      </c>
      <c r="J25" t="s">
        <v>31</v>
      </c>
      <c r="K25" t="s">
        <v>32</v>
      </c>
      <c r="L25" t="s">
        <v>20</v>
      </c>
    </row>
    <row r="26" spans="1:13" x14ac:dyDescent="0.25">
      <c r="A26">
        <v>9000014</v>
      </c>
      <c r="B26">
        <v>1234594</v>
      </c>
      <c r="C26" s="11">
        <v>44790</v>
      </c>
      <c r="D26" s="12">
        <v>0.67777777777777781</v>
      </c>
      <c r="E26">
        <v>9</v>
      </c>
      <c r="F26">
        <v>5</v>
      </c>
      <c r="H26" t="s">
        <v>23</v>
      </c>
      <c r="I26" t="s">
        <v>24</v>
      </c>
      <c r="J26" t="s">
        <v>31</v>
      </c>
      <c r="K26" t="s">
        <v>37</v>
      </c>
      <c r="L26" t="s">
        <v>16</v>
      </c>
      <c r="M26" t="s">
        <v>40</v>
      </c>
    </row>
    <row r="27" spans="1:13" x14ac:dyDescent="0.25">
      <c r="A27">
        <v>9000015</v>
      </c>
      <c r="B27">
        <v>1234598</v>
      </c>
      <c r="C27" s="11">
        <v>44790</v>
      </c>
      <c r="D27" s="12">
        <v>0.80625000000000002</v>
      </c>
      <c r="E27">
        <v>10</v>
      </c>
      <c r="F27">
        <v>3</v>
      </c>
      <c r="H27" t="s">
        <v>23</v>
      </c>
      <c r="I27" t="s">
        <v>24</v>
      </c>
      <c r="J27" t="s">
        <v>31</v>
      </c>
      <c r="K27" t="s">
        <v>37</v>
      </c>
      <c r="L27" t="s">
        <v>16</v>
      </c>
    </row>
    <row r="28" spans="1:13" x14ac:dyDescent="0.25">
      <c r="A28">
        <v>9000015</v>
      </c>
      <c r="B28">
        <v>1234597</v>
      </c>
      <c r="C28" s="11">
        <v>44790</v>
      </c>
      <c r="D28" s="12">
        <v>0.7944444444444444</v>
      </c>
      <c r="E28">
        <v>7</v>
      </c>
      <c r="F28">
        <v>1</v>
      </c>
      <c r="G28" t="s">
        <v>18</v>
      </c>
      <c r="H28" t="s">
        <v>13</v>
      </c>
      <c r="I28" t="s">
        <v>24</v>
      </c>
      <c r="J28" t="s">
        <v>31</v>
      </c>
      <c r="K28" t="s">
        <v>32</v>
      </c>
      <c r="L28" t="s">
        <v>20</v>
      </c>
    </row>
    <row r="29" spans="1:13" x14ac:dyDescent="0.25">
      <c r="A29">
        <v>9000016</v>
      </c>
      <c r="B29">
        <v>1234589</v>
      </c>
      <c r="C29" s="11">
        <v>44790</v>
      </c>
      <c r="D29" s="12">
        <v>0.44097222222222221</v>
      </c>
      <c r="E29">
        <v>1</v>
      </c>
      <c r="F29">
        <v>1</v>
      </c>
      <c r="G29" t="s">
        <v>18</v>
      </c>
      <c r="H29" t="s">
        <v>13</v>
      </c>
      <c r="I29" t="s">
        <v>24</v>
      </c>
      <c r="J29" t="s">
        <v>31</v>
      </c>
      <c r="K29" t="s">
        <v>32</v>
      </c>
      <c r="L29" t="s">
        <v>20</v>
      </c>
    </row>
    <row r="30" spans="1:13" x14ac:dyDescent="0.25">
      <c r="A30">
        <v>9000016</v>
      </c>
      <c r="B30">
        <v>1234590</v>
      </c>
      <c r="C30" s="11">
        <v>44790</v>
      </c>
      <c r="D30" s="12">
        <v>0.4548611111111111</v>
      </c>
      <c r="E30">
        <v>10</v>
      </c>
      <c r="F30">
        <v>3</v>
      </c>
      <c r="H30" t="s">
        <v>23</v>
      </c>
      <c r="I30" t="s">
        <v>24</v>
      </c>
      <c r="J30" t="s">
        <v>31</v>
      </c>
      <c r="K30" t="s">
        <v>37</v>
      </c>
      <c r="L30" t="s">
        <v>16</v>
      </c>
      <c r="M30" t="s">
        <v>41</v>
      </c>
    </row>
    <row r="31" spans="1:13" x14ac:dyDescent="0.25">
      <c r="A31">
        <v>9000017</v>
      </c>
      <c r="B31">
        <v>1234605</v>
      </c>
      <c r="C31" s="11">
        <v>44791</v>
      </c>
      <c r="D31" s="12">
        <v>0.80763888888888891</v>
      </c>
      <c r="E31">
        <v>7</v>
      </c>
      <c r="F31">
        <v>1</v>
      </c>
      <c r="G31" t="s">
        <v>18</v>
      </c>
      <c r="H31" t="s">
        <v>13</v>
      </c>
      <c r="I31" t="s">
        <v>24</v>
      </c>
      <c r="J31" t="s">
        <v>31</v>
      </c>
      <c r="K31" t="s">
        <v>32</v>
      </c>
      <c r="L31" t="s">
        <v>20</v>
      </c>
    </row>
    <row r="32" spans="1:13" x14ac:dyDescent="0.25">
      <c r="A32">
        <v>9000017</v>
      </c>
      <c r="B32">
        <v>1234607</v>
      </c>
      <c r="C32" s="11">
        <v>44791</v>
      </c>
      <c r="D32" s="12">
        <v>0.81458333333333333</v>
      </c>
      <c r="E32">
        <v>8</v>
      </c>
      <c r="F32">
        <v>3</v>
      </c>
      <c r="H32" t="s">
        <v>23</v>
      </c>
      <c r="I32" t="s">
        <v>24</v>
      </c>
      <c r="J32" t="s">
        <v>31</v>
      </c>
      <c r="K32" t="s">
        <v>37</v>
      </c>
      <c r="L32" t="s">
        <v>16</v>
      </c>
      <c r="M32" t="s">
        <v>42</v>
      </c>
    </row>
    <row r="33" spans="1:13" x14ac:dyDescent="0.25">
      <c r="A33">
        <v>9000018</v>
      </c>
      <c r="B33">
        <v>1234604</v>
      </c>
      <c r="C33" s="11">
        <v>44791</v>
      </c>
      <c r="D33" s="12">
        <v>0.54583333333333328</v>
      </c>
      <c r="E33">
        <v>8</v>
      </c>
      <c r="F33">
        <v>3</v>
      </c>
      <c r="H33" t="s">
        <v>23</v>
      </c>
      <c r="I33" t="s">
        <v>24</v>
      </c>
      <c r="J33" t="s">
        <v>31</v>
      </c>
      <c r="K33" t="s">
        <v>37</v>
      </c>
      <c r="L33" t="s">
        <v>16</v>
      </c>
      <c r="M33" t="s">
        <v>43</v>
      </c>
    </row>
    <row r="34" spans="1:13" x14ac:dyDescent="0.25">
      <c r="A34">
        <v>9000018</v>
      </c>
      <c r="B34">
        <v>1234603</v>
      </c>
      <c r="C34" s="11">
        <v>44791</v>
      </c>
      <c r="D34" s="12">
        <v>0.53402777777777777</v>
      </c>
      <c r="E34">
        <v>7</v>
      </c>
      <c r="F34">
        <v>1</v>
      </c>
      <c r="G34" t="s">
        <v>18</v>
      </c>
      <c r="H34" t="s">
        <v>13</v>
      </c>
      <c r="I34" t="s">
        <v>24</v>
      </c>
      <c r="J34" t="s">
        <v>31</v>
      </c>
      <c r="K34" t="s">
        <v>32</v>
      </c>
      <c r="L34" t="s">
        <v>20</v>
      </c>
    </row>
    <row r="35" spans="1:13" x14ac:dyDescent="0.25">
      <c r="A35">
        <v>9000019</v>
      </c>
      <c r="B35">
        <v>1234613</v>
      </c>
      <c r="C35" s="11">
        <v>44792</v>
      </c>
      <c r="D35" s="12">
        <v>0.89097222222222228</v>
      </c>
      <c r="E35">
        <v>10</v>
      </c>
      <c r="F35">
        <v>3</v>
      </c>
      <c r="H35" t="s">
        <v>23</v>
      </c>
      <c r="I35" t="s">
        <v>24</v>
      </c>
      <c r="J35" t="s">
        <v>31</v>
      </c>
      <c r="K35" t="s">
        <v>37</v>
      </c>
      <c r="L35" t="s">
        <v>16</v>
      </c>
      <c r="M35" t="s">
        <v>44</v>
      </c>
    </row>
    <row r="36" spans="1:13" x14ac:dyDescent="0.25">
      <c r="A36">
        <v>9000019</v>
      </c>
      <c r="B36">
        <v>1234612</v>
      </c>
      <c r="C36" s="11">
        <v>44792</v>
      </c>
      <c r="D36" s="12">
        <v>0.87222222222222223</v>
      </c>
      <c r="E36">
        <v>1</v>
      </c>
      <c r="F36">
        <v>1</v>
      </c>
      <c r="G36" t="s">
        <v>18</v>
      </c>
      <c r="H36" t="s">
        <v>13</v>
      </c>
      <c r="I36" t="s">
        <v>24</v>
      </c>
      <c r="J36" t="s">
        <v>31</v>
      </c>
      <c r="K36" t="s">
        <v>32</v>
      </c>
      <c r="L36" t="s">
        <v>20</v>
      </c>
    </row>
    <row r="37" spans="1:13" x14ac:dyDescent="0.25">
      <c r="A37">
        <v>9000020</v>
      </c>
      <c r="B37">
        <v>1234643</v>
      </c>
      <c r="C37" s="11">
        <v>44795</v>
      </c>
      <c r="D37" s="12">
        <v>0.75624999999999998</v>
      </c>
      <c r="E37">
        <v>8</v>
      </c>
      <c r="F37">
        <v>3</v>
      </c>
      <c r="H37" t="s">
        <v>23</v>
      </c>
      <c r="I37" t="s">
        <v>24</v>
      </c>
      <c r="J37" t="s">
        <v>31</v>
      </c>
      <c r="K37" t="s">
        <v>37</v>
      </c>
      <c r="L37" t="s">
        <v>16</v>
      </c>
      <c r="M37" t="s">
        <v>45</v>
      </c>
    </row>
    <row r="38" spans="1:13" x14ac:dyDescent="0.25">
      <c r="A38">
        <v>9000020</v>
      </c>
      <c r="B38">
        <v>1234641</v>
      </c>
      <c r="C38" s="11">
        <v>44795</v>
      </c>
      <c r="D38" s="12">
        <v>0.73888888888888893</v>
      </c>
      <c r="E38">
        <v>7</v>
      </c>
      <c r="F38">
        <v>1</v>
      </c>
      <c r="G38" t="s">
        <v>22</v>
      </c>
      <c r="H38" t="s">
        <v>13</v>
      </c>
      <c r="I38" t="s">
        <v>24</v>
      </c>
      <c r="J38" t="s">
        <v>31</v>
      </c>
      <c r="K38" t="s">
        <v>32</v>
      </c>
      <c r="L38" t="s">
        <v>20</v>
      </c>
    </row>
    <row r="39" spans="1:13" x14ac:dyDescent="0.25">
      <c r="A39">
        <v>9000021</v>
      </c>
      <c r="B39">
        <v>1234634</v>
      </c>
      <c r="C39" s="11">
        <v>44795</v>
      </c>
      <c r="D39" s="12">
        <v>0.33124999999999999</v>
      </c>
      <c r="E39">
        <v>7</v>
      </c>
      <c r="F39">
        <v>1</v>
      </c>
      <c r="G39" t="s">
        <v>22</v>
      </c>
      <c r="H39" t="s">
        <v>13</v>
      </c>
      <c r="I39" t="s">
        <v>24</v>
      </c>
      <c r="J39" t="s">
        <v>31</v>
      </c>
      <c r="K39" t="s">
        <v>32</v>
      </c>
      <c r="L39" t="s">
        <v>20</v>
      </c>
    </row>
    <row r="40" spans="1:13" x14ac:dyDescent="0.25">
      <c r="A40">
        <v>9000021</v>
      </c>
      <c r="B40">
        <v>1234635</v>
      </c>
      <c r="C40" s="11">
        <v>44795</v>
      </c>
      <c r="D40" s="12">
        <v>0.34097222222222223</v>
      </c>
      <c r="E40">
        <v>8</v>
      </c>
      <c r="F40">
        <v>3</v>
      </c>
      <c r="H40" t="s">
        <v>23</v>
      </c>
      <c r="I40" t="s">
        <v>24</v>
      </c>
      <c r="J40" t="s">
        <v>31</v>
      </c>
      <c r="K40" t="s">
        <v>37</v>
      </c>
      <c r="L40" t="s">
        <v>16</v>
      </c>
      <c r="M40" t="s">
        <v>46</v>
      </c>
    </row>
    <row r="41" spans="1:13" x14ac:dyDescent="0.25">
      <c r="A41">
        <v>9000022</v>
      </c>
      <c r="B41">
        <v>1234638</v>
      </c>
      <c r="C41" s="11">
        <v>44795</v>
      </c>
      <c r="D41" s="12">
        <v>0.42708333333333331</v>
      </c>
      <c r="E41">
        <v>8</v>
      </c>
      <c r="F41">
        <v>4</v>
      </c>
      <c r="H41" t="s">
        <v>23</v>
      </c>
      <c r="I41" t="s">
        <v>24</v>
      </c>
      <c r="J41" t="s">
        <v>31</v>
      </c>
      <c r="K41" t="s">
        <v>37</v>
      </c>
      <c r="L41" t="s">
        <v>16</v>
      </c>
      <c r="M41" t="s">
        <v>47</v>
      </c>
    </row>
    <row r="42" spans="1:13" x14ac:dyDescent="0.25">
      <c r="A42">
        <v>9000022</v>
      </c>
      <c r="B42">
        <v>1234637</v>
      </c>
      <c r="C42" s="11">
        <v>44795</v>
      </c>
      <c r="D42" s="12">
        <v>0.41875000000000001</v>
      </c>
      <c r="E42">
        <v>2</v>
      </c>
      <c r="F42">
        <v>1</v>
      </c>
      <c r="G42" t="s">
        <v>22</v>
      </c>
      <c r="H42" t="s">
        <v>13</v>
      </c>
      <c r="I42" t="s">
        <v>24</v>
      </c>
      <c r="J42" t="s">
        <v>31</v>
      </c>
      <c r="K42" t="s">
        <v>32</v>
      </c>
      <c r="L42" t="s">
        <v>20</v>
      </c>
    </row>
    <row r="43" spans="1:13" x14ac:dyDescent="0.25">
      <c r="A43">
        <v>9000023</v>
      </c>
      <c r="B43">
        <v>1234627</v>
      </c>
      <c r="C43" s="11">
        <v>44794</v>
      </c>
      <c r="D43" s="12">
        <v>0.30138888888888887</v>
      </c>
      <c r="E43">
        <v>7</v>
      </c>
      <c r="F43">
        <v>3</v>
      </c>
      <c r="G43" t="s">
        <v>12</v>
      </c>
      <c r="H43" t="s">
        <v>23</v>
      </c>
      <c r="I43" t="s">
        <v>24</v>
      </c>
      <c r="J43" t="s">
        <v>31</v>
      </c>
      <c r="K43" t="s">
        <v>33</v>
      </c>
      <c r="L43" t="s">
        <v>16</v>
      </c>
    </row>
    <row r="44" spans="1:13" x14ac:dyDescent="0.25">
      <c r="A44">
        <v>9000023</v>
      </c>
      <c r="B44">
        <v>1234542</v>
      </c>
      <c r="C44" s="11">
        <v>44786</v>
      </c>
      <c r="D44" s="12">
        <v>0.31319444444444444</v>
      </c>
      <c r="E44">
        <v>7</v>
      </c>
      <c r="F44">
        <v>1</v>
      </c>
      <c r="G44" t="s">
        <v>22</v>
      </c>
      <c r="H44" t="s">
        <v>13</v>
      </c>
      <c r="I44" t="s">
        <v>24</v>
      </c>
      <c r="J44" t="s">
        <v>31</v>
      </c>
      <c r="K44" t="s">
        <v>19</v>
      </c>
      <c r="L44" t="s">
        <v>20</v>
      </c>
    </row>
    <row r="45" spans="1:13" x14ac:dyDescent="0.25">
      <c r="A45">
        <v>9000024</v>
      </c>
      <c r="B45">
        <v>1234615</v>
      </c>
      <c r="C45" s="11">
        <v>44793</v>
      </c>
      <c r="D45" s="12">
        <v>0.3923611111111111</v>
      </c>
      <c r="E45">
        <v>7</v>
      </c>
      <c r="F45">
        <v>1</v>
      </c>
      <c r="G45" t="s">
        <v>22</v>
      </c>
      <c r="H45" t="s">
        <v>13</v>
      </c>
      <c r="I45" t="s">
        <v>24</v>
      </c>
      <c r="J45" t="s">
        <v>31</v>
      </c>
      <c r="K45" t="s">
        <v>19</v>
      </c>
      <c r="L45" t="s">
        <v>20</v>
      </c>
    </row>
    <row r="46" spans="1:13" x14ac:dyDescent="0.25">
      <c r="A46">
        <v>9000024</v>
      </c>
      <c r="B46">
        <v>1234628</v>
      </c>
      <c r="C46" s="11">
        <v>44794</v>
      </c>
      <c r="D46" s="12">
        <v>0.34375</v>
      </c>
      <c r="E46">
        <v>7</v>
      </c>
      <c r="F46">
        <v>3</v>
      </c>
      <c r="G46" t="s">
        <v>12</v>
      </c>
      <c r="H46" t="s">
        <v>23</v>
      </c>
      <c r="I46" t="s">
        <v>24</v>
      </c>
      <c r="J46" t="s">
        <v>31</v>
      </c>
      <c r="K46" t="s">
        <v>33</v>
      </c>
      <c r="L46" t="s">
        <v>16</v>
      </c>
      <c r="M46" t="s">
        <v>48</v>
      </c>
    </row>
    <row r="47" spans="1:13" x14ac:dyDescent="0.25">
      <c r="A47">
        <v>9000025</v>
      </c>
      <c r="B47">
        <v>1234626</v>
      </c>
      <c r="C47" s="11">
        <v>44793</v>
      </c>
      <c r="D47" s="12">
        <v>0.8354166666666667</v>
      </c>
      <c r="E47">
        <v>8</v>
      </c>
      <c r="F47">
        <v>1</v>
      </c>
      <c r="G47" t="s">
        <v>18</v>
      </c>
      <c r="H47" t="s">
        <v>13</v>
      </c>
      <c r="I47" t="s">
        <v>14</v>
      </c>
      <c r="J47" t="s">
        <v>25</v>
      </c>
      <c r="K47" t="s">
        <v>25</v>
      </c>
      <c r="L47" t="s">
        <v>16</v>
      </c>
      <c r="M47" t="s">
        <v>49</v>
      </c>
    </row>
    <row r="48" spans="1:13" x14ac:dyDescent="0.25">
      <c r="A48">
        <v>9000026</v>
      </c>
      <c r="B48">
        <v>1234623</v>
      </c>
      <c r="C48" s="11">
        <v>44793</v>
      </c>
      <c r="D48" s="12">
        <v>0.7680555555555556</v>
      </c>
      <c r="E48">
        <v>8</v>
      </c>
      <c r="F48">
        <v>1</v>
      </c>
      <c r="G48" t="s">
        <v>18</v>
      </c>
      <c r="H48" t="s">
        <v>13</v>
      </c>
      <c r="I48" t="s">
        <v>14</v>
      </c>
      <c r="J48" t="s">
        <v>25</v>
      </c>
      <c r="K48" t="s">
        <v>25</v>
      </c>
      <c r="L48" t="s">
        <v>16</v>
      </c>
    </row>
    <row r="49" spans="1:13" x14ac:dyDescent="0.25">
      <c r="A49">
        <v>9000027</v>
      </c>
      <c r="B49">
        <v>1234631</v>
      </c>
      <c r="C49" s="11">
        <v>44794</v>
      </c>
      <c r="D49" s="12">
        <v>0.68472222222222223</v>
      </c>
      <c r="E49">
        <v>8</v>
      </c>
      <c r="F49">
        <v>1</v>
      </c>
      <c r="G49" t="s">
        <v>18</v>
      </c>
      <c r="H49" t="s">
        <v>13</v>
      </c>
      <c r="I49" t="s">
        <v>14</v>
      </c>
      <c r="J49" t="s">
        <v>25</v>
      </c>
      <c r="K49" t="s">
        <v>25</v>
      </c>
      <c r="L49" t="s">
        <v>16</v>
      </c>
      <c r="M49" t="s">
        <v>50</v>
      </c>
    </row>
    <row r="50" spans="1:13" x14ac:dyDescent="0.25">
      <c r="A50">
        <v>9000028</v>
      </c>
      <c r="B50">
        <v>1234617</v>
      </c>
      <c r="C50" s="11">
        <v>44793</v>
      </c>
      <c r="D50" s="12">
        <v>0.4826388888888889</v>
      </c>
      <c r="E50">
        <v>8</v>
      </c>
      <c r="F50">
        <v>1</v>
      </c>
      <c r="G50" t="s">
        <v>22</v>
      </c>
      <c r="H50" t="s">
        <v>23</v>
      </c>
      <c r="I50" t="s">
        <v>24</v>
      </c>
      <c r="J50" t="s">
        <v>25</v>
      </c>
      <c r="K50" t="s">
        <v>37</v>
      </c>
      <c r="L50" t="s">
        <v>16</v>
      </c>
      <c r="M50" t="s">
        <v>51</v>
      </c>
    </row>
    <row r="51" spans="1:13" x14ac:dyDescent="0.25">
      <c r="A51">
        <v>9000029</v>
      </c>
      <c r="B51">
        <v>1234632</v>
      </c>
      <c r="C51" s="11">
        <v>44794</v>
      </c>
      <c r="D51" s="12">
        <v>0.72152777777777777</v>
      </c>
      <c r="E51">
        <v>8</v>
      </c>
      <c r="F51">
        <v>1</v>
      </c>
      <c r="G51" t="s">
        <v>22</v>
      </c>
      <c r="H51" t="s">
        <v>23</v>
      </c>
      <c r="I51" t="s">
        <v>24</v>
      </c>
      <c r="J51" t="s">
        <v>25</v>
      </c>
      <c r="K51" t="s">
        <v>33</v>
      </c>
      <c r="L51" t="s">
        <v>16</v>
      </c>
      <c r="M51" t="s">
        <v>52</v>
      </c>
    </row>
    <row r="52" spans="1:13" x14ac:dyDescent="0.25">
      <c r="A52">
        <v>9000030</v>
      </c>
      <c r="B52">
        <v>1234561</v>
      </c>
      <c r="C52" s="11">
        <v>44788</v>
      </c>
      <c r="D52" s="12">
        <v>0.31805555555555554</v>
      </c>
      <c r="E52">
        <v>10</v>
      </c>
      <c r="F52">
        <v>5</v>
      </c>
      <c r="G52" t="s">
        <v>12</v>
      </c>
      <c r="H52" t="s">
        <v>23</v>
      </c>
      <c r="I52" t="s">
        <v>24</v>
      </c>
      <c r="J52" t="s">
        <v>25</v>
      </c>
      <c r="K52" t="s">
        <v>33</v>
      </c>
      <c r="L52" t="s">
        <v>16</v>
      </c>
      <c r="M52" t="s">
        <v>53</v>
      </c>
    </row>
    <row r="53" spans="1:13" x14ac:dyDescent="0.25">
      <c r="A53">
        <v>9000031</v>
      </c>
      <c r="B53">
        <v>1234636</v>
      </c>
      <c r="C53" s="11">
        <v>44795</v>
      </c>
      <c r="D53" s="12">
        <v>0.39374999999999999</v>
      </c>
      <c r="E53">
        <v>8</v>
      </c>
      <c r="F53">
        <v>3</v>
      </c>
      <c r="G53" t="s">
        <v>12</v>
      </c>
      <c r="H53" t="s">
        <v>13</v>
      </c>
      <c r="I53" t="s">
        <v>24</v>
      </c>
      <c r="J53" t="s">
        <v>54</v>
      </c>
      <c r="K53" t="s">
        <v>55</v>
      </c>
      <c r="L53" t="s">
        <v>16</v>
      </c>
    </row>
    <row r="54" spans="1:13" x14ac:dyDescent="0.25">
      <c r="A54">
        <v>9000031</v>
      </c>
      <c r="B54">
        <v>1234630</v>
      </c>
      <c r="C54" s="11">
        <v>44794</v>
      </c>
      <c r="D54" s="12">
        <v>0.62291666666666667</v>
      </c>
      <c r="E54">
        <v>0</v>
      </c>
      <c r="F54">
        <v>1</v>
      </c>
      <c r="G54" t="s">
        <v>18</v>
      </c>
      <c r="H54" t="s">
        <v>13</v>
      </c>
      <c r="I54" t="s">
        <v>24</v>
      </c>
      <c r="J54" t="s">
        <v>54</v>
      </c>
      <c r="K54" t="s">
        <v>19</v>
      </c>
      <c r="L54" t="s">
        <v>20</v>
      </c>
      <c r="M54" t="s">
        <v>56</v>
      </c>
    </row>
    <row r="55" spans="1:13" x14ac:dyDescent="0.25">
      <c r="A55">
        <v>9000032</v>
      </c>
      <c r="B55">
        <v>1234556</v>
      </c>
      <c r="C55" s="11">
        <v>44794</v>
      </c>
      <c r="D55" s="12">
        <v>0.65277777777777779</v>
      </c>
      <c r="E55">
        <v>8</v>
      </c>
      <c r="F55">
        <v>2</v>
      </c>
      <c r="G55" t="s">
        <v>12</v>
      </c>
      <c r="H55" t="s">
        <v>13</v>
      </c>
      <c r="I55" t="s">
        <v>24</v>
      </c>
      <c r="J55" t="s">
        <v>54</v>
      </c>
      <c r="K55" t="s">
        <v>55</v>
      </c>
      <c r="L55" t="s">
        <v>16</v>
      </c>
    </row>
    <row r="56" spans="1:13" x14ac:dyDescent="0.25">
      <c r="A56">
        <v>9000032</v>
      </c>
      <c r="B56">
        <v>1234537</v>
      </c>
      <c r="C56" s="11">
        <v>44793</v>
      </c>
      <c r="D56" s="12">
        <v>0.65833333333333333</v>
      </c>
      <c r="E56">
        <v>1</v>
      </c>
      <c r="F56">
        <v>1</v>
      </c>
      <c r="G56" t="s">
        <v>22</v>
      </c>
      <c r="H56" t="s">
        <v>13</v>
      </c>
      <c r="I56" t="s">
        <v>24</v>
      </c>
      <c r="J56" t="s">
        <v>54</v>
      </c>
      <c r="K56" t="s">
        <v>19</v>
      </c>
      <c r="L56" t="s">
        <v>20</v>
      </c>
      <c r="M56" t="s">
        <v>57</v>
      </c>
    </row>
    <row r="57" spans="1:13" x14ac:dyDescent="0.25">
      <c r="A57">
        <v>9000033</v>
      </c>
      <c r="B57">
        <v>1234533</v>
      </c>
      <c r="C57" s="11">
        <v>44785</v>
      </c>
      <c r="D57" s="12">
        <v>0.58680555555555558</v>
      </c>
      <c r="E57">
        <v>6</v>
      </c>
      <c r="F57">
        <v>4</v>
      </c>
      <c r="G57" t="s">
        <v>18</v>
      </c>
      <c r="H57" t="s">
        <v>23</v>
      </c>
      <c r="I57" t="s">
        <v>14</v>
      </c>
      <c r="J57" t="s">
        <v>54</v>
      </c>
      <c r="K57" t="s">
        <v>55</v>
      </c>
      <c r="L57" t="s">
        <v>16</v>
      </c>
      <c r="M57" t="s">
        <v>58</v>
      </c>
    </row>
    <row r="58" spans="1:13" x14ac:dyDescent="0.25">
      <c r="A58">
        <v>9000034</v>
      </c>
      <c r="B58">
        <v>1234506</v>
      </c>
      <c r="C58" s="11">
        <v>44783</v>
      </c>
      <c r="D58" s="12">
        <v>0.47916666666666669</v>
      </c>
      <c r="E58">
        <v>8</v>
      </c>
      <c r="F58">
        <v>5</v>
      </c>
      <c r="G58" t="s">
        <v>18</v>
      </c>
      <c r="H58" t="s">
        <v>23</v>
      </c>
      <c r="I58" t="s">
        <v>14</v>
      </c>
      <c r="J58" t="s">
        <v>54</v>
      </c>
      <c r="K58" t="s">
        <v>55</v>
      </c>
      <c r="L58" t="s">
        <v>16</v>
      </c>
    </row>
    <row r="59" spans="1:13" x14ac:dyDescent="0.25">
      <c r="A59">
        <v>9000035</v>
      </c>
      <c r="B59">
        <v>1234599</v>
      </c>
      <c r="C59" s="11">
        <v>44791</v>
      </c>
      <c r="D59" s="12">
        <v>0.50277777777777777</v>
      </c>
      <c r="E59">
        <v>4</v>
      </c>
      <c r="F59">
        <v>5</v>
      </c>
      <c r="G59" t="s">
        <v>18</v>
      </c>
      <c r="H59" t="s">
        <v>23</v>
      </c>
      <c r="I59" t="s">
        <v>14</v>
      </c>
      <c r="J59" t="s">
        <v>54</v>
      </c>
      <c r="K59" t="s">
        <v>55</v>
      </c>
      <c r="L59" t="s">
        <v>16</v>
      </c>
      <c r="M59" t="s">
        <v>59</v>
      </c>
    </row>
    <row r="60" spans="1:13" x14ac:dyDescent="0.25">
      <c r="A60">
        <v>9000036</v>
      </c>
      <c r="B60">
        <v>1234602</v>
      </c>
      <c r="C60" s="11">
        <v>44791</v>
      </c>
      <c r="D60" s="12">
        <v>0.52152777777777781</v>
      </c>
      <c r="E60">
        <v>8</v>
      </c>
      <c r="F60">
        <v>4</v>
      </c>
      <c r="G60" t="s">
        <v>18</v>
      </c>
      <c r="H60" t="s">
        <v>23</v>
      </c>
      <c r="I60" t="s">
        <v>14</v>
      </c>
      <c r="J60" t="s">
        <v>54</v>
      </c>
      <c r="K60" t="s">
        <v>55</v>
      </c>
      <c r="L60" t="s">
        <v>16</v>
      </c>
      <c r="M60" t="s">
        <v>60</v>
      </c>
    </row>
    <row r="61" spans="1:13" x14ac:dyDescent="0.25">
      <c r="A61">
        <v>9000037</v>
      </c>
      <c r="B61">
        <v>1234642</v>
      </c>
      <c r="C61" s="11">
        <v>44795</v>
      </c>
      <c r="D61" s="12">
        <v>0.74930555555555556</v>
      </c>
      <c r="E61">
        <v>1</v>
      </c>
      <c r="F61">
        <v>5</v>
      </c>
      <c r="G61" t="s">
        <v>18</v>
      </c>
      <c r="H61" t="s">
        <v>23</v>
      </c>
      <c r="I61" t="s">
        <v>14</v>
      </c>
      <c r="J61" t="s">
        <v>54</v>
      </c>
      <c r="K61" t="s">
        <v>55</v>
      </c>
      <c r="L61" t="s">
        <v>16</v>
      </c>
      <c r="M61" t="s">
        <v>61</v>
      </c>
    </row>
    <row r="62" spans="1:13" x14ac:dyDescent="0.25">
      <c r="A62">
        <v>9000038</v>
      </c>
      <c r="B62">
        <v>1234610</v>
      </c>
      <c r="C62" s="11">
        <v>44792</v>
      </c>
      <c r="D62" s="12">
        <v>0.60833333333333328</v>
      </c>
      <c r="E62">
        <v>8</v>
      </c>
      <c r="F62">
        <v>5</v>
      </c>
      <c r="G62" t="s">
        <v>18</v>
      </c>
      <c r="H62" t="s">
        <v>23</v>
      </c>
      <c r="I62" t="s">
        <v>14</v>
      </c>
      <c r="J62" t="s">
        <v>54</v>
      </c>
      <c r="K62" t="s">
        <v>55</v>
      </c>
      <c r="L62" t="s">
        <v>16</v>
      </c>
      <c r="M62" t="s">
        <v>62</v>
      </c>
    </row>
    <row r="63" spans="1:13" x14ac:dyDescent="0.25">
      <c r="A63">
        <v>9000039</v>
      </c>
      <c r="B63">
        <v>1234514</v>
      </c>
      <c r="C63" s="11">
        <v>44783</v>
      </c>
      <c r="D63" s="12">
        <v>0.64583333333333337</v>
      </c>
      <c r="E63">
        <v>8</v>
      </c>
      <c r="F63">
        <v>5</v>
      </c>
      <c r="G63" t="s">
        <v>18</v>
      </c>
      <c r="H63" t="s">
        <v>23</v>
      </c>
      <c r="I63" t="s">
        <v>14</v>
      </c>
      <c r="J63" t="s">
        <v>54</v>
      </c>
      <c r="K63" t="s">
        <v>55</v>
      </c>
      <c r="L63" t="s">
        <v>16</v>
      </c>
      <c r="M63" t="s">
        <v>63</v>
      </c>
    </row>
    <row r="64" spans="1:13" x14ac:dyDescent="0.25">
      <c r="A64">
        <v>9000040</v>
      </c>
      <c r="B64">
        <v>1234625</v>
      </c>
      <c r="C64" s="11">
        <v>44793</v>
      </c>
      <c r="D64" s="12">
        <v>0.80833333333333335</v>
      </c>
      <c r="E64">
        <v>1</v>
      </c>
      <c r="F64">
        <v>5</v>
      </c>
      <c r="G64" t="s">
        <v>22</v>
      </c>
      <c r="H64" t="s">
        <v>13</v>
      </c>
      <c r="I64" t="s">
        <v>24</v>
      </c>
      <c r="J64" t="s">
        <v>54</v>
      </c>
      <c r="K64" t="s">
        <v>55</v>
      </c>
      <c r="L64" t="s">
        <v>16</v>
      </c>
      <c r="M64" t="s">
        <v>64</v>
      </c>
    </row>
    <row r="65" spans="1:13" x14ac:dyDescent="0.25">
      <c r="A65">
        <v>9000041</v>
      </c>
      <c r="B65">
        <v>1234570</v>
      </c>
      <c r="C65" s="11">
        <v>44788</v>
      </c>
      <c r="D65" s="12">
        <v>0.69305555555555554</v>
      </c>
      <c r="E65">
        <v>8</v>
      </c>
      <c r="F65">
        <v>5</v>
      </c>
      <c r="G65" t="s">
        <v>22</v>
      </c>
      <c r="H65" t="s">
        <v>13</v>
      </c>
      <c r="I65" t="s">
        <v>24</v>
      </c>
      <c r="J65" t="s">
        <v>54</v>
      </c>
      <c r="K65" t="s">
        <v>55</v>
      </c>
      <c r="L65" t="s">
        <v>16</v>
      </c>
      <c r="M65" t="s">
        <v>65</v>
      </c>
    </row>
    <row r="66" spans="1:13" x14ac:dyDescent="0.25">
      <c r="A66">
        <v>9000042</v>
      </c>
      <c r="B66">
        <v>1234550</v>
      </c>
      <c r="C66" s="11">
        <v>44786</v>
      </c>
      <c r="D66" s="12">
        <v>0.8208333333333333</v>
      </c>
      <c r="E66">
        <v>5</v>
      </c>
      <c r="F66">
        <v>4</v>
      </c>
      <c r="G66" t="s">
        <v>22</v>
      </c>
      <c r="H66" t="s">
        <v>13</v>
      </c>
      <c r="I66" t="s">
        <v>24</v>
      </c>
      <c r="J66" t="s">
        <v>54</v>
      </c>
      <c r="K66" t="s">
        <v>55</v>
      </c>
      <c r="L66" t="s">
        <v>16</v>
      </c>
      <c r="M66" t="s">
        <v>66</v>
      </c>
    </row>
    <row r="67" spans="1:13" x14ac:dyDescent="0.25">
      <c r="A67">
        <v>9000043</v>
      </c>
      <c r="B67">
        <v>1234620</v>
      </c>
      <c r="C67" s="11">
        <v>44793</v>
      </c>
      <c r="D67" s="12">
        <v>0.69166666666666665</v>
      </c>
      <c r="E67">
        <v>8</v>
      </c>
      <c r="F67">
        <v>5</v>
      </c>
      <c r="G67" t="s">
        <v>18</v>
      </c>
      <c r="H67" t="s">
        <v>13</v>
      </c>
      <c r="I67" t="s">
        <v>14</v>
      </c>
      <c r="J67" t="s">
        <v>54</v>
      </c>
      <c r="K67" t="s">
        <v>55</v>
      </c>
      <c r="L67" t="s">
        <v>16</v>
      </c>
      <c r="M67" t="s">
        <v>67</v>
      </c>
    </row>
    <row r="68" spans="1:13" x14ac:dyDescent="0.25">
      <c r="A68">
        <v>9000044</v>
      </c>
      <c r="B68">
        <v>1234551</v>
      </c>
      <c r="C68" s="11">
        <v>44786</v>
      </c>
      <c r="D68" s="12">
        <v>0.8305555555555556</v>
      </c>
      <c r="E68">
        <v>4</v>
      </c>
      <c r="F68">
        <v>4</v>
      </c>
      <c r="G68" t="s">
        <v>18</v>
      </c>
      <c r="H68" t="s">
        <v>13</v>
      </c>
      <c r="I68" t="s">
        <v>14</v>
      </c>
      <c r="J68" t="s">
        <v>54</v>
      </c>
      <c r="K68" t="s">
        <v>55</v>
      </c>
      <c r="L68" t="s">
        <v>16</v>
      </c>
      <c r="M68" t="s">
        <v>68</v>
      </c>
    </row>
    <row r="69" spans="1:13" x14ac:dyDescent="0.25">
      <c r="A69">
        <v>9000045</v>
      </c>
      <c r="B69">
        <v>1234502</v>
      </c>
      <c r="C69" s="11">
        <v>44783</v>
      </c>
      <c r="D69" s="12">
        <v>0.31041666666666667</v>
      </c>
      <c r="E69">
        <v>5</v>
      </c>
      <c r="F69">
        <v>5</v>
      </c>
      <c r="G69" t="s">
        <v>22</v>
      </c>
      <c r="H69" t="s">
        <v>23</v>
      </c>
      <c r="I69" t="s">
        <v>24</v>
      </c>
      <c r="J69" t="s">
        <v>54</v>
      </c>
      <c r="K69" t="s">
        <v>55</v>
      </c>
      <c r="L69" t="s">
        <v>16</v>
      </c>
      <c r="M69" t="s">
        <v>69</v>
      </c>
    </row>
    <row r="70" spans="1:13" x14ac:dyDescent="0.25">
      <c r="A70">
        <v>9000046</v>
      </c>
      <c r="B70">
        <v>1234595</v>
      </c>
      <c r="C70" s="11">
        <v>44790</v>
      </c>
      <c r="D70" s="12">
        <v>0.72013888888888888</v>
      </c>
      <c r="E70">
        <v>5</v>
      </c>
      <c r="F70">
        <v>5</v>
      </c>
      <c r="G70" t="s">
        <v>22</v>
      </c>
      <c r="H70" t="s">
        <v>23</v>
      </c>
      <c r="I70" t="s">
        <v>24</v>
      </c>
      <c r="J70" t="s">
        <v>54</v>
      </c>
      <c r="K70" t="s">
        <v>55</v>
      </c>
      <c r="L70" t="s">
        <v>16</v>
      </c>
      <c r="M70" t="s">
        <v>70</v>
      </c>
    </row>
    <row r="71" spans="1:13" x14ac:dyDescent="0.25">
      <c r="A71">
        <v>9000047</v>
      </c>
      <c r="B71">
        <v>1234526</v>
      </c>
      <c r="C71" s="11">
        <v>44784</v>
      </c>
      <c r="D71" s="12">
        <v>0.56597222222222221</v>
      </c>
      <c r="E71">
        <v>4</v>
      </c>
      <c r="F71">
        <v>5</v>
      </c>
      <c r="G71" t="s">
        <v>22</v>
      </c>
      <c r="H71" t="s">
        <v>23</v>
      </c>
      <c r="I71" t="s">
        <v>24</v>
      </c>
      <c r="J71" t="s">
        <v>54</v>
      </c>
      <c r="K71" t="s">
        <v>55</v>
      </c>
      <c r="L71" t="s">
        <v>16</v>
      </c>
      <c r="M71" t="s">
        <v>71</v>
      </c>
    </row>
    <row r="72" spans="1:13" x14ac:dyDescent="0.25">
      <c r="A72">
        <v>9000048</v>
      </c>
      <c r="B72">
        <v>1234555</v>
      </c>
      <c r="C72" s="11">
        <v>44787</v>
      </c>
      <c r="D72" s="12">
        <v>0.61805555555555558</v>
      </c>
      <c r="E72">
        <v>7</v>
      </c>
      <c r="F72">
        <v>1</v>
      </c>
      <c r="G72" t="s">
        <v>27</v>
      </c>
      <c r="H72" t="s">
        <v>13</v>
      </c>
      <c r="I72" t="s">
        <v>14</v>
      </c>
      <c r="J72" t="s">
        <v>72</v>
      </c>
      <c r="K72" t="s">
        <v>19</v>
      </c>
      <c r="L72" t="s">
        <v>20</v>
      </c>
    </row>
    <row r="73" spans="1:13" x14ac:dyDescent="0.25">
      <c r="A73">
        <v>9000048</v>
      </c>
      <c r="B73">
        <v>1234563</v>
      </c>
      <c r="C73" s="11">
        <v>44788</v>
      </c>
      <c r="D73" s="12">
        <v>0.34513888888888888</v>
      </c>
      <c r="E73">
        <v>8</v>
      </c>
      <c r="F73">
        <v>3</v>
      </c>
      <c r="G73" t="s">
        <v>12</v>
      </c>
      <c r="H73" t="s">
        <v>23</v>
      </c>
      <c r="I73" t="s">
        <v>14</v>
      </c>
      <c r="J73" t="s">
        <v>72</v>
      </c>
      <c r="K73" t="s">
        <v>73</v>
      </c>
      <c r="L73" t="s">
        <v>16</v>
      </c>
    </row>
    <row r="74" spans="1:13" x14ac:dyDescent="0.25">
      <c r="A74">
        <v>9000049</v>
      </c>
      <c r="B74">
        <v>1234588</v>
      </c>
      <c r="C74" s="11">
        <v>44790</v>
      </c>
      <c r="D74" s="12">
        <v>0.42222222222222222</v>
      </c>
      <c r="E74">
        <v>7</v>
      </c>
      <c r="F74">
        <v>3</v>
      </c>
      <c r="G74" t="s">
        <v>12</v>
      </c>
      <c r="H74" t="s">
        <v>23</v>
      </c>
      <c r="I74" t="s">
        <v>14</v>
      </c>
      <c r="J74" t="s">
        <v>72</v>
      </c>
      <c r="K74" t="s">
        <v>73</v>
      </c>
      <c r="L74" t="s">
        <v>16</v>
      </c>
      <c r="M74" t="s">
        <v>74</v>
      </c>
    </row>
    <row r="75" spans="1:13" x14ac:dyDescent="0.25">
      <c r="A75">
        <v>9000049</v>
      </c>
      <c r="B75">
        <v>1234546</v>
      </c>
      <c r="C75" s="11">
        <v>44786</v>
      </c>
      <c r="D75" s="12">
        <v>0.63541666666666663</v>
      </c>
      <c r="E75">
        <v>7</v>
      </c>
      <c r="F75">
        <v>1</v>
      </c>
      <c r="G75" t="s">
        <v>27</v>
      </c>
      <c r="H75" t="s">
        <v>13</v>
      </c>
      <c r="I75" t="s">
        <v>14</v>
      </c>
      <c r="J75" t="s">
        <v>72</v>
      </c>
      <c r="K75" t="s">
        <v>19</v>
      </c>
      <c r="L75" t="s">
        <v>20</v>
      </c>
      <c r="M75" t="s">
        <v>75</v>
      </c>
    </row>
    <row r="76" spans="1:13" x14ac:dyDescent="0.25">
      <c r="A76">
        <v>9000050</v>
      </c>
      <c r="B76">
        <v>1234622</v>
      </c>
      <c r="C76" s="11">
        <v>44793</v>
      </c>
      <c r="D76" s="12">
        <v>0.76597222222222228</v>
      </c>
      <c r="E76">
        <v>1</v>
      </c>
      <c r="F76">
        <v>3</v>
      </c>
      <c r="G76" t="s">
        <v>27</v>
      </c>
      <c r="H76" t="s">
        <v>13</v>
      </c>
      <c r="I76" t="s">
        <v>14</v>
      </c>
      <c r="J76" t="s">
        <v>72</v>
      </c>
      <c r="K76" t="s">
        <v>73</v>
      </c>
      <c r="L76" t="s">
        <v>16</v>
      </c>
      <c r="M76" t="s">
        <v>76</v>
      </c>
    </row>
    <row r="77" spans="1:13" x14ac:dyDescent="0.25">
      <c r="A77">
        <v>9000051</v>
      </c>
      <c r="B77">
        <v>1234619</v>
      </c>
      <c r="C77" s="11">
        <v>44793</v>
      </c>
      <c r="D77" s="12">
        <v>0.68611111111111112</v>
      </c>
      <c r="E77">
        <v>4</v>
      </c>
      <c r="F77">
        <v>3</v>
      </c>
      <c r="G77" t="s">
        <v>27</v>
      </c>
      <c r="H77" t="s">
        <v>23</v>
      </c>
      <c r="I77" t="s">
        <v>14</v>
      </c>
      <c r="J77" t="s">
        <v>72</v>
      </c>
      <c r="K77" t="s">
        <v>73</v>
      </c>
      <c r="L77" t="s">
        <v>16</v>
      </c>
      <c r="M77" t="s">
        <v>77</v>
      </c>
    </row>
    <row r="78" spans="1:13" x14ac:dyDescent="0.25">
      <c r="A78">
        <v>9000052</v>
      </c>
      <c r="B78">
        <v>1234624</v>
      </c>
      <c r="C78" s="11">
        <v>44793</v>
      </c>
      <c r="D78" s="12">
        <v>0.77430555555555558</v>
      </c>
      <c r="E78">
        <v>3</v>
      </c>
      <c r="F78">
        <v>3</v>
      </c>
      <c r="G78" t="s">
        <v>18</v>
      </c>
      <c r="H78" t="s">
        <v>23</v>
      </c>
      <c r="I78" t="s">
        <v>14</v>
      </c>
      <c r="J78" t="s">
        <v>72</v>
      </c>
      <c r="K78" t="s">
        <v>73</v>
      </c>
      <c r="L78" t="s">
        <v>16</v>
      </c>
      <c r="M78" t="s">
        <v>78</v>
      </c>
    </row>
    <row r="79" spans="1:13" x14ac:dyDescent="0.25">
      <c r="A79">
        <v>9000053</v>
      </c>
      <c r="B79">
        <v>1234629</v>
      </c>
      <c r="C79" s="11">
        <v>44794</v>
      </c>
      <c r="D79" s="12">
        <v>0.57777777777777772</v>
      </c>
      <c r="E79">
        <v>3</v>
      </c>
      <c r="F79">
        <v>2</v>
      </c>
      <c r="G79" t="s">
        <v>18</v>
      </c>
      <c r="H79" t="s">
        <v>13</v>
      </c>
      <c r="I79" t="s">
        <v>14</v>
      </c>
      <c r="J79" t="s">
        <v>72</v>
      </c>
      <c r="K79" t="s">
        <v>73</v>
      </c>
      <c r="L79" t="s">
        <v>16</v>
      </c>
      <c r="M79" t="s">
        <v>79</v>
      </c>
    </row>
    <row r="80" spans="1:13" x14ac:dyDescent="0.25">
      <c r="A80">
        <v>9000057</v>
      </c>
      <c r="B80">
        <v>1234564</v>
      </c>
      <c r="C80" s="11">
        <v>44788</v>
      </c>
      <c r="D80" s="12">
        <v>0.34791666666666665</v>
      </c>
      <c r="E80">
        <v>8</v>
      </c>
      <c r="F80">
        <v>5</v>
      </c>
      <c r="G80" t="s">
        <v>18</v>
      </c>
      <c r="H80" t="s">
        <v>23</v>
      </c>
      <c r="I80" t="s">
        <v>14</v>
      </c>
      <c r="J80" t="s">
        <v>54</v>
      </c>
      <c r="K80" t="s">
        <v>55</v>
      </c>
      <c r="L80" t="s">
        <v>16</v>
      </c>
    </row>
    <row r="81" spans="1:13" x14ac:dyDescent="0.25">
      <c r="A81">
        <v>9000058</v>
      </c>
      <c r="B81">
        <v>1234587</v>
      </c>
      <c r="C81" s="11">
        <v>44790</v>
      </c>
      <c r="D81" s="12">
        <v>0.41944444444444445</v>
      </c>
      <c r="E81">
        <v>3</v>
      </c>
      <c r="F81">
        <v>2</v>
      </c>
      <c r="G81" t="s">
        <v>27</v>
      </c>
      <c r="H81" t="s">
        <v>23</v>
      </c>
      <c r="I81" t="s">
        <v>24</v>
      </c>
      <c r="J81" t="s">
        <v>72</v>
      </c>
      <c r="K81" t="s">
        <v>73</v>
      </c>
      <c r="L81" t="s">
        <v>16</v>
      </c>
      <c r="M81" t="s">
        <v>80</v>
      </c>
    </row>
    <row r="82" spans="1:13" x14ac:dyDescent="0.25">
      <c r="A82">
        <v>9000059</v>
      </c>
      <c r="B82">
        <v>1234573</v>
      </c>
      <c r="C82" s="11">
        <v>44788</v>
      </c>
      <c r="D82" s="12">
        <v>0.81319444444444444</v>
      </c>
      <c r="E82">
        <v>4</v>
      </c>
      <c r="F82">
        <v>2</v>
      </c>
      <c r="G82" t="s">
        <v>27</v>
      </c>
      <c r="H82" t="s">
        <v>13</v>
      </c>
      <c r="I82" t="s">
        <v>24</v>
      </c>
      <c r="J82" t="s">
        <v>72</v>
      </c>
      <c r="K82" t="s">
        <v>73</v>
      </c>
      <c r="L82" t="s">
        <v>81</v>
      </c>
      <c r="M82" t="s">
        <v>82</v>
      </c>
    </row>
    <row r="83" spans="1:13" x14ac:dyDescent="0.25">
      <c r="A83">
        <v>9000060</v>
      </c>
      <c r="B83">
        <v>1234525</v>
      </c>
      <c r="C83" s="11">
        <v>44784</v>
      </c>
      <c r="D83" s="12">
        <v>0.50277777777777777</v>
      </c>
      <c r="E83">
        <v>8</v>
      </c>
      <c r="F83">
        <v>3</v>
      </c>
      <c r="G83" t="s">
        <v>12</v>
      </c>
      <c r="H83" t="s">
        <v>13</v>
      </c>
      <c r="I83" t="s">
        <v>24</v>
      </c>
      <c r="J83" t="s">
        <v>72</v>
      </c>
      <c r="K83" t="s">
        <v>73</v>
      </c>
      <c r="L83" t="s">
        <v>16</v>
      </c>
    </row>
    <row r="84" spans="1:13" x14ac:dyDescent="0.25">
      <c r="A84">
        <v>9000061</v>
      </c>
      <c r="B84">
        <v>1234557</v>
      </c>
      <c r="C84" s="11">
        <v>44787</v>
      </c>
      <c r="D84" s="12">
        <v>0.77569444444444446</v>
      </c>
      <c r="E84">
        <v>2</v>
      </c>
      <c r="F84">
        <v>1</v>
      </c>
      <c r="G84" t="s">
        <v>27</v>
      </c>
      <c r="H84" t="s">
        <v>13</v>
      </c>
      <c r="I84" t="s">
        <v>14</v>
      </c>
      <c r="J84" t="s">
        <v>83</v>
      </c>
      <c r="K84" t="s">
        <v>19</v>
      </c>
      <c r="L84" t="s">
        <v>20</v>
      </c>
      <c r="M84" t="s">
        <v>84</v>
      </c>
    </row>
    <row r="85" spans="1:13" x14ac:dyDescent="0.25">
      <c r="A85">
        <v>9000061</v>
      </c>
      <c r="B85">
        <v>1234596</v>
      </c>
      <c r="C85" s="11">
        <v>44790</v>
      </c>
      <c r="D85" s="12">
        <v>0.73611111111111116</v>
      </c>
      <c r="E85">
        <v>8</v>
      </c>
      <c r="F85">
        <v>3</v>
      </c>
      <c r="G85" t="s">
        <v>12</v>
      </c>
      <c r="H85" t="s">
        <v>23</v>
      </c>
      <c r="I85" t="s">
        <v>14</v>
      </c>
      <c r="J85" t="s">
        <v>83</v>
      </c>
      <c r="K85" t="s">
        <v>85</v>
      </c>
      <c r="L85" t="s">
        <v>16</v>
      </c>
    </row>
    <row r="86" spans="1:13" x14ac:dyDescent="0.25">
      <c r="A86">
        <v>9000062</v>
      </c>
      <c r="B86">
        <v>1234640</v>
      </c>
      <c r="C86" s="11">
        <v>44795</v>
      </c>
      <c r="D86" s="12">
        <v>0.60347222222222219</v>
      </c>
      <c r="E86">
        <v>10</v>
      </c>
      <c r="F86">
        <v>5</v>
      </c>
      <c r="G86" t="s">
        <v>12</v>
      </c>
      <c r="H86" t="s">
        <v>13</v>
      </c>
      <c r="I86" t="s">
        <v>14</v>
      </c>
      <c r="J86" t="s">
        <v>83</v>
      </c>
      <c r="K86" t="s">
        <v>85</v>
      </c>
      <c r="L86" t="s">
        <v>16</v>
      </c>
      <c r="M86" t="s">
        <v>86</v>
      </c>
    </row>
    <row r="87" spans="1:13" x14ac:dyDescent="0.25">
      <c r="A87">
        <v>9000063</v>
      </c>
      <c r="B87">
        <v>1234575</v>
      </c>
      <c r="C87" s="11">
        <v>44788</v>
      </c>
      <c r="D87" s="12">
        <v>0.87152777777777779</v>
      </c>
      <c r="E87">
        <v>10</v>
      </c>
      <c r="F87">
        <v>5</v>
      </c>
      <c r="G87" t="s">
        <v>12</v>
      </c>
      <c r="H87" t="s">
        <v>13</v>
      </c>
      <c r="I87" t="s">
        <v>14</v>
      </c>
      <c r="J87" t="s">
        <v>83</v>
      </c>
      <c r="K87" t="s">
        <v>85</v>
      </c>
      <c r="L87" t="s">
        <v>16</v>
      </c>
      <c r="M87" t="s">
        <v>87</v>
      </c>
    </row>
    <row r="88" spans="1:13" x14ac:dyDescent="0.25">
      <c r="A88">
        <v>9000064</v>
      </c>
      <c r="B88">
        <v>1234520</v>
      </c>
      <c r="C88" s="11">
        <v>44783</v>
      </c>
      <c r="D88" s="12">
        <v>0.79722222222222228</v>
      </c>
      <c r="E88">
        <v>10</v>
      </c>
      <c r="F88">
        <v>5</v>
      </c>
      <c r="G88" t="s">
        <v>12</v>
      </c>
      <c r="H88" t="s">
        <v>13</v>
      </c>
      <c r="I88" t="s">
        <v>14</v>
      </c>
      <c r="J88" t="s">
        <v>83</v>
      </c>
      <c r="K88" t="s">
        <v>85</v>
      </c>
      <c r="L88" t="s">
        <v>16</v>
      </c>
      <c r="M88" t="s">
        <v>88</v>
      </c>
    </row>
    <row r="89" spans="1:13" x14ac:dyDescent="0.25">
      <c r="A89">
        <v>9000065</v>
      </c>
      <c r="B89">
        <v>1234586</v>
      </c>
      <c r="C89" s="11">
        <v>44790</v>
      </c>
      <c r="D89" s="12">
        <v>0.35833333333333334</v>
      </c>
      <c r="E89">
        <v>10</v>
      </c>
      <c r="F89">
        <v>5</v>
      </c>
      <c r="G89" t="s">
        <v>12</v>
      </c>
      <c r="H89" t="s">
        <v>13</v>
      </c>
      <c r="I89" t="s">
        <v>14</v>
      </c>
      <c r="J89" t="s">
        <v>83</v>
      </c>
      <c r="K89" t="s">
        <v>85</v>
      </c>
      <c r="L89" t="s">
        <v>16</v>
      </c>
      <c r="M89" t="s">
        <v>89</v>
      </c>
    </row>
    <row r="90" spans="1:13" x14ac:dyDescent="0.25">
      <c r="A90">
        <v>9000066</v>
      </c>
      <c r="B90">
        <v>1234583</v>
      </c>
      <c r="C90" s="11">
        <v>44789</v>
      </c>
      <c r="D90" s="12">
        <v>0.85277777777777775</v>
      </c>
      <c r="E90">
        <v>10</v>
      </c>
      <c r="F90">
        <v>5</v>
      </c>
      <c r="G90" t="s">
        <v>12</v>
      </c>
      <c r="H90" t="s">
        <v>13</v>
      </c>
      <c r="I90" t="s">
        <v>14</v>
      </c>
      <c r="J90" t="s">
        <v>83</v>
      </c>
      <c r="K90" t="s">
        <v>85</v>
      </c>
      <c r="L90" t="s">
        <v>16</v>
      </c>
      <c r="M90" t="s">
        <v>90</v>
      </c>
    </row>
    <row r="91" spans="1:13" x14ac:dyDescent="0.25">
      <c r="A91">
        <v>9000067</v>
      </c>
      <c r="B91">
        <v>1234580</v>
      </c>
      <c r="C91" s="11">
        <v>44789</v>
      </c>
      <c r="D91" s="12">
        <v>0.68125000000000002</v>
      </c>
      <c r="E91">
        <v>10</v>
      </c>
      <c r="F91">
        <v>5</v>
      </c>
      <c r="G91" t="s">
        <v>12</v>
      </c>
      <c r="H91" t="s">
        <v>13</v>
      </c>
      <c r="I91" t="s">
        <v>24</v>
      </c>
      <c r="J91" t="s">
        <v>83</v>
      </c>
      <c r="K91" t="s">
        <v>85</v>
      </c>
      <c r="L91" t="s">
        <v>16</v>
      </c>
      <c r="M91" t="s">
        <v>91</v>
      </c>
    </row>
    <row r="92" spans="1:13" x14ac:dyDescent="0.25">
      <c r="A92">
        <v>9000068</v>
      </c>
      <c r="B92">
        <v>1234562</v>
      </c>
      <c r="C92" s="11">
        <v>44788</v>
      </c>
      <c r="D92" s="12">
        <v>0.32569444444444445</v>
      </c>
      <c r="E92">
        <v>3</v>
      </c>
      <c r="F92">
        <v>2</v>
      </c>
      <c r="G92" t="s">
        <v>18</v>
      </c>
      <c r="H92" t="s">
        <v>13</v>
      </c>
      <c r="I92" t="s">
        <v>14</v>
      </c>
      <c r="J92" t="s">
        <v>72</v>
      </c>
      <c r="K92" t="s">
        <v>73</v>
      </c>
      <c r="L92" t="s">
        <v>81</v>
      </c>
      <c r="M92" t="s">
        <v>92</v>
      </c>
    </row>
    <row r="93" spans="1:13" x14ac:dyDescent="0.25">
      <c r="A93">
        <v>9000069</v>
      </c>
      <c r="B93">
        <v>1234532</v>
      </c>
      <c r="C93" s="11">
        <v>44785</v>
      </c>
      <c r="D93" s="12">
        <v>0.57638888888888884</v>
      </c>
      <c r="E93">
        <v>1</v>
      </c>
      <c r="F93">
        <v>2</v>
      </c>
      <c r="G93" t="s">
        <v>18</v>
      </c>
      <c r="H93" t="s">
        <v>13</v>
      </c>
      <c r="I93" t="s">
        <v>14</v>
      </c>
      <c r="J93" t="s">
        <v>72</v>
      </c>
      <c r="K93" t="s">
        <v>73</v>
      </c>
      <c r="L93" t="s">
        <v>16</v>
      </c>
      <c r="M93" t="s">
        <v>93</v>
      </c>
    </row>
    <row r="94" spans="1:13" x14ac:dyDescent="0.25">
      <c r="A94">
        <v>9000070</v>
      </c>
      <c r="B94">
        <v>1234505</v>
      </c>
      <c r="C94" s="11">
        <v>44783</v>
      </c>
      <c r="D94" s="12">
        <v>0.35416666666666669</v>
      </c>
      <c r="E94">
        <v>8</v>
      </c>
      <c r="F94">
        <v>3</v>
      </c>
      <c r="G94" t="s">
        <v>12</v>
      </c>
      <c r="H94" t="s">
        <v>13</v>
      </c>
      <c r="I94" t="s">
        <v>24</v>
      </c>
      <c r="J94" t="s">
        <v>94</v>
      </c>
      <c r="K94" t="s">
        <v>95</v>
      </c>
      <c r="L94" t="s">
        <v>20</v>
      </c>
    </row>
    <row r="95" spans="1:13" x14ac:dyDescent="0.25">
      <c r="A95">
        <v>9000070</v>
      </c>
      <c r="B95">
        <v>1234618</v>
      </c>
      <c r="C95" s="11">
        <v>44791</v>
      </c>
      <c r="D95" s="12">
        <v>0.62847222222222221</v>
      </c>
      <c r="E95">
        <v>6</v>
      </c>
      <c r="F95">
        <v>2</v>
      </c>
      <c r="G95" t="s">
        <v>12</v>
      </c>
      <c r="H95" t="s">
        <v>13</v>
      </c>
      <c r="I95" t="s">
        <v>24</v>
      </c>
      <c r="J95" t="s">
        <v>94</v>
      </c>
      <c r="K95" t="s">
        <v>95</v>
      </c>
      <c r="L95" t="s">
        <v>20</v>
      </c>
      <c r="M95" t="s">
        <v>96</v>
      </c>
    </row>
    <row r="96" spans="1:13" x14ac:dyDescent="0.25">
      <c r="A96">
        <v>9000071</v>
      </c>
      <c r="B96">
        <v>1234552</v>
      </c>
      <c r="C96" s="11">
        <v>44786</v>
      </c>
      <c r="D96" s="12">
        <v>0.86944444444444446</v>
      </c>
      <c r="E96">
        <v>8</v>
      </c>
      <c r="F96">
        <v>3</v>
      </c>
      <c r="G96" t="s">
        <v>12</v>
      </c>
      <c r="H96" t="s">
        <v>13</v>
      </c>
      <c r="I96" t="s">
        <v>24</v>
      </c>
      <c r="J96" t="s">
        <v>94</v>
      </c>
      <c r="K96" t="s">
        <v>95</v>
      </c>
      <c r="L96" t="s">
        <v>20</v>
      </c>
      <c r="M96" t="s">
        <v>97</v>
      </c>
    </row>
    <row r="97" spans="1:13" x14ac:dyDescent="0.25">
      <c r="A97">
        <v>9000071</v>
      </c>
      <c r="B97">
        <v>1234582</v>
      </c>
      <c r="C97" s="11">
        <v>44789</v>
      </c>
      <c r="D97" s="12">
        <v>0.84444444444444444</v>
      </c>
      <c r="E97">
        <v>7</v>
      </c>
      <c r="F97">
        <v>3</v>
      </c>
      <c r="G97" t="s">
        <v>12</v>
      </c>
      <c r="H97" t="s">
        <v>23</v>
      </c>
      <c r="I97" t="s">
        <v>24</v>
      </c>
      <c r="J97" t="s">
        <v>94</v>
      </c>
      <c r="K97" t="s">
        <v>95</v>
      </c>
      <c r="L97" t="s">
        <v>20</v>
      </c>
      <c r="M97" t="s">
        <v>98</v>
      </c>
    </row>
    <row r="98" spans="1:13" x14ac:dyDescent="0.25">
      <c r="A98">
        <v>9000072</v>
      </c>
      <c r="B98">
        <v>1234535</v>
      </c>
      <c r="C98" s="11">
        <v>44785</v>
      </c>
      <c r="D98" s="12">
        <v>0.6118055555555556</v>
      </c>
      <c r="E98">
        <v>8</v>
      </c>
      <c r="F98">
        <v>4</v>
      </c>
      <c r="G98" t="s">
        <v>12</v>
      </c>
      <c r="H98" t="s">
        <v>13</v>
      </c>
      <c r="I98" t="s">
        <v>24</v>
      </c>
      <c r="J98" t="s">
        <v>94</v>
      </c>
      <c r="K98" t="s">
        <v>95</v>
      </c>
      <c r="L98" t="s">
        <v>20</v>
      </c>
      <c r="M98" t="s">
        <v>99</v>
      </c>
    </row>
    <row r="99" spans="1:13" x14ac:dyDescent="0.25">
      <c r="A99">
        <v>9000072</v>
      </c>
      <c r="B99">
        <v>1234611</v>
      </c>
      <c r="C99" s="11">
        <v>44792</v>
      </c>
      <c r="D99" s="12">
        <v>0.83958333333333335</v>
      </c>
      <c r="E99">
        <v>5</v>
      </c>
      <c r="F99">
        <v>3</v>
      </c>
      <c r="G99" t="s">
        <v>12</v>
      </c>
      <c r="H99" t="s">
        <v>23</v>
      </c>
      <c r="I99" t="s">
        <v>24</v>
      </c>
      <c r="J99" t="s">
        <v>94</v>
      </c>
      <c r="K99" t="s">
        <v>95</v>
      </c>
      <c r="L99" t="s">
        <v>20</v>
      </c>
      <c r="M99" t="s">
        <v>100</v>
      </c>
    </row>
    <row r="100" spans="1:13" x14ac:dyDescent="0.25">
      <c r="A100">
        <v>9000073</v>
      </c>
      <c r="B100">
        <v>1234585</v>
      </c>
      <c r="C100" s="11">
        <v>44790</v>
      </c>
      <c r="D100" s="12">
        <v>0.33680555555555558</v>
      </c>
      <c r="E100">
        <v>7</v>
      </c>
      <c r="F100">
        <v>3</v>
      </c>
      <c r="G100" t="s">
        <v>12</v>
      </c>
      <c r="H100" t="s">
        <v>23</v>
      </c>
      <c r="I100" t="s">
        <v>24</v>
      </c>
      <c r="J100" t="s">
        <v>94</v>
      </c>
      <c r="K100" t="s">
        <v>95</v>
      </c>
      <c r="L100" t="s">
        <v>20</v>
      </c>
      <c r="M100" t="s">
        <v>101</v>
      </c>
    </row>
    <row r="101" spans="1:13" x14ac:dyDescent="0.25">
      <c r="A101">
        <v>9000073</v>
      </c>
      <c r="B101">
        <v>1234547</v>
      </c>
      <c r="C101" s="11">
        <v>44786</v>
      </c>
      <c r="D101" s="12">
        <v>0.71111111111111114</v>
      </c>
      <c r="E101">
        <v>8</v>
      </c>
      <c r="F101">
        <v>3</v>
      </c>
      <c r="G101" t="s">
        <v>12</v>
      </c>
      <c r="H101" t="s">
        <v>13</v>
      </c>
      <c r="I101" t="s">
        <v>24</v>
      </c>
      <c r="J101" t="s">
        <v>94</v>
      </c>
      <c r="K101" t="s">
        <v>95</v>
      </c>
      <c r="L101" t="s">
        <v>20</v>
      </c>
    </row>
    <row r="102" spans="1:13" x14ac:dyDescent="0.25">
      <c r="A102">
        <v>9000074</v>
      </c>
      <c r="B102">
        <v>1234621</v>
      </c>
      <c r="C102" s="11">
        <v>44793</v>
      </c>
      <c r="D102" s="12">
        <v>0.74583333333333335</v>
      </c>
      <c r="E102">
        <v>8</v>
      </c>
      <c r="F102">
        <v>4</v>
      </c>
      <c r="G102" t="s">
        <v>12</v>
      </c>
      <c r="H102" t="s">
        <v>13</v>
      </c>
      <c r="I102" t="s">
        <v>24</v>
      </c>
      <c r="J102" t="s">
        <v>94</v>
      </c>
      <c r="K102" t="s">
        <v>95</v>
      </c>
      <c r="L102" t="s">
        <v>20</v>
      </c>
    </row>
    <row r="103" spans="1:13" x14ac:dyDescent="0.25">
      <c r="A103">
        <v>9000074</v>
      </c>
      <c r="B103">
        <v>1234639</v>
      </c>
      <c r="C103" s="11">
        <v>44795</v>
      </c>
      <c r="D103" s="12">
        <v>0.52638888888888891</v>
      </c>
      <c r="E103">
        <v>7</v>
      </c>
      <c r="F103">
        <v>2</v>
      </c>
      <c r="G103" t="s">
        <v>12</v>
      </c>
      <c r="H103" t="s">
        <v>13</v>
      </c>
      <c r="I103" t="s">
        <v>24</v>
      </c>
      <c r="J103" t="s">
        <v>94</v>
      </c>
      <c r="K103" t="s">
        <v>95</v>
      </c>
      <c r="L103" t="s">
        <v>20</v>
      </c>
      <c r="M103" t="s">
        <v>102</v>
      </c>
    </row>
    <row r="104" spans="1:13" x14ac:dyDescent="0.25">
      <c r="A104">
        <v>9000075</v>
      </c>
      <c r="B104">
        <v>1234544</v>
      </c>
      <c r="C104" s="11">
        <v>44786</v>
      </c>
      <c r="D104" s="12">
        <v>0.3659722222222222</v>
      </c>
      <c r="E104">
        <v>8</v>
      </c>
      <c r="F104">
        <v>4</v>
      </c>
      <c r="G104" t="s">
        <v>12</v>
      </c>
      <c r="H104" t="s">
        <v>13</v>
      </c>
      <c r="I104" t="s">
        <v>24</v>
      </c>
      <c r="J104" t="s">
        <v>94</v>
      </c>
      <c r="K104" t="s">
        <v>95</v>
      </c>
      <c r="L104" t="s">
        <v>20</v>
      </c>
    </row>
    <row r="105" spans="1:13" x14ac:dyDescent="0.25">
      <c r="A105">
        <v>9000075</v>
      </c>
      <c r="B105">
        <v>1234601</v>
      </c>
      <c r="C105" s="11">
        <v>44791</v>
      </c>
      <c r="D105" s="12">
        <v>0.51458333333333328</v>
      </c>
      <c r="E105">
        <v>6</v>
      </c>
      <c r="F105">
        <v>3</v>
      </c>
      <c r="G105" t="s">
        <v>12</v>
      </c>
      <c r="H105" t="s">
        <v>23</v>
      </c>
      <c r="I105" t="s">
        <v>24</v>
      </c>
      <c r="J105" t="s">
        <v>94</v>
      </c>
      <c r="K105" t="s">
        <v>95</v>
      </c>
      <c r="L105" t="s">
        <v>20</v>
      </c>
      <c r="M105" t="s">
        <v>103</v>
      </c>
    </row>
    <row r="106" spans="1:13" x14ac:dyDescent="0.25">
      <c r="A106">
        <v>9000076</v>
      </c>
      <c r="B106">
        <v>1234543</v>
      </c>
      <c r="C106" s="11">
        <v>44786</v>
      </c>
      <c r="D106" s="12">
        <v>0.36527777777777776</v>
      </c>
      <c r="E106">
        <v>8</v>
      </c>
      <c r="F106">
        <v>3</v>
      </c>
      <c r="G106" t="s">
        <v>12</v>
      </c>
      <c r="H106" t="s">
        <v>13</v>
      </c>
      <c r="I106" t="s">
        <v>24</v>
      </c>
      <c r="J106" t="s">
        <v>94</v>
      </c>
      <c r="K106" t="s">
        <v>95</v>
      </c>
      <c r="L106" t="s">
        <v>20</v>
      </c>
    </row>
    <row r="107" spans="1:13" x14ac:dyDescent="0.25">
      <c r="A107">
        <v>9000076</v>
      </c>
      <c r="B107">
        <v>1234633</v>
      </c>
      <c r="C107" s="11">
        <v>44795</v>
      </c>
      <c r="D107" s="12">
        <v>0.31944444444444442</v>
      </c>
      <c r="E107">
        <v>7</v>
      </c>
      <c r="F107">
        <v>4</v>
      </c>
      <c r="G107" t="s">
        <v>12</v>
      </c>
      <c r="H107" t="s">
        <v>23</v>
      </c>
      <c r="I107" t="s">
        <v>24</v>
      </c>
      <c r="J107" t="s">
        <v>94</v>
      </c>
      <c r="K107" t="s">
        <v>95</v>
      </c>
      <c r="L107" t="s">
        <v>20</v>
      </c>
      <c r="M107" t="s">
        <v>104</v>
      </c>
    </row>
    <row r="108" spans="1:13" x14ac:dyDescent="0.25">
      <c r="A108">
        <v>9000077</v>
      </c>
      <c r="B108">
        <v>1234574</v>
      </c>
      <c r="C108" s="11">
        <v>44788</v>
      </c>
      <c r="D108" s="12">
        <v>0.83333333333333337</v>
      </c>
      <c r="E108">
        <v>4</v>
      </c>
      <c r="F108">
        <v>2</v>
      </c>
      <c r="G108" t="s">
        <v>12</v>
      </c>
      <c r="H108" t="s">
        <v>13</v>
      </c>
      <c r="I108" t="s">
        <v>24</v>
      </c>
      <c r="J108" t="s">
        <v>15</v>
      </c>
      <c r="K108" t="s">
        <v>95</v>
      </c>
      <c r="L108" t="s">
        <v>20</v>
      </c>
      <c r="M108" t="s">
        <v>105</v>
      </c>
    </row>
    <row r="109" spans="1:13" x14ac:dyDescent="0.25">
      <c r="A109">
        <v>9000077</v>
      </c>
      <c r="B109">
        <v>1234548</v>
      </c>
      <c r="C109" s="11">
        <v>44786</v>
      </c>
      <c r="D109" s="12">
        <v>0.7368055555555556</v>
      </c>
      <c r="E109">
        <v>8</v>
      </c>
      <c r="F109">
        <v>4</v>
      </c>
      <c r="G109" t="s">
        <v>12</v>
      </c>
      <c r="H109" t="s">
        <v>13</v>
      </c>
      <c r="I109" t="s">
        <v>24</v>
      </c>
      <c r="J109" t="s">
        <v>94</v>
      </c>
      <c r="K109" t="s">
        <v>95</v>
      </c>
      <c r="L109" t="s">
        <v>20</v>
      </c>
      <c r="M109" t="s">
        <v>106</v>
      </c>
    </row>
    <row r="110" spans="1:13" x14ac:dyDescent="0.25">
      <c r="A110">
        <v>9000078</v>
      </c>
      <c r="B110">
        <v>1234541</v>
      </c>
      <c r="C110" s="11">
        <v>44785</v>
      </c>
      <c r="D110" s="12">
        <v>0.81527777777777777</v>
      </c>
      <c r="E110">
        <v>8</v>
      </c>
      <c r="F110">
        <v>2</v>
      </c>
      <c r="G110" t="s">
        <v>12</v>
      </c>
      <c r="H110" t="s">
        <v>13</v>
      </c>
      <c r="I110" t="s">
        <v>24</v>
      </c>
      <c r="J110" t="s">
        <v>94</v>
      </c>
      <c r="K110" t="s">
        <v>95</v>
      </c>
      <c r="L110" t="s">
        <v>20</v>
      </c>
      <c r="M110" t="s">
        <v>107</v>
      </c>
    </row>
    <row r="111" spans="1:13" x14ac:dyDescent="0.25">
      <c r="A111">
        <v>9000078</v>
      </c>
      <c r="B111">
        <v>1234558</v>
      </c>
      <c r="C111" s="11">
        <v>44787</v>
      </c>
      <c r="D111" s="12">
        <v>0.78263888888888888</v>
      </c>
      <c r="E111">
        <v>5</v>
      </c>
      <c r="F111">
        <v>2</v>
      </c>
      <c r="G111" t="s">
        <v>12</v>
      </c>
      <c r="H111" t="s">
        <v>13</v>
      </c>
      <c r="I111" t="s">
        <v>24</v>
      </c>
      <c r="J111" t="s">
        <v>15</v>
      </c>
      <c r="K111" t="s">
        <v>95</v>
      </c>
      <c r="L111" t="s">
        <v>20</v>
      </c>
      <c r="M111" t="s">
        <v>108</v>
      </c>
    </row>
    <row r="112" spans="1:13" x14ac:dyDescent="0.25">
      <c r="A112">
        <v>9000079</v>
      </c>
      <c r="B112">
        <v>1234606</v>
      </c>
      <c r="C112" s="11">
        <v>44791</v>
      </c>
      <c r="D112" s="12">
        <v>0.81180555555555556</v>
      </c>
      <c r="E112">
        <v>8</v>
      </c>
      <c r="F112">
        <v>2</v>
      </c>
      <c r="G112" t="s">
        <v>12</v>
      </c>
      <c r="H112" t="s">
        <v>13</v>
      </c>
      <c r="I112" t="s">
        <v>24</v>
      </c>
      <c r="J112" t="s">
        <v>94</v>
      </c>
      <c r="K112" t="s">
        <v>95</v>
      </c>
      <c r="L112" t="s">
        <v>20</v>
      </c>
    </row>
    <row r="113" spans="1:13" x14ac:dyDescent="0.25">
      <c r="A113">
        <v>9000079</v>
      </c>
      <c r="B113">
        <v>1234616</v>
      </c>
      <c r="C113" s="11">
        <v>44793</v>
      </c>
      <c r="D113" s="12">
        <v>0.40277777777777779</v>
      </c>
      <c r="E113">
        <v>3</v>
      </c>
      <c r="F113">
        <v>2</v>
      </c>
      <c r="G113" t="s">
        <v>12</v>
      </c>
      <c r="H113" t="s">
        <v>13</v>
      </c>
      <c r="I113" t="s">
        <v>24</v>
      </c>
      <c r="J113" t="s">
        <v>15</v>
      </c>
      <c r="K113" t="s">
        <v>15</v>
      </c>
      <c r="L113" t="s">
        <v>16</v>
      </c>
    </row>
    <row r="114" spans="1:13" x14ac:dyDescent="0.25">
      <c r="A114">
        <v>9000080</v>
      </c>
      <c r="B114">
        <v>1234576</v>
      </c>
      <c r="C114" s="11">
        <v>44789</v>
      </c>
      <c r="D114" s="12">
        <v>0.30208333333333331</v>
      </c>
      <c r="E114">
        <v>9</v>
      </c>
      <c r="F114">
        <v>2</v>
      </c>
      <c r="G114" t="s">
        <v>12</v>
      </c>
      <c r="H114" t="s">
        <v>13</v>
      </c>
      <c r="I114" t="s">
        <v>24</v>
      </c>
      <c r="J114" t="s">
        <v>109</v>
      </c>
      <c r="K114" t="s">
        <v>95</v>
      </c>
      <c r="L114" t="s">
        <v>20</v>
      </c>
      <c r="M114" t="s">
        <v>110</v>
      </c>
    </row>
    <row r="115" spans="1:13" x14ac:dyDescent="0.25">
      <c r="A115">
        <v>9000080</v>
      </c>
      <c r="B115">
        <v>1234501</v>
      </c>
      <c r="C115" s="11">
        <v>44783</v>
      </c>
      <c r="D115" s="12">
        <v>0.30208333333333331</v>
      </c>
      <c r="E115">
        <v>10</v>
      </c>
      <c r="F115">
        <v>5</v>
      </c>
      <c r="G115" t="s">
        <v>12</v>
      </c>
      <c r="H115" t="s">
        <v>23</v>
      </c>
      <c r="I115" t="s">
        <v>24</v>
      </c>
      <c r="J115" t="s">
        <v>109</v>
      </c>
      <c r="K115" t="s">
        <v>95</v>
      </c>
      <c r="L115" t="s">
        <v>20</v>
      </c>
      <c r="M115" t="s">
        <v>111</v>
      </c>
    </row>
    <row r="116" spans="1:13" x14ac:dyDescent="0.25">
      <c r="A116">
        <v>9000081</v>
      </c>
      <c r="B116">
        <v>1234513</v>
      </c>
      <c r="C116" s="11">
        <v>44783</v>
      </c>
      <c r="D116" s="12">
        <v>0.625</v>
      </c>
      <c r="E116">
        <v>10</v>
      </c>
      <c r="F116">
        <v>5</v>
      </c>
      <c r="G116" t="s">
        <v>12</v>
      </c>
      <c r="H116" t="s">
        <v>23</v>
      </c>
      <c r="I116" t="s">
        <v>24</v>
      </c>
      <c r="J116" t="s">
        <v>109</v>
      </c>
      <c r="K116" t="s">
        <v>95</v>
      </c>
      <c r="L116" t="s">
        <v>20</v>
      </c>
      <c r="M116" t="s">
        <v>112</v>
      </c>
    </row>
    <row r="117" spans="1:13" x14ac:dyDescent="0.25">
      <c r="A117">
        <v>9000081</v>
      </c>
      <c r="B117">
        <v>1234592</v>
      </c>
      <c r="C117" s="11">
        <v>44790</v>
      </c>
      <c r="D117" s="12">
        <v>0.56041666666666667</v>
      </c>
      <c r="E117">
        <v>8</v>
      </c>
      <c r="F117">
        <v>3</v>
      </c>
      <c r="G117" t="s">
        <v>12</v>
      </c>
      <c r="H117" t="s">
        <v>23</v>
      </c>
      <c r="I117" t="s">
        <v>24</v>
      </c>
      <c r="J117" t="s">
        <v>109</v>
      </c>
      <c r="K117" t="s">
        <v>95</v>
      </c>
      <c r="L117" t="s">
        <v>20</v>
      </c>
      <c r="M117" t="s">
        <v>113</v>
      </c>
    </row>
    <row r="118" spans="1:13" x14ac:dyDescent="0.25">
      <c r="A118">
        <v>9000082</v>
      </c>
      <c r="B118">
        <v>1234540</v>
      </c>
      <c r="C118" s="11">
        <v>44785</v>
      </c>
      <c r="D118" s="12">
        <v>0.76388888888888884</v>
      </c>
      <c r="E118">
        <v>8</v>
      </c>
      <c r="F118">
        <v>5</v>
      </c>
      <c r="G118" t="s">
        <v>12</v>
      </c>
      <c r="H118" t="s">
        <v>23</v>
      </c>
      <c r="I118" t="s">
        <v>24</v>
      </c>
      <c r="J118" t="s">
        <v>109</v>
      </c>
      <c r="K118" t="s">
        <v>95</v>
      </c>
      <c r="L118" t="s">
        <v>20</v>
      </c>
      <c r="M118" t="s">
        <v>114</v>
      </c>
    </row>
    <row r="119" spans="1:13" x14ac:dyDescent="0.25">
      <c r="A119">
        <v>9000082</v>
      </c>
      <c r="B119">
        <v>1234591</v>
      </c>
      <c r="C119" s="11">
        <v>44790</v>
      </c>
      <c r="D119" s="12">
        <v>0.47083333333333333</v>
      </c>
      <c r="E119">
        <v>7</v>
      </c>
      <c r="F119">
        <v>4</v>
      </c>
      <c r="G119" t="s">
        <v>12</v>
      </c>
      <c r="H119" t="s">
        <v>13</v>
      </c>
      <c r="I119" t="s">
        <v>24</v>
      </c>
      <c r="J119" t="s">
        <v>109</v>
      </c>
      <c r="K119" t="s">
        <v>95</v>
      </c>
      <c r="L119" t="s">
        <v>20</v>
      </c>
      <c r="M119" t="s">
        <v>115</v>
      </c>
    </row>
    <row r="120" spans="1:13" x14ac:dyDescent="0.25">
      <c r="A120">
        <v>9000083</v>
      </c>
      <c r="B120">
        <v>1234534</v>
      </c>
      <c r="C120" s="11">
        <v>44785</v>
      </c>
      <c r="D120" s="12">
        <v>0.60138888888888886</v>
      </c>
      <c r="E120">
        <v>7</v>
      </c>
      <c r="F120">
        <v>4</v>
      </c>
      <c r="G120" t="s">
        <v>12</v>
      </c>
      <c r="H120" t="s">
        <v>23</v>
      </c>
      <c r="I120" t="s">
        <v>24</v>
      </c>
      <c r="J120" t="s">
        <v>109</v>
      </c>
      <c r="K120" t="s">
        <v>95</v>
      </c>
      <c r="L120" t="s">
        <v>20</v>
      </c>
    </row>
    <row r="121" spans="1:13" x14ac:dyDescent="0.25">
      <c r="A121">
        <v>9000083</v>
      </c>
      <c r="B121">
        <v>1234519</v>
      </c>
      <c r="C121" s="11">
        <v>44783</v>
      </c>
      <c r="D121" s="12">
        <v>0.7895833333333333</v>
      </c>
      <c r="E121">
        <v>10</v>
      </c>
      <c r="F121">
        <v>5</v>
      </c>
      <c r="G121" t="s">
        <v>12</v>
      </c>
      <c r="H121" t="s">
        <v>23</v>
      </c>
      <c r="I121" t="s">
        <v>24</v>
      </c>
      <c r="J121" t="s">
        <v>109</v>
      </c>
      <c r="K121" t="s">
        <v>95</v>
      </c>
      <c r="L121" t="s">
        <v>20</v>
      </c>
    </row>
    <row r="122" spans="1:13" x14ac:dyDescent="0.25">
      <c r="A122">
        <v>9000084</v>
      </c>
      <c r="B122">
        <v>1234517</v>
      </c>
      <c r="C122" s="11">
        <v>44783</v>
      </c>
      <c r="D122" s="12">
        <v>0.72361111111111109</v>
      </c>
      <c r="E122">
        <v>10</v>
      </c>
      <c r="F122">
        <v>3</v>
      </c>
      <c r="G122" t="s">
        <v>12</v>
      </c>
      <c r="H122" t="s">
        <v>23</v>
      </c>
      <c r="I122" t="s">
        <v>24</v>
      </c>
      <c r="J122" t="s">
        <v>109</v>
      </c>
      <c r="K122" t="s">
        <v>95</v>
      </c>
      <c r="L122" t="s">
        <v>20</v>
      </c>
      <c r="M122" t="s">
        <v>116</v>
      </c>
    </row>
    <row r="123" spans="1:13" x14ac:dyDescent="0.25">
      <c r="A123">
        <v>9000084</v>
      </c>
      <c r="B123">
        <v>1234530</v>
      </c>
      <c r="C123" s="11">
        <v>44784</v>
      </c>
      <c r="D123" s="12">
        <v>0.61388888888888893</v>
      </c>
      <c r="E123">
        <v>8</v>
      </c>
      <c r="F123">
        <v>2</v>
      </c>
      <c r="G123" t="s">
        <v>12</v>
      </c>
      <c r="H123" t="s">
        <v>13</v>
      </c>
      <c r="I123" t="s">
        <v>24</v>
      </c>
      <c r="J123" t="s">
        <v>109</v>
      </c>
      <c r="K123" t="s">
        <v>95</v>
      </c>
      <c r="L123" t="s">
        <v>20</v>
      </c>
      <c r="M123" t="s">
        <v>117</v>
      </c>
    </row>
    <row r="124" spans="1:13" x14ac:dyDescent="0.25">
      <c r="A124">
        <v>9000085</v>
      </c>
      <c r="B124">
        <v>1234536</v>
      </c>
      <c r="C124" s="11">
        <v>44785</v>
      </c>
      <c r="D124" s="12">
        <v>0.63124999999999998</v>
      </c>
      <c r="E124">
        <v>9</v>
      </c>
      <c r="F124">
        <v>2</v>
      </c>
      <c r="G124" t="s">
        <v>12</v>
      </c>
      <c r="H124" t="s">
        <v>13</v>
      </c>
      <c r="I124" t="s">
        <v>24</v>
      </c>
      <c r="J124" t="s">
        <v>109</v>
      </c>
      <c r="K124" t="s">
        <v>95</v>
      </c>
      <c r="L124" t="s">
        <v>20</v>
      </c>
      <c r="M124" t="s">
        <v>118</v>
      </c>
    </row>
    <row r="125" spans="1:13" x14ac:dyDescent="0.25">
      <c r="A125">
        <v>9000085</v>
      </c>
      <c r="B125">
        <v>1234510</v>
      </c>
      <c r="C125" s="11">
        <v>44783</v>
      </c>
      <c r="D125" s="12">
        <v>0.54722222222222228</v>
      </c>
      <c r="E125">
        <v>10</v>
      </c>
      <c r="F125">
        <v>3</v>
      </c>
      <c r="G125" t="s">
        <v>12</v>
      </c>
      <c r="H125" t="s">
        <v>23</v>
      </c>
      <c r="I125" t="s">
        <v>24</v>
      </c>
      <c r="J125" t="s">
        <v>109</v>
      </c>
      <c r="K125" t="s">
        <v>95</v>
      </c>
      <c r="L125" t="s">
        <v>20</v>
      </c>
      <c r="M125" t="s">
        <v>119</v>
      </c>
    </row>
    <row r="126" spans="1:13" x14ac:dyDescent="0.25">
      <c r="A126">
        <v>9000086</v>
      </c>
      <c r="B126">
        <v>1234577</v>
      </c>
      <c r="C126" s="11">
        <v>44789</v>
      </c>
      <c r="D126" s="12">
        <v>0.5395833333333333</v>
      </c>
      <c r="E126">
        <v>9</v>
      </c>
      <c r="F126">
        <v>3</v>
      </c>
      <c r="G126" t="s">
        <v>12</v>
      </c>
      <c r="H126" t="s">
        <v>23</v>
      </c>
      <c r="I126" t="s">
        <v>24</v>
      </c>
      <c r="J126" t="s">
        <v>109</v>
      </c>
      <c r="K126" t="s">
        <v>95</v>
      </c>
      <c r="L126" t="s">
        <v>20</v>
      </c>
      <c r="M126" t="s">
        <v>120</v>
      </c>
    </row>
    <row r="127" spans="1:13" x14ac:dyDescent="0.25">
      <c r="A127">
        <v>9000086</v>
      </c>
      <c r="B127">
        <v>1234609</v>
      </c>
      <c r="C127" s="11">
        <v>44792</v>
      </c>
      <c r="D127" s="12">
        <v>0.59791666666666665</v>
      </c>
      <c r="E127">
        <v>8</v>
      </c>
      <c r="F127">
        <v>3</v>
      </c>
      <c r="G127" t="s">
        <v>12</v>
      </c>
      <c r="H127" t="s">
        <v>23</v>
      </c>
      <c r="I127" t="s">
        <v>24</v>
      </c>
      <c r="J127" t="s">
        <v>109</v>
      </c>
      <c r="K127" t="s">
        <v>95</v>
      </c>
      <c r="L127" t="s">
        <v>20</v>
      </c>
    </row>
    <row r="128" spans="1:13" x14ac:dyDescent="0.25">
      <c r="A128">
        <v>9000087</v>
      </c>
      <c r="B128">
        <v>1234608</v>
      </c>
      <c r="C128" s="11">
        <v>44792</v>
      </c>
      <c r="D128" s="12">
        <v>0.43125000000000002</v>
      </c>
      <c r="E128">
        <v>7</v>
      </c>
      <c r="F128">
        <v>4</v>
      </c>
      <c r="G128" t="s">
        <v>12</v>
      </c>
      <c r="H128" t="s">
        <v>23</v>
      </c>
      <c r="I128" t="s">
        <v>24</v>
      </c>
      <c r="J128" t="s">
        <v>109</v>
      </c>
      <c r="K128" t="s">
        <v>95</v>
      </c>
      <c r="L128" t="s">
        <v>20</v>
      </c>
      <c r="M128" t="s">
        <v>121</v>
      </c>
    </row>
    <row r="129" spans="1:13" x14ac:dyDescent="0.25">
      <c r="A129">
        <v>9000087</v>
      </c>
      <c r="B129">
        <v>1234569</v>
      </c>
      <c r="C129" s="11">
        <v>44788</v>
      </c>
      <c r="D129" s="12">
        <v>0.66527777777777775</v>
      </c>
      <c r="E129">
        <v>8</v>
      </c>
      <c r="F129">
        <v>3</v>
      </c>
      <c r="G129" t="s">
        <v>12</v>
      </c>
      <c r="H129" t="s">
        <v>23</v>
      </c>
      <c r="I129" t="s">
        <v>24</v>
      </c>
      <c r="J129" t="s">
        <v>109</v>
      </c>
      <c r="K129" t="s">
        <v>95</v>
      </c>
      <c r="L129" t="s">
        <v>20</v>
      </c>
      <c r="M129" t="s">
        <v>122</v>
      </c>
    </row>
    <row r="130" spans="1:13" x14ac:dyDescent="0.25">
      <c r="A130">
        <v>9000088</v>
      </c>
      <c r="B130">
        <v>1234509</v>
      </c>
      <c r="C130" s="11">
        <v>44783</v>
      </c>
      <c r="D130" s="12">
        <v>0.54374999999999996</v>
      </c>
      <c r="E130">
        <v>9</v>
      </c>
      <c r="F130">
        <v>3</v>
      </c>
      <c r="G130" t="s">
        <v>12</v>
      </c>
      <c r="H130" t="s">
        <v>13</v>
      </c>
      <c r="I130" t="s">
        <v>24</v>
      </c>
      <c r="J130" t="s">
        <v>109</v>
      </c>
      <c r="K130" t="s">
        <v>95</v>
      </c>
      <c r="L130" t="s">
        <v>20</v>
      </c>
      <c r="M130" t="s">
        <v>123</v>
      </c>
    </row>
    <row r="131" spans="1:13" x14ac:dyDescent="0.25">
      <c r="A131">
        <v>9000088</v>
      </c>
      <c r="B131">
        <v>1234549</v>
      </c>
      <c r="C131" s="11">
        <v>44786</v>
      </c>
      <c r="D131" s="12">
        <v>0.81736111111111109</v>
      </c>
      <c r="E131">
        <v>7</v>
      </c>
      <c r="F131">
        <v>4</v>
      </c>
      <c r="G131" t="s">
        <v>12</v>
      </c>
      <c r="H131" t="s">
        <v>23</v>
      </c>
      <c r="I131" t="s">
        <v>24</v>
      </c>
      <c r="J131" t="s">
        <v>109</v>
      </c>
      <c r="K131" t="s">
        <v>95</v>
      </c>
      <c r="L131" t="s">
        <v>20</v>
      </c>
      <c r="M131" t="s">
        <v>124</v>
      </c>
    </row>
    <row r="132" spans="1:13" x14ac:dyDescent="0.25">
      <c r="A132">
        <v>9000089</v>
      </c>
      <c r="B132">
        <v>1234584</v>
      </c>
      <c r="C132" s="11">
        <v>44790</v>
      </c>
      <c r="D132" s="12">
        <v>0.30277777777777776</v>
      </c>
      <c r="E132">
        <v>6</v>
      </c>
      <c r="F132">
        <v>2</v>
      </c>
      <c r="G132" t="s">
        <v>12</v>
      </c>
      <c r="H132" t="s">
        <v>13</v>
      </c>
      <c r="I132" t="s">
        <v>24</v>
      </c>
      <c r="J132" t="s">
        <v>109</v>
      </c>
      <c r="K132" t="s">
        <v>95</v>
      </c>
      <c r="L132" t="s">
        <v>20</v>
      </c>
      <c r="M132" t="s">
        <v>125</v>
      </c>
    </row>
    <row r="133" spans="1:13" x14ac:dyDescent="0.25">
      <c r="A133">
        <v>9000089</v>
      </c>
      <c r="B133">
        <v>1234560</v>
      </c>
      <c r="C133" s="11">
        <v>44788</v>
      </c>
      <c r="D133" s="12">
        <v>0.30138888888888887</v>
      </c>
      <c r="E133">
        <v>9</v>
      </c>
      <c r="F133">
        <v>4</v>
      </c>
      <c r="G133" t="s">
        <v>12</v>
      </c>
      <c r="H133" t="s">
        <v>23</v>
      </c>
      <c r="I133" t="s">
        <v>24</v>
      </c>
      <c r="J133" t="s">
        <v>109</v>
      </c>
      <c r="K133" t="s">
        <v>95</v>
      </c>
      <c r="L133" t="s">
        <v>20</v>
      </c>
      <c r="M133" t="s">
        <v>126</v>
      </c>
    </row>
    <row r="134" spans="1:13" x14ac:dyDescent="0.25">
      <c r="A134">
        <v>9000090</v>
      </c>
      <c r="B134">
        <v>1234528</v>
      </c>
      <c r="C134" s="11">
        <v>44789</v>
      </c>
      <c r="D134" s="12">
        <v>0.50694444444444442</v>
      </c>
      <c r="E134">
        <v>8</v>
      </c>
      <c r="F134">
        <v>3</v>
      </c>
      <c r="G134" t="s">
        <v>12</v>
      </c>
      <c r="H134" t="s">
        <v>23</v>
      </c>
      <c r="I134" t="s">
        <v>24</v>
      </c>
      <c r="J134" t="s">
        <v>109</v>
      </c>
      <c r="K134" t="s">
        <v>28</v>
      </c>
      <c r="L134" t="s">
        <v>16</v>
      </c>
    </row>
    <row r="135" spans="1:13" x14ac:dyDescent="0.25">
      <c r="A135">
        <v>9000090</v>
      </c>
      <c r="B135">
        <v>1234614</v>
      </c>
      <c r="C135" s="11">
        <v>44786</v>
      </c>
      <c r="D135" s="12">
        <v>0.58402777777777781</v>
      </c>
      <c r="E135">
        <v>7</v>
      </c>
      <c r="F135">
        <v>1</v>
      </c>
      <c r="G135" t="s">
        <v>12</v>
      </c>
      <c r="H135" t="s">
        <v>23</v>
      </c>
      <c r="I135" t="s">
        <v>24</v>
      </c>
      <c r="J135" t="s">
        <v>109</v>
      </c>
      <c r="K135" t="s">
        <v>19</v>
      </c>
      <c r="L135" t="s">
        <v>20</v>
      </c>
      <c r="M135" t="s">
        <v>127</v>
      </c>
    </row>
    <row r="136" spans="1:13" x14ac:dyDescent="0.25">
      <c r="A136">
        <v>9000091</v>
      </c>
      <c r="B136">
        <v>1234524</v>
      </c>
      <c r="C136" s="11">
        <v>44786</v>
      </c>
      <c r="D136" s="12">
        <v>0.38819444444444445</v>
      </c>
      <c r="E136">
        <v>2</v>
      </c>
      <c r="F136">
        <v>1</v>
      </c>
      <c r="G136" t="s">
        <v>12</v>
      </c>
      <c r="H136" t="s">
        <v>23</v>
      </c>
      <c r="I136" t="s">
        <v>24</v>
      </c>
      <c r="J136" t="s">
        <v>109</v>
      </c>
      <c r="K136" t="s">
        <v>19</v>
      </c>
      <c r="L136" t="s">
        <v>20</v>
      </c>
      <c r="M136" t="s">
        <v>128</v>
      </c>
    </row>
    <row r="137" spans="1:13" x14ac:dyDescent="0.25">
      <c r="A137">
        <v>9000091</v>
      </c>
      <c r="B137">
        <v>1234554</v>
      </c>
      <c r="C137" s="11">
        <v>44787</v>
      </c>
      <c r="D137" s="12">
        <v>0.60416666666666663</v>
      </c>
      <c r="E137">
        <v>8</v>
      </c>
      <c r="F137">
        <v>3</v>
      </c>
      <c r="G137" t="s">
        <v>12</v>
      </c>
      <c r="H137" t="s">
        <v>23</v>
      </c>
      <c r="I137" t="s">
        <v>24</v>
      </c>
      <c r="J137" t="s">
        <v>109</v>
      </c>
      <c r="K137" t="s">
        <v>28</v>
      </c>
      <c r="L137" t="s">
        <v>81</v>
      </c>
      <c r="M137" t="s">
        <v>129</v>
      </c>
    </row>
    <row r="138" spans="1:13" x14ac:dyDescent="0.25">
      <c r="A138">
        <v>9000092</v>
      </c>
      <c r="B138">
        <v>1234567</v>
      </c>
      <c r="C138" s="11">
        <v>44786</v>
      </c>
      <c r="D138" s="12">
        <v>0.72361111111111109</v>
      </c>
      <c r="E138">
        <v>7</v>
      </c>
      <c r="F138">
        <v>1</v>
      </c>
      <c r="G138" t="s">
        <v>12</v>
      </c>
      <c r="H138" t="s">
        <v>13</v>
      </c>
      <c r="I138" t="s">
        <v>24</v>
      </c>
      <c r="J138" t="s">
        <v>109</v>
      </c>
      <c r="K138" t="s">
        <v>19</v>
      </c>
      <c r="L138" t="s">
        <v>20</v>
      </c>
      <c r="M138" t="s">
        <v>130</v>
      </c>
    </row>
    <row r="139" spans="1:13" x14ac:dyDescent="0.25">
      <c r="A139">
        <v>9000092</v>
      </c>
      <c r="B139">
        <v>1234518</v>
      </c>
      <c r="C139" s="11">
        <v>44790</v>
      </c>
      <c r="D139" s="12">
        <v>0.64861111111111114</v>
      </c>
      <c r="E139">
        <v>9</v>
      </c>
      <c r="F139">
        <v>3</v>
      </c>
      <c r="G139" t="s">
        <v>12</v>
      </c>
      <c r="H139" t="s">
        <v>23</v>
      </c>
      <c r="I139" t="s">
        <v>24</v>
      </c>
      <c r="J139" t="s">
        <v>109</v>
      </c>
      <c r="K139" t="s">
        <v>28</v>
      </c>
      <c r="L139" t="s">
        <v>16</v>
      </c>
      <c r="M139" t="s">
        <v>131</v>
      </c>
    </row>
    <row r="140" spans="1:13" x14ac:dyDescent="0.25">
      <c r="A140">
        <v>9000093</v>
      </c>
      <c r="B140">
        <v>1234508</v>
      </c>
      <c r="C140" s="11">
        <v>44787</v>
      </c>
      <c r="D140" s="12">
        <v>0.54374999999999996</v>
      </c>
      <c r="E140">
        <v>7</v>
      </c>
      <c r="F140">
        <v>1</v>
      </c>
      <c r="G140" t="s">
        <v>12</v>
      </c>
      <c r="H140" t="s">
        <v>13</v>
      </c>
      <c r="I140" t="s">
        <v>24</v>
      </c>
      <c r="J140" t="s">
        <v>109</v>
      </c>
      <c r="K140" t="s">
        <v>19</v>
      </c>
      <c r="L140" t="s">
        <v>20</v>
      </c>
      <c r="M140" t="s">
        <v>132</v>
      </c>
    </row>
    <row r="141" spans="1:13" x14ac:dyDescent="0.25">
      <c r="A141">
        <v>9000093</v>
      </c>
      <c r="B141">
        <v>1234581</v>
      </c>
      <c r="C141" s="11">
        <v>44789</v>
      </c>
      <c r="D141" s="12">
        <v>0.72499999999999998</v>
      </c>
      <c r="E141">
        <v>8</v>
      </c>
      <c r="F141">
        <v>3</v>
      </c>
      <c r="G141" t="s">
        <v>12</v>
      </c>
      <c r="H141" t="s">
        <v>23</v>
      </c>
      <c r="I141" t="s">
        <v>24</v>
      </c>
      <c r="J141" t="s">
        <v>109</v>
      </c>
      <c r="K141" t="s">
        <v>28</v>
      </c>
      <c r="L141" t="s">
        <v>16</v>
      </c>
    </row>
    <row r="142" spans="1:13" x14ac:dyDescent="0.25">
      <c r="A142">
        <v>9000094</v>
      </c>
      <c r="B142">
        <v>1234568</v>
      </c>
      <c r="C142" s="11">
        <v>44788</v>
      </c>
      <c r="D142" s="12">
        <v>0.54861111111111116</v>
      </c>
      <c r="E142">
        <v>9</v>
      </c>
      <c r="F142">
        <v>3</v>
      </c>
      <c r="G142" t="s">
        <v>12</v>
      </c>
      <c r="H142" t="s">
        <v>23</v>
      </c>
      <c r="I142" t="s">
        <v>24</v>
      </c>
      <c r="J142" t="s">
        <v>109</v>
      </c>
      <c r="K142" t="s">
        <v>28</v>
      </c>
      <c r="L142" t="s">
        <v>16</v>
      </c>
    </row>
    <row r="143" spans="1:13" x14ac:dyDescent="0.25">
      <c r="A143">
        <v>9000094</v>
      </c>
      <c r="B143">
        <v>1234559</v>
      </c>
      <c r="C143" s="11">
        <v>44787</v>
      </c>
      <c r="D143" s="12">
        <v>0.30138888888888887</v>
      </c>
      <c r="E143">
        <v>5</v>
      </c>
      <c r="F143">
        <v>1</v>
      </c>
      <c r="G143" t="s">
        <v>12</v>
      </c>
      <c r="H143" t="s">
        <v>13</v>
      </c>
      <c r="I143" t="s">
        <v>24</v>
      </c>
      <c r="J143" t="s">
        <v>109</v>
      </c>
      <c r="K143" t="s">
        <v>19</v>
      </c>
      <c r="L143" t="s">
        <v>20</v>
      </c>
      <c r="M143" t="s">
        <v>133</v>
      </c>
    </row>
    <row r="144" spans="1:13" x14ac:dyDescent="0.25">
      <c r="A144">
        <v>9000095</v>
      </c>
      <c r="B144">
        <v>1234553</v>
      </c>
      <c r="C144" s="11">
        <v>44787</v>
      </c>
      <c r="D144" s="12">
        <v>0.31944444444444442</v>
      </c>
      <c r="E144">
        <v>8</v>
      </c>
      <c r="F144">
        <v>5</v>
      </c>
      <c r="G144" t="s">
        <v>22</v>
      </c>
      <c r="H144" t="s">
        <v>13</v>
      </c>
      <c r="I144" t="s">
        <v>24</v>
      </c>
      <c r="J144" t="s">
        <v>54</v>
      </c>
      <c r="K144" t="s">
        <v>55</v>
      </c>
      <c r="L144" t="s">
        <v>16</v>
      </c>
    </row>
    <row r="146" spans="6:11" ht="15.75" thickBot="1" x14ac:dyDescent="0.3"/>
    <row r="147" spans="6:11" ht="15.75" thickBot="1" x14ac:dyDescent="0.3">
      <c r="J147" s="7" t="s">
        <v>5</v>
      </c>
      <c r="K147" s="8" t="s">
        <v>137</v>
      </c>
    </row>
    <row r="148" spans="6:11" x14ac:dyDescent="0.25">
      <c r="F148" s="18" t="s">
        <v>146</v>
      </c>
      <c r="G148" s="19" t="s">
        <v>134</v>
      </c>
      <c r="H148" s="2" t="s">
        <v>135</v>
      </c>
      <c r="J148" s="5" t="s">
        <v>12</v>
      </c>
      <c r="K148" s="6">
        <f>COUNTIF($G$2:$G$144, "No Attempt")</f>
        <v>67</v>
      </c>
    </row>
    <row r="149" spans="6:11" x14ac:dyDescent="0.25">
      <c r="F149" s="20" t="s">
        <v>14</v>
      </c>
      <c r="G149" s="17">
        <v>6.1212121212121211</v>
      </c>
      <c r="H149" s="4">
        <v>3.3030303030303032</v>
      </c>
      <c r="J149" s="3" t="s">
        <v>18</v>
      </c>
      <c r="K149" s="4">
        <f>COUNTIF($G$2:$G$144, "App")</f>
        <v>34</v>
      </c>
    </row>
    <row r="150" spans="6:11" ht="15.75" thickBot="1" x14ac:dyDescent="0.3">
      <c r="F150" s="21" t="s">
        <v>24</v>
      </c>
      <c r="G150" s="22">
        <v>6.8818181818181818</v>
      </c>
      <c r="H150" s="23">
        <v>2.7454545454545456</v>
      </c>
      <c r="J150" s="3" t="s">
        <v>138</v>
      </c>
      <c r="K150" s="4">
        <f>COUNTIF($G$2:$G$144, "")</f>
        <v>18</v>
      </c>
    </row>
    <row r="151" spans="6:11" x14ac:dyDescent="0.25">
      <c r="J151" s="3" t="s">
        <v>22</v>
      </c>
      <c r="K151" s="4">
        <f>COUNTIF($G$2:$G$144, "IVR")</f>
        <v>16</v>
      </c>
    </row>
    <row r="152" spans="6:11" ht="15.75" thickBot="1" x14ac:dyDescent="0.3">
      <c r="J152" s="9" t="s">
        <v>27</v>
      </c>
      <c r="K152" s="10">
        <f>COUNTIF($G$2:$G$144, "Web")</f>
        <v>8</v>
      </c>
    </row>
    <row r="153" spans="6:11" ht="15.75" thickBot="1" x14ac:dyDescent="0.3">
      <c r="F153" s="18" t="s">
        <v>141</v>
      </c>
      <c r="G153" s="19" t="s">
        <v>134</v>
      </c>
      <c r="H153" s="2" t="s">
        <v>135</v>
      </c>
      <c r="J153" s="7" t="s">
        <v>139</v>
      </c>
      <c r="K153" s="8">
        <f>SUM(K148:K152)</f>
        <v>143</v>
      </c>
    </row>
    <row r="154" spans="6:11" ht="15.75" thickBot="1" x14ac:dyDescent="0.3">
      <c r="F154" s="20" t="s">
        <v>13</v>
      </c>
      <c r="G154" s="17">
        <v>6.0405405405405403</v>
      </c>
      <c r="H154" s="4">
        <v>2.2567567567567566</v>
      </c>
    </row>
    <row r="155" spans="6:11" ht="15.75" thickBot="1" x14ac:dyDescent="0.3">
      <c r="F155" s="21" t="s">
        <v>23</v>
      </c>
      <c r="G155" s="22">
        <v>7.4202898550724639</v>
      </c>
      <c r="H155" s="23">
        <v>3.5362318840579712</v>
      </c>
      <c r="J155" s="7" t="s">
        <v>8</v>
      </c>
      <c r="K155" s="8" t="s">
        <v>137</v>
      </c>
    </row>
    <row r="156" spans="6:11" x14ac:dyDescent="0.25">
      <c r="J156" s="5" t="s">
        <v>31</v>
      </c>
      <c r="K156" s="6">
        <f>COUNTIF($J$2:$J$144, "Add Services")</f>
        <v>40</v>
      </c>
    </row>
    <row r="157" spans="6:11" ht="15.75" thickBot="1" x14ac:dyDescent="0.3">
      <c r="J157" s="3" t="s">
        <v>109</v>
      </c>
      <c r="K157" s="4">
        <f>COUNTIF($J$2:$J$144, "Billing Question")</f>
        <v>30</v>
      </c>
    </row>
    <row r="158" spans="6:11" x14ac:dyDescent="0.25">
      <c r="F158" s="18" t="s">
        <v>142</v>
      </c>
      <c r="G158" s="19" t="s">
        <v>134</v>
      </c>
      <c r="H158" s="2" t="s">
        <v>135</v>
      </c>
      <c r="J158" s="3" t="s">
        <v>54</v>
      </c>
      <c r="K158" s="4">
        <f>COUNTIF($J$2:$J$144, "Make a Payment")</f>
        <v>21</v>
      </c>
    </row>
    <row r="159" spans="6:11" x14ac:dyDescent="0.25">
      <c r="F159" s="20" t="s">
        <v>18</v>
      </c>
      <c r="G159" s="17">
        <v>4.9705882352941178</v>
      </c>
      <c r="H159" s="4">
        <v>2.2352941176470589</v>
      </c>
      <c r="J159" s="3" t="s">
        <v>94</v>
      </c>
      <c r="K159" s="4">
        <f>COUNTIF($J$2:$J$144, "Billing Dispute")</f>
        <v>17</v>
      </c>
    </row>
    <row r="160" spans="6:11" x14ac:dyDescent="0.25">
      <c r="F160" s="20" t="s">
        <v>22</v>
      </c>
      <c r="G160" s="17">
        <v>5.6875</v>
      </c>
      <c r="H160" s="4">
        <v>2.9375</v>
      </c>
      <c r="J160" s="3" t="s">
        <v>72</v>
      </c>
      <c r="K160" s="4">
        <f>COUNTIF($J$2:$J$144, "Service Question")</f>
        <v>13</v>
      </c>
    </row>
    <row r="161" spans="1:11" x14ac:dyDescent="0.25">
      <c r="F161" s="20" t="s">
        <v>12</v>
      </c>
      <c r="G161" s="17">
        <v>7.5970149253731343</v>
      </c>
      <c r="H161" s="4">
        <v>3.1492537313432836</v>
      </c>
      <c r="J161" s="3" t="s">
        <v>15</v>
      </c>
      <c r="K161" s="4">
        <f>COUNTIF($J$2:$J$144, "Cancel Service")</f>
        <v>8</v>
      </c>
    </row>
    <row r="162" spans="1:11" x14ac:dyDescent="0.25">
      <c r="F162" s="20" t="s">
        <v>27</v>
      </c>
      <c r="G162" s="17">
        <v>4.5</v>
      </c>
      <c r="H162" s="4">
        <v>2.25</v>
      </c>
      <c r="J162" s="3" t="s">
        <v>83</v>
      </c>
      <c r="K162" s="4">
        <f>COUNTIF($J$2:$J$144, "Device Question")</f>
        <v>8</v>
      </c>
    </row>
    <row r="163" spans="1:11" ht="15.75" thickBot="1" x14ac:dyDescent="0.3">
      <c r="F163" s="21" t="s">
        <v>136</v>
      </c>
      <c r="G163" s="22">
        <v>8.5555555555555554</v>
      </c>
      <c r="H163" s="23">
        <v>3.2777777777777777</v>
      </c>
      <c r="J163" s="9" t="s">
        <v>25</v>
      </c>
      <c r="K163" s="10">
        <f>COUNTIF($J$2:$J$144, "Change Plan")</f>
        <v>6</v>
      </c>
    </row>
    <row r="164" spans="1:11" ht="15.75" thickBot="1" x14ac:dyDescent="0.3">
      <c r="J164" s="7" t="s">
        <v>139</v>
      </c>
      <c r="K164" s="8">
        <f>SUM(K156:K163)</f>
        <v>143</v>
      </c>
    </row>
    <row r="165" spans="1:11" ht="15.75" thickBot="1" x14ac:dyDescent="0.3"/>
    <row r="166" spans="1:11" ht="15.75" thickBot="1" x14ac:dyDescent="0.3">
      <c r="F166" s="18" t="s">
        <v>143</v>
      </c>
      <c r="G166" s="19" t="s">
        <v>134</v>
      </c>
      <c r="H166" s="2" t="s">
        <v>135</v>
      </c>
      <c r="J166" s="7" t="s">
        <v>9</v>
      </c>
      <c r="K166" s="8" t="s">
        <v>137</v>
      </c>
    </row>
    <row r="167" spans="1:11" x14ac:dyDescent="0.25">
      <c r="F167" s="20" t="s">
        <v>31</v>
      </c>
      <c r="G167" s="17">
        <v>6.7249999999999996</v>
      </c>
      <c r="H167" s="4">
        <v>2.125</v>
      </c>
      <c r="J167" s="5" t="s">
        <v>95</v>
      </c>
      <c r="K167" s="6">
        <f t="shared" ref="K167:K177" si="0">COUNTIF($K$2:$K$144, J167)</f>
        <v>39</v>
      </c>
    </row>
    <row r="168" spans="1:11" x14ac:dyDescent="0.25">
      <c r="F168" s="20" t="s">
        <v>94</v>
      </c>
      <c r="G168" s="17">
        <v>7.3529411764705879</v>
      </c>
      <c r="H168" s="4">
        <v>3.0588235294117645</v>
      </c>
      <c r="J168" s="3" t="s">
        <v>55</v>
      </c>
      <c r="K168" s="4">
        <f t="shared" si="0"/>
        <v>19</v>
      </c>
    </row>
    <row r="169" spans="1:11" x14ac:dyDescent="0.25">
      <c r="F169" s="20" t="s">
        <v>109</v>
      </c>
      <c r="G169" s="17">
        <v>7.9666666666666668</v>
      </c>
      <c r="H169" s="4">
        <v>2.9666666666666668</v>
      </c>
      <c r="J169" s="3" t="s">
        <v>32</v>
      </c>
      <c r="K169" s="4">
        <f t="shared" si="0"/>
        <v>18</v>
      </c>
    </row>
    <row r="170" spans="1:11" x14ac:dyDescent="0.25">
      <c r="F170" s="20" t="s">
        <v>15</v>
      </c>
      <c r="G170" s="17">
        <v>3.875</v>
      </c>
      <c r="H170" s="4">
        <v>2.875</v>
      </c>
      <c r="J170" s="3" t="s">
        <v>19</v>
      </c>
      <c r="K170" s="4">
        <f t="shared" si="0"/>
        <v>13</v>
      </c>
    </row>
    <row r="171" spans="1:11" x14ac:dyDescent="0.25">
      <c r="F171" s="20" t="s">
        <v>25</v>
      </c>
      <c r="G171" s="17">
        <v>8.3333333333333339</v>
      </c>
      <c r="H171" s="4">
        <v>1.6666666666666667</v>
      </c>
      <c r="J171" s="3" t="s">
        <v>37</v>
      </c>
      <c r="K171" s="4">
        <f t="shared" si="0"/>
        <v>13</v>
      </c>
    </row>
    <row r="172" spans="1:11" x14ac:dyDescent="0.25">
      <c r="F172" s="20" t="s">
        <v>83</v>
      </c>
      <c r="G172" s="17">
        <v>8.75</v>
      </c>
      <c r="H172" s="4">
        <v>4.25</v>
      </c>
      <c r="J172" s="3" t="s">
        <v>73</v>
      </c>
      <c r="K172" s="4">
        <f t="shared" si="0"/>
        <v>11</v>
      </c>
    </row>
    <row r="173" spans="1:11" x14ac:dyDescent="0.25">
      <c r="F173" s="20" t="s">
        <v>54</v>
      </c>
      <c r="G173" s="17">
        <v>5.5238095238095237</v>
      </c>
      <c r="H173" s="4">
        <v>4.1904761904761907</v>
      </c>
      <c r="J173" s="3" t="s">
        <v>33</v>
      </c>
      <c r="K173" s="4">
        <f t="shared" si="0"/>
        <v>10</v>
      </c>
    </row>
    <row r="174" spans="1:11" ht="15.75" thickBot="1" x14ac:dyDescent="0.3">
      <c r="A174" s="1"/>
      <c r="F174" s="21" t="s">
        <v>72</v>
      </c>
      <c r="G174" s="22">
        <v>4.5384615384615383</v>
      </c>
      <c r="H174" s="23">
        <v>2.3076923076923075</v>
      </c>
      <c r="J174" s="3" t="s">
        <v>85</v>
      </c>
      <c r="K174" s="4">
        <f t="shared" si="0"/>
        <v>7</v>
      </c>
    </row>
    <row r="175" spans="1:11" x14ac:dyDescent="0.25">
      <c r="A175" s="1"/>
      <c r="J175" s="3" t="s">
        <v>28</v>
      </c>
      <c r="K175" s="4">
        <f t="shared" si="0"/>
        <v>6</v>
      </c>
    </row>
    <row r="176" spans="1:11" ht="15.75" thickBot="1" x14ac:dyDescent="0.3">
      <c r="A176" s="1"/>
      <c r="J176" s="3" t="s">
        <v>25</v>
      </c>
      <c r="K176" s="4">
        <f t="shared" si="0"/>
        <v>4</v>
      </c>
    </row>
    <row r="177" spans="1:11" ht="15.75" thickBot="1" x14ac:dyDescent="0.3">
      <c r="A177" s="1"/>
      <c r="F177" s="18" t="s">
        <v>144</v>
      </c>
      <c r="G177" s="19" t="s">
        <v>134</v>
      </c>
      <c r="H177" s="2" t="s">
        <v>135</v>
      </c>
      <c r="J177" s="9" t="s">
        <v>15</v>
      </c>
      <c r="K177" s="10">
        <f t="shared" si="0"/>
        <v>3</v>
      </c>
    </row>
    <row r="178" spans="1:11" ht="15.75" thickBot="1" x14ac:dyDescent="0.3">
      <c r="A178" s="1"/>
      <c r="F178" s="20" t="s">
        <v>85</v>
      </c>
      <c r="G178" s="17">
        <v>9.7142857142857135</v>
      </c>
      <c r="H178" s="4">
        <v>4.7142857142857144</v>
      </c>
      <c r="J178" s="7" t="s">
        <v>139</v>
      </c>
      <c r="K178" s="8">
        <f>SUM(K167:K177)</f>
        <v>143</v>
      </c>
    </row>
    <row r="179" spans="1:11" ht="15.75" thickBot="1" x14ac:dyDescent="0.3">
      <c r="A179" s="1"/>
      <c r="F179" s="20" t="s">
        <v>37</v>
      </c>
      <c r="G179" s="17">
        <v>8.4615384615384617</v>
      </c>
      <c r="H179" s="4">
        <v>3.2307692307692308</v>
      </c>
    </row>
    <row r="180" spans="1:11" ht="15.75" thickBot="1" x14ac:dyDescent="0.3">
      <c r="A180" s="1"/>
      <c r="F180" s="20" t="s">
        <v>33</v>
      </c>
      <c r="G180" s="17">
        <v>8.4</v>
      </c>
      <c r="H180" s="4">
        <v>3</v>
      </c>
      <c r="J180" s="7" t="s">
        <v>7</v>
      </c>
      <c r="K180" s="8" t="s">
        <v>137</v>
      </c>
    </row>
    <row r="181" spans="1:11" x14ac:dyDescent="0.25">
      <c r="A181" s="1"/>
      <c r="F181" s="20" t="s">
        <v>15</v>
      </c>
      <c r="G181" s="17">
        <v>1.6666666666666667</v>
      </c>
      <c r="H181" s="4">
        <v>2.6666666666666665</v>
      </c>
      <c r="J181" s="5" t="s">
        <v>24</v>
      </c>
      <c r="K181" s="6">
        <f>COUNTIF($I$2:$I$144, J181)</f>
        <v>110</v>
      </c>
    </row>
    <row r="182" spans="1:11" ht="15.75" thickBot="1" x14ac:dyDescent="0.3">
      <c r="A182" s="1"/>
      <c r="F182" s="20" t="s">
        <v>25</v>
      </c>
      <c r="G182" s="17">
        <v>8</v>
      </c>
      <c r="H182" s="4">
        <v>2</v>
      </c>
      <c r="J182" s="9" t="s">
        <v>14</v>
      </c>
      <c r="K182" s="10">
        <f>COUNTIF($I$2:$I$144, J182)</f>
        <v>33</v>
      </c>
    </row>
    <row r="183" spans="1:11" ht="15.75" thickBot="1" x14ac:dyDescent="0.3">
      <c r="A183" s="1"/>
      <c r="F183" s="20" t="s">
        <v>19</v>
      </c>
      <c r="G183" s="17">
        <v>4.615384615384615</v>
      </c>
      <c r="H183" s="4">
        <v>1</v>
      </c>
      <c r="J183" s="7" t="s">
        <v>139</v>
      </c>
      <c r="K183" s="8">
        <f>SUM(K181:K182)</f>
        <v>143</v>
      </c>
    </row>
    <row r="184" spans="1:11" ht="15.75" thickBot="1" x14ac:dyDescent="0.3">
      <c r="A184" s="1"/>
      <c r="F184" s="20" t="s">
        <v>28</v>
      </c>
      <c r="G184" s="17">
        <v>8.3333333333333339</v>
      </c>
      <c r="H184" s="4">
        <v>3.3333333333333335</v>
      </c>
    </row>
    <row r="185" spans="1:11" ht="15.75" thickBot="1" x14ac:dyDescent="0.3">
      <c r="F185" s="20" t="s">
        <v>55</v>
      </c>
      <c r="G185" s="17">
        <v>6.0526315789473681</v>
      </c>
      <c r="H185" s="4">
        <v>4.5263157894736841</v>
      </c>
      <c r="J185" s="7" t="s">
        <v>6</v>
      </c>
      <c r="K185" s="8" t="s">
        <v>137</v>
      </c>
    </row>
    <row r="186" spans="1:11" x14ac:dyDescent="0.25">
      <c r="F186" s="20" t="s">
        <v>73</v>
      </c>
      <c r="G186" s="17">
        <v>4.0909090909090908</v>
      </c>
      <c r="H186" s="4">
        <v>2.5454545454545454</v>
      </c>
      <c r="J186" s="5" t="s">
        <v>13</v>
      </c>
      <c r="K186" s="6">
        <f>COUNTIF($H$2:$H$144, J186)</f>
        <v>74</v>
      </c>
    </row>
    <row r="187" spans="1:11" ht="15.75" thickBot="1" x14ac:dyDescent="0.3">
      <c r="F187" s="20" t="s">
        <v>95</v>
      </c>
      <c r="G187" s="17">
        <v>7.7692307692307692</v>
      </c>
      <c r="H187" s="4">
        <v>3.2051282051282053</v>
      </c>
      <c r="J187" s="9" t="s">
        <v>23</v>
      </c>
      <c r="K187" s="10">
        <f>COUNTIF($H$2:$H$144, J187)</f>
        <v>69</v>
      </c>
    </row>
    <row r="188" spans="1:11" ht="15.75" thickBot="1" x14ac:dyDescent="0.3">
      <c r="F188" s="21" t="s">
        <v>32</v>
      </c>
      <c r="G188" s="22">
        <v>4.833333333333333</v>
      </c>
      <c r="H188" s="23">
        <v>1</v>
      </c>
      <c r="J188" s="7" t="s">
        <v>139</v>
      </c>
      <c r="K188" s="8">
        <f>SUM(K186:K187)</f>
        <v>143</v>
      </c>
    </row>
    <row r="190" spans="1:11" ht="15.75" thickBot="1" x14ac:dyDescent="0.3"/>
    <row r="191" spans="1:11" ht="15.75" thickBot="1" x14ac:dyDescent="0.3">
      <c r="F191" s="18" t="s">
        <v>145</v>
      </c>
      <c r="G191" s="19" t="s">
        <v>134</v>
      </c>
      <c r="H191" s="2" t="s">
        <v>135</v>
      </c>
      <c r="J191" s="15" t="s">
        <v>2</v>
      </c>
      <c r="K191" s="8" t="s">
        <v>137</v>
      </c>
    </row>
    <row r="192" spans="1:11" x14ac:dyDescent="0.25">
      <c r="F192" s="20" t="s">
        <v>81</v>
      </c>
      <c r="G192" s="17">
        <v>5</v>
      </c>
      <c r="H192" s="4">
        <v>2.3333333333333335</v>
      </c>
      <c r="J192" s="14">
        <v>44788</v>
      </c>
      <c r="K192" s="6">
        <f>COUNTIF($C$2:$C$144, J192)</f>
        <v>16</v>
      </c>
    </row>
    <row r="193" spans="5:11" x14ac:dyDescent="0.25">
      <c r="F193" s="20" t="s">
        <v>20</v>
      </c>
      <c r="G193" s="17">
        <v>6.4285714285714288</v>
      </c>
      <c r="H193" s="4">
        <v>2.2285714285714286</v>
      </c>
      <c r="J193" s="13">
        <v>44786</v>
      </c>
      <c r="K193" s="4">
        <f t="shared" ref="K193:K204" si="1">COUNTIF($C$2:$C$144, J193)</f>
        <v>14</v>
      </c>
    </row>
    <row r="194" spans="5:11" ht="15.75" thickBot="1" x14ac:dyDescent="0.3">
      <c r="F194" s="21" t="s">
        <v>16</v>
      </c>
      <c r="G194" s="22">
        <v>7.0571428571428569</v>
      </c>
      <c r="H194" s="23">
        <v>3.5428571428571427</v>
      </c>
      <c r="J194" s="13">
        <v>44784</v>
      </c>
      <c r="K194" s="4">
        <f t="shared" si="1"/>
        <v>8</v>
      </c>
    </row>
    <row r="195" spans="5:11" x14ac:dyDescent="0.25">
      <c r="J195" s="13">
        <v>44783</v>
      </c>
      <c r="K195" s="4">
        <f t="shared" si="1"/>
        <v>18</v>
      </c>
    </row>
    <row r="196" spans="5:11" x14ac:dyDescent="0.25">
      <c r="J196" s="13">
        <v>44791</v>
      </c>
      <c r="K196" s="4">
        <f t="shared" si="1"/>
        <v>10</v>
      </c>
    </row>
    <row r="197" spans="5:11" x14ac:dyDescent="0.25">
      <c r="J197" s="13">
        <v>44785</v>
      </c>
      <c r="K197" s="4">
        <f t="shared" si="1"/>
        <v>9</v>
      </c>
    </row>
    <row r="198" spans="5:11" x14ac:dyDescent="0.25">
      <c r="J198" s="13">
        <v>44789</v>
      </c>
      <c r="K198" s="4">
        <f t="shared" si="1"/>
        <v>9</v>
      </c>
    </row>
    <row r="199" spans="5:11" x14ac:dyDescent="0.25">
      <c r="E199" s="24" t="s">
        <v>148</v>
      </c>
      <c r="F199" t="s">
        <v>150</v>
      </c>
      <c r="J199" s="13">
        <v>44790</v>
      </c>
      <c r="K199" s="4">
        <f t="shared" si="1"/>
        <v>16</v>
      </c>
    </row>
    <row r="200" spans="5:11" x14ac:dyDescent="0.25">
      <c r="E200" s="1" t="s">
        <v>18</v>
      </c>
      <c r="F200">
        <v>34</v>
      </c>
      <c r="J200" s="13">
        <v>44792</v>
      </c>
      <c r="K200" s="4">
        <f t="shared" si="1"/>
        <v>6</v>
      </c>
    </row>
    <row r="201" spans="5:11" x14ac:dyDescent="0.25">
      <c r="E201" s="1" t="s">
        <v>22</v>
      </c>
      <c r="F201">
        <v>16</v>
      </c>
      <c r="J201" s="13">
        <v>44795</v>
      </c>
      <c r="K201" s="4">
        <f t="shared" si="1"/>
        <v>11</v>
      </c>
    </row>
    <row r="202" spans="5:11" x14ac:dyDescent="0.25">
      <c r="E202" s="1" t="s">
        <v>12</v>
      </c>
      <c r="F202">
        <v>67</v>
      </c>
      <c r="J202" s="13">
        <v>44794</v>
      </c>
      <c r="K202" s="4">
        <f t="shared" si="1"/>
        <v>7</v>
      </c>
    </row>
    <row r="203" spans="5:11" x14ac:dyDescent="0.25">
      <c r="E203" s="1" t="s">
        <v>27</v>
      </c>
      <c r="F203">
        <v>8</v>
      </c>
      <c r="J203" s="13">
        <v>44793</v>
      </c>
      <c r="K203" s="4">
        <f t="shared" si="1"/>
        <v>12</v>
      </c>
    </row>
    <row r="204" spans="5:11" ht="15.75" thickBot="1" x14ac:dyDescent="0.3">
      <c r="E204" s="1" t="s">
        <v>136</v>
      </c>
      <c r="F204">
        <v>18</v>
      </c>
      <c r="J204" s="16">
        <v>44787</v>
      </c>
      <c r="K204" s="10">
        <f t="shared" si="1"/>
        <v>7</v>
      </c>
    </row>
    <row r="205" spans="5:11" ht="15.75" thickBot="1" x14ac:dyDescent="0.3">
      <c r="E205" s="1" t="s">
        <v>149</v>
      </c>
      <c r="F205">
        <v>143</v>
      </c>
      <c r="J205" s="7" t="s">
        <v>139</v>
      </c>
      <c r="K205" s="8">
        <f>SUM(K192:K204)</f>
        <v>143</v>
      </c>
    </row>
    <row r="207" spans="5:11" x14ac:dyDescent="0.25">
      <c r="J207" s="47" t="s">
        <v>147</v>
      </c>
      <c r="K207" s="47" t="s">
        <v>137</v>
      </c>
    </row>
    <row r="208" spans="5:11" x14ac:dyDescent="0.25">
      <c r="J208" s="17" t="s">
        <v>159</v>
      </c>
      <c r="K208" s="17">
        <f>COUNTIFS(E2:E144, "&lt;=6", E2:E144, "&gt;=0")</f>
        <v>40</v>
      </c>
    </row>
    <row r="209" spans="3:11" x14ac:dyDescent="0.25">
      <c r="J209" s="17" t="s">
        <v>160</v>
      </c>
      <c r="K209" s="17">
        <f>COUNTIFS(E2:E144, "&lt;=8", E2:E144, "&gt;=7")</f>
        <v>77</v>
      </c>
    </row>
    <row r="210" spans="3:11" x14ac:dyDescent="0.25">
      <c r="J210" s="17" t="s">
        <v>161</v>
      </c>
      <c r="K210" s="17">
        <f>COUNTIFS(E4:E146, "&lt;=10", E4:E146, "&gt;=9")</f>
        <v>26</v>
      </c>
    </row>
    <row r="211" spans="3:11" x14ac:dyDescent="0.25">
      <c r="J211" s="17" t="s">
        <v>147</v>
      </c>
      <c r="K211" s="39">
        <f>K210/SUM(K208:K210)-K208/SUM(K208:K210)</f>
        <v>-9.7902097902097918E-2</v>
      </c>
    </row>
    <row r="213" spans="3:11" ht="15.75" thickBot="1" x14ac:dyDescent="0.3"/>
    <row r="214" spans="3:11" ht="15.75" thickBot="1" x14ac:dyDescent="0.3">
      <c r="C214" s="26" t="s">
        <v>151</v>
      </c>
      <c r="D214" s="27" t="s">
        <v>153</v>
      </c>
      <c r="E214" s="27" t="s">
        <v>152</v>
      </c>
      <c r="F214" s="28" t="s">
        <v>154</v>
      </c>
      <c r="H214" s="32" t="s">
        <v>142</v>
      </c>
      <c r="I214" s="33" t="s">
        <v>163</v>
      </c>
      <c r="J214" s="40" t="s">
        <v>165</v>
      </c>
    </row>
    <row r="215" spans="3:11" x14ac:dyDescent="0.25">
      <c r="C215" s="57" t="s">
        <v>18</v>
      </c>
      <c r="D215" s="25" t="s">
        <v>159</v>
      </c>
      <c r="E215" s="25">
        <f>COUNTIFS($G$2:$G$144, "App", $E$2:$E$144, "&lt;=6",  $E$2:$E$144, "&gt;=0")</f>
        <v>17</v>
      </c>
      <c r="F215" s="51">
        <f t="shared" ref="F215" si="2">E217/SUM(E215:E217)-E215/SUM(E215:E217)</f>
        <v>-0.5</v>
      </c>
      <c r="H215" s="34" t="s">
        <v>18</v>
      </c>
      <c r="I215" s="36">
        <v>-0.5</v>
      </c>
      <c r="J215" s="4">
        <v>2.2352941176470589</v>
      </c>
    </row>
    <row r="216" spans="3:11" x14ac:dyDescent="0.25">
      <c r="C216" s="58"/>
      <c r="D216" s="17" t="s">
        <v>160</v>
      </c>
      <c r="E216" s="17">
        <f>COUNTIFS($G$2:$G$144, "App", $E$2:$E$144, "&lt;=8",  $E$2:$E$144, "&gt;=7")</f>
        <v>17</v>
      </c>
      <c r="F216" s="51"/>
      <c r="H216" s="20" t="s">
        <v>22</v>
      </c>
      <c r="I216" s="37">
        <v>-0.4375</v>
      </c>
      <c r="J216" s="4">
        <v>2.9375</v>
      </c>
    </row>
    <row r="217" spans="3:11" ht="15.75" thickBot="1" x14ac:dyDescent="0.3">
      <c r="C217" s="58"/>
      <c r="D217" s="17" t="s">
        <v>161</v>
      </c>
      <c r="E217" s="17">
        <f>COUNTIFS($G$2:$G$144, "App", $E$2:$E$144, "&lt;=10",  $E$2:$E$144, "&gt;=9")</f>
        <v>0</v>
      </c>
      <c r="F217" s="52"/>
      <c r="H217" s="20" t="s">
        <v>138</v>
      </c>
      <c r="I217" s="37">
        <v>0.3888888888888889</v>
      </c>
      <c r="J217" s="4">
        <v>3.1492537313432836</v>
      </c>
    </row>
    <row r="218" spans="3:11" x14ac:dyDescent="0.25">
      <c r="C218" s="58" t="s">
        <v>22</v>
      </c>
      <c r="D218" s="25" t="s">
        <v>159</v>
      </c>
      <c r="E218" s="17">
        <f>COUNTIFS($G$2:$G$144, "IVR", $E$2:$E$144, "&lt;=6",  $E$2:$E$144, "&gt;=0")</f>
        <v>7</v>
      </c>
      <c r="F218" s="51">
        <f t="shared" ref="F218" si="3">E220/SUM(E218:E220)-E218/SUM(E218:E220)</f>
        <v>-0.4375</v>
      </c>
      <c r="H218" s="20" t="s">
        <v>12</v>
      </c>
      <c r="I218" s="37">
        <v>0.11940298507462685</v>
      </c>
      <c r="J218" s="4">
        <v>2.25</v>
      </c>
    </row>
    <row r="219" spans="3:11" ht="15.75" thickBot="1" x14ac:dyDescent="0.3">
      <c r="C219" s="58"/>
      <c r="D219" s="17" t="s">
        <v>160</v>
      </c>
      <c r="E219" s="17">
        <f>COUNTIFS($G$2:$G$144, "IVR", $E$2:$E$144, "&lt;=8",  $E$2:$E$144, "&gt;=7")</f>
        <v>9</v>
      </c>
      <c r="F219" s="51"/>
      <c r="H219" s="21" t="s">
        <v>27</v>
      </c>
      <c r="I219" s="38">
        <v>-0.625</v>
      </c>
      <c r="J219" s="23">
        <v>3.2777777777777777</v>
      </c>
    </row>
    <row r="220" spans="3:11" ht="15.75" thickBot="1" x14ac:dyDescent="0.3">
      <c r="C220" s="58"/>
      <c r="D220" s="17" t="s">
        <v>161</v>
      </c>
      <c r="E220" s="17">
        <f>COUNTIFS($G$2:$G$144, "IVR", $E$2:$E$144, "&lt;=10",  $E$2:$E$144, "&gt;=9")</f>
        <v>0</v>
      </c>
      <c r="F220" s="52"/>
      <c r="J220" s="46"/>
    </row>
    <row r="221" spans="3:11" x14ac:dyDescent="0.25">
      <c r="C221" s="58" t="s">
        <v>12</v>
      </c>
      <c r="D221" s="25" t="s">
        <v>159</v>
      </c>
      <c r="E221" s="17">
        <f>COUNTIFS($G$2:$G$144, "No Attempt", $E$2:$E$144, "&lt;=6",  $E$2:$E$144, "&gt;=0")</f>
        <v>11</v>
      </c>
      <c r="F221" s="51">
        <f t="shared" ref="F221" si="4">E223/SUM(E221:E223)-E221/SUM(E221:E223)</f>
        <v>0.11940298507462685</v>
      </c>
      <c r="J221" s="46"/>
    </row>
    <row r="222" spans="3:11" x14ac:dyDescent="0.25">
      <c r="C222" s="58"/>
      <c r="D222" s="17" t="s">
        <v>160</v>
      </c>
      <c r="E222" s="17">
        <f>COUNTIFS($G$2:$G$144, "=No Attempt", $E$2:$E$144, "&lt;=8",  $E$2:$E$144, "&gt;=7")</f>
        <v>37</v>
      </c>
      <c r="F222" s="51"/>
      <c r="J222" s="46"/>
    </row>
    <row r="223" spans="3:11" ht="15.75" thickBot="1" x14ac:dyDescent="0.3">
      <c r="C223" s="58"/>
      <c r="D223" s="17" t="s">
        <v>161</v>
      </c>
      <c r="E223" s="17">
        <f>COUNTIFS($G$2:$G$144, "=No Attempt", $E$2:$E$144, "&lt;=10",  $E$2:$E$144, "&gt;=9")</f>
        <v>19</v>
      </c>
      <c r="F223" s="52"/>
      <c r="J223" s="46"/>
    </row>
    <row r="224" spans="3:11" x14ac:dyDescent="0.25">
      <c r="C224" s="58" t="s">
        <v>27</v>
      </c>
      <c r="D224" s="25" t="s">
        <v>159</v>
      </c>
      <c r="E224" s="17">
        <f>COUNTIFS($G$2:$G$144, "Web", $E$2:$E$144, "&lt;=6",  $E$2:$E$144, "&gt;=0")</f>
        <v>5</v>
      </c>
      <c r="F224" s="51">
        <f t="shared" ref="F224" si="5">E226/SUM(E224:E226)-E224/SUM(E224:E226)</f>
        <v>-0.625</v>
      </c>
      <c r="J224" s="46"/>
    </row>
    <row r="225" spans="3:12" x14ac:dyDescent="0.25">
      <c r="C225" s="58"/>
      <c r="D225" s="17" t="s">
        <v>160</v>
      </c>
      <c r="E225" s="17">
        <f>COUNTIFS($G$2:$G$144, "Web", $E$2:$E$144, "&lt;=8",  $E$2:$E$144, "&gt;=7")</f>
        <v>3</v>
      </c>
      <c r="F225" s="51"/>
      <c r="J225" s="46"/>
    </row>
    <row r="226" spans="3:12" ht="15.75" thickBot="1" x14ac:dyDescent="0.3">
      <c r="C226" s="58"/>
      <c r="D226" s="17" t="s">
        <v>161</v>
      </c>
      <c r="E226" s="17">
        <f>COUNTIFS($G$2:$G$144, "Web", $E$2:$E$144, "&lt;=10",  $E$2:$E$144, "&gt;=9")</f>
        <v>0</v>
      </c>
      <c r="F226" s="52"/>
      <c r="J226" s="46"/>
    </row>
    <row r="227" spans="3:12" x14ac:dyDescent="0.25">
      <c r="C227" s="58" t="s">
        <v>138</v>
      </c>
      <c r="D227" s="25" t="s">
        <v>159</v>
      </c>
      <c r="E227" s="17">
        <f>COUNTIFS($G$2:$G$144, "", $E$2:$E$144, "&lt;=6",  $E$2:$E$144, "&gt;=0")</f>
        <v>0</v>
      </c>
      <c r="F227" s="51">
        <f>E229/SUM(E227:E229)-E227/SUM(E227:E229)</f>
        <v>0.3888888888888889</v>
      </c>
      <c r="J227" s="46"/>
    </row>
    <row r="228" spans="3:12" x14ac:dyDescent="0.25">
      <c r="C228" s="58"/>
      <c r="D228" s="17" t="s">
        <v>160</v>
      </c>
      <c r="E228" s="17">
        <f>COUNTIFS($G$2:$G$144, "", $E$2:$E$144, "&lt;=8",  $E$2:$E$144, "&gt;=7")</f>
        <v>11</v>
      </c>
      <c r="F228" s="51"/>
      <c r="J228" s="46"/>
    </row>
    <row r="229" spans="3:12" ht="15.75" thickBot="1" x14ac:dyDescent="0.3">
      <c r="C229" s="59"/>
      <c r="D229" s="17" t="s">
        <v>161</v>
      </c>
      <c r="E229" s="22">
        <f>COUNTIFS($G$2:$G$144, "", $E$2:$E$144, "&lt;=10",  $E$2:$E$144, "&gt;=9")</f>
        <v>7</v>
      </c>
      <c r="F229" s="52"/>
      <c r="J229" s="46"/>
    </row>
    <row r="230" spans="3:12" ht="15.75" thickBot="1" x14ac:dyDescent="0.3">
      <c r="C230"/>
      <c r="D230"/>
      <c r="J230" s="46"/>
    </row>
    <row r="231" spans="3:12" ht="15.75" thickBot="1" x14ac:dyDescent="0.3">
      <c r="C231" s="29" t="s">
        <v>155</v>
      </c>
      <c r="D231" s="27" t="s">
        <v>153</v>
      </c>
      <c r="E231" s="27" t="s">
        <v>152</v>
      </c>
      <c r="F231" s="28" t="s">
        <v>154</v>
      </c>
      <c r="H231" s="32" t="s">
        <v>148</v>
      </c>
      <c r="I231" s="33" t="s">
        <v>163</v>
      </c>
      <c r="J231" s="40" t="s">
        <v>135</v>
      </c>
    </row>
    <row r="232" spans="3:12" x14ac:dyDescent="0.25">
      <c r="C232" s="56" t="s">
        <v>13</v>
      </c>
      <c r="D232" s="25" t="s">
        <v>159</v>
      </c>
      <c r="E232" s="25">
        <f>COUNTIFS($H$2:$H$144, "Tier 1", $E$2:$E$144, "&lt;=6",  $E$2:$E$144, "&gt;=0")</f>
        <v>27</v>
      </c>
      <c r="F232" s="51">
        <f>E234/SUM(E232:E234)-E232/SUM(E232:E234)</f>
        <v>-0.24324324324324323</v>
      </c>
      <c r="H232" s="34" t="s">
        <v>13</v>
      </c>
      <c r="I232" s="36">
        <v>-0.24324324324324323</v>
      </c>
      <c r="J232" s="4">
        <v>2.2567567567567566</v>
      </c>
    </row>
    <row r="233" spans="3:12" ht="15.75" thickBot="1" x14ac:dyDescent="0.3">
      <c r="C233" s="54"/>
      <c r="D233" s="17" t="s">
        <v>160</v>
      </c>
      <c r="E233" s="17">
        <f>COUNTIFS($H$2:$H$144, "Tier 1", $E$2:$E$144, "&lt;=8",  $E$2:$E$144, "&gt;=7")</f>
        <v>38</v>
      </c>
      <c r="F233" s="51"/>
      <c r="H233" s="21" t="s">
        <v>23</v>
      </c>
      <c r="I233" s="38">
        <v>5.7971014492753631E-2</v>
      </c>
      <c r="J233" s="23">
        <v>3.5362318840579712</v>
      </c>
    </row>
    <row r="234" spans="3:12" ht="15.75" thickBot="1" x14ac:dyDescent="0.3">
      <c r="C234" s="54"/>
      <c r="D234" s="17" t="s">
        <v>161</v>
      </c>
      <c r="E234" s="17">
        <f>COUNTIFS($H$2:$H$144, "Tier 1", $E$2:$E$144, "&lt;=10",  $E$2:$E$144, "&gt;=9")</f>
        <v>9</v>
      </c>
      <c r="F234" s="52"/>
    </row>
    <row r="235" spans="3:12" x14ac:dyDescent="0.25">
      <c r="C235" s="54" t="s">
        <v>23</v>
      </c>
      <c r="D235" s="25" t="s">
        <v>159</v>
      </c>
      <c r="E235" s="17">
        <f>COUNTIFS($H$2:$H$144, "Tier 2", $E$2:$E$144, "&lt;=6",  $E$2:$E$144, "&gt;=0")</f>
        <v>13</v>
      </c>
      <c r="F235" s="51">
        <f>E237/SUM(E235:E237)-E235/SUM(E235:E237)</f>
        <v>5.7971014492753631E-2</v>
      </c>
    </row>
    <row r="236" spans="3:12" x14ac:dyDescent="0.25">
      <c r="C236" s="54"/>
      <c r="D236" s="17" t="s">
        <v>160</v>
      </c>
      <c r="E236" s="17">
        <f>COUNTIFS($H$2:$H$144, "Tier 2", $E$2:$E$144, "&lt;=8",  $E$2:$E$144, "&gt;=7")</f>
        <v>39</v>
      </c>
      <c r="F236" s="51"/>
    </row>
    <row r="237" spans="3:12" ht="15.75" thickBot="1" x14ac:dyDescent="0.3">
      <c r="C237" s="55"/>
      <c r="D237" s="17" t="s">
        <v>161</v>
      </c>
      <c r="E237" s="22">
        <f>COUNTIFS($H$2:$H$144, "Tier 2", $E$2:$E$144, "&lt;=10",  $E$2:$E$144, "&gt;=9")</f>
        <v>17</v>
      </c>
      <c r="F237" s="52"/>
    </row>
    <row r="238" spans="3:12" ht="15.75" thickBot="1" x14ac:dyDescent="0.3"/>
    <row r="239" spans="3:12" ht="15.75" thickBot="1" x14ac:dyDescent="0.3">
      <c r="C239" s="29" t="s">
        <v>157</v>
      </c>
      <c r="D239" s="27" t="s">
        <v>153</v>
      </c>
      <c r="E239" s="27" t="s">
        <v>152</v>
      </c>
      <c r="F239" s="28" t="s">
        <v>154</v>
      </c>
      <c r="H239" s="24" t="s">
        <v>148</v>
      </c>
      <c r="I239" t="s">
        <v>163</v>
      </c>
      <c r="K239" s="24" t="s">
        <v>148</v>
      </c>
      <c r="L239" t="s">
        <v>163</v>
      </c>
    </row>
    <row r="240" spans="3:12" x14ac:dyDescent="0.25">
      <c r="C240" s="56" t="s">
        <v>85</v>
      </c>
      <c r="D240" s="25" t="s">
        <v>159</v>
      </c>
      <c r="E240" s="25">
        <f>COUNTIFS($K$2:$K$144, "Activate Device", $E$2:$E$144, "&lt;=6",  $E$2:$E$144, "&gt;=0")</f>
        <v>0</v>
      </c>
      <c r="F240" s="51">
        <f t="shared" ref="F240" si="6">(E242/SUM(E240:E242)-(E240/SUM(E240:E242)))</f>
        <v>0.8571428571428571</v>
      </c>
      <c r="H240" s="1" t="s">
        <v>85</v>
      </c>
      <c r="I240">
        <v>0.8571428571428571</v>
      </c>
      <c r="K240" s="1" t="s">
        <v>13</v>
      </c>
      <c r="L240">
        <v>-0.24324324324324323</v>
      </c>
    </row>
    <row r="241" spans="3:12" x14ac:dyDescent="0.25">
      <c r="C241" s="54"/>
      <c r="D241" s="17" t="s">
        <v>160</v>
      </c>
      <c r="E241" s="17">
        <f>COUNTIFS($K$2:$K$144, "Activate Device", $E$2:$E$144, "&lt;=8",  $E$2:$E$144, "&gt;=7")</f>
        <v>1</v>
      </c>
      <c r="F241" s="51"/>
      <c r="H241" s="1" t="s">
        <v>37</v>
      </c>
      <c r="I241">
        <v>0.30769230769230771</v>
      </c>
      <c r="K241" s="1" t="s">
        <v>23</v>
      </c>
      <c r="L241">
        <v>5.7971014492753631E-2</v>
      </c>
    </row>
    <row r="242" spans="3:12" x14ac:dyDescent="0.25">
      <c r="C242" s="54"/>
      <c r="D242" s="17" t="s">
        <v>161</v>
      </c>
      <c r="E242" s="17">
        <f>COUNTIFS($K$2:$K$144, "Activate Device", $E$2:$E$144, "&lt;=10",  $E$2:$E$144, "&gt;=9")</f>
        <v>6</v>
      </c>
      <c r="F242" s="51"/>
      <c r="H242" s="1" t="s">
        <v>33</v>
      </c>
      <c r="I242">
        <v>0.4</v>
      </c>
      <c r="K242" s="1" t="s">
        <v>136</v>
      </c>
    </row>
    <row r="243" spans="3:12" x14ac:dyDescent="0.25">
      <c r="C243" s="54" t="s">
        <v>37</v>
      </c>
      <c r="D243" s="25" t="s">
        <v>159</v>
      </c>
      <c r="E243" s="17">
        <f>COUNTIFS($K$2:$K$144, "Add Data", $E$2:$E$144, "&lt;=6",  $E$2:$E$144, "&gt;=0")</f>
        <v>0</v>
      </c>
      <c r="F243" s="51">
        <f t="shared" ref="F243" si="7">(E245/SUM(E243:E245)-(E243/SUM(E243:E245)))</f>
        <v>0.30769230769230771</v>
      </c>
      <c r="H243" s="1" t="s">
        <v>156</v>
      </c>
      <c r="I243">
        <v>-1</v>
      </c>
      <c r="K243" s="1" t="s">
        <v>149</v>
      </c>
      <c r="L243">
        <v>-0.1852722287504896</v>
      </c>
    </row>
    <row r="244" spans="3:12" x14ac:dyDescent="0.25">
      <c r="C244" s="54"/>
      <c r="D244" s="17" t="s">
        <v>160</v>
      </c>
      <c r="E244" s="17">
        <f>COUNTIFS($K$2:$K$144, "Add Data", $E$2:$E$144, "&lt;=8",  $E$2:$E$144, "&gt;=7")</f>
        <v>9</v>
      </c>
      <c r="F244" s="51"/>
      <c r="H244" s="1" t="s">
        <v>25</v>
      </c>
      <c r="I244">
        <v>0</v>
      </c>
    </row>
    <row r="245" spans="3:12" x14ac:dyDescent="0.25">
      <c r="C245" s="54"/>
      <c r="D245" s="17" t="s">
        <v>161</v>
      </c>
      <c r="E245" s="17">
        <f>COUNTIFS($K$2:$K$144, "Add Data", $E$2:$E$144, "&lt;=10",  $E$2:$E$144, "&gt;=9")</f>
        <v>4</v>
      </c>
      <c r="F245" s="51"/>
      <c r="H245" s="1" t="s">
        <v>19</v>
      </c>
      <c r="I245">
        <v>-0.46153846153846156</v>
      </c>
      <c r="K245" s="24" t="s">
        <v>148</v>
      </c>
      <c r="L245" t="s">
        <v>163</v>
      </c>
    </row>
    <row r="246" spans="3:12" x14ac:dyDescent="0.25">
      <c r="C246" s="54" t="s">
        <v>33</v>
      </c>
      <c r="D246" s="25" t="s">
        <v>159</v>
      </c>
      <c r="E246" s="17">
        <f>COUNTIFS($K$2:$K$144, "Add Device", $E$2:$E$144, "&lt;=6",  $E$2:$E$144, "&gt;=0")</f>
        <v>0</v>
      </c>
      <c r="F246" s="51">
        <f t="shared" ref="F246" si="8">(E248/SUM(E246:E248)-(E246/SUM(E246:E248)))</f>
        <v>0.4</v>
      </c>
      <c r="H246" s="1" t="s">
        <v>28</v>
      </c>
      <c r="I246">
        <v>0.33333333333333331</v>
      </c>
      <c r="K246" s="1" t="s">
        <v>18</v>
      </c>
      <c r="L246">
        <v>-0.5</v>
      </c>
    </row>
    <row r="247" spans="3:12" x14ac:dyDescent="0.25">
      <c r="C247" s="54"/>
      <c r="D247" s="17" t="s">
        <v>160</v>
      </c>
      <c r="E247" s="17">
        <f>COUNTIFS($K$2:$K$144, "Add Device", $E$2:$E$144, "&lt;=8",  $E$2:$E$144, "&gt;=7")</f>
        <v>6</v>
      </c>
      <c r="F247" s="51"/>
      <c r="H247" s="1" t="s">
        <v>55</v>
      </c>
      <c r="I247">
        <v>-0.47368421052631576</v>
      </c>
      <c r="K247" s="1" t="s">
        <v>22</v>
      </c>
      <c r="L247">
        <v>-0.4375</v>
      </c>
    </row>
    <row r="248" spans="3:12" x14ac:dyDescent="0.25">
      <c r="C248" s="54"/>
      <c r="D248" s="17" t="s">
        <v>161</v>
      </c>
      <c r="E248" s="17">
        <f>COUNTIFS($K$2:$K$144, "Add Device", $E$2:$E$144, "&lt;=10",  $E$2:$E$144, "&gt;=9")</f>
        <v>4</v>
      </c>
      <c r="F248" s="51"/>
      <c r="H248" s="1" t="s">
        <v>73</v>
      </c>
      <c r="I248">
        <v>-0.72727272727272729</v>
      </c>
      <c r="K248" s="1" t="s">
        <v>138</v>
      </c>
      <c r="L248">
        <v>0.3888888888888889</v>
      </c>
    </row>
    <row r="249" spans="3:12" x14ac:dyDescent="0.25">
      <c r="C249" s="54" t="s">
        <v>15</v>
      </c>
      <c r="D249" s="25" t="s">
        <v>159</v>
      </c>
      <c r="E249" s="17">
        <f>COUNTIFS($K$2:$K$144, "Cancel Service", $E$2:$E$144, "&lt;=6",  $E$2:$E$144, "&gt;=0")</f>
        <v>3</v>
      </c>
      <c r="F249" s="51">
        <f t="shared" ref="F249" si="9">(E251/SUM(E249:E251)-(E249/SUM(E249:E251)))</f>
        <v>-1</v>
      </c>
      <c r="H249" s="1" t="s">
        <v>95</v>
      </c>
      <c r="I249">
        <v>0.10256410256410253</v>
      </c>
      <c r="K249" s="1" t="s">
        <v>12</v>
      </c>
      <c r="L249">
        <v>0.11940298507462685</v>
      </c>
    </row>
    <row r="250" spans="3:12" x14ac:dyDescent="0.25">
      <c r="C250" s="54"/>
      <c r="D250" s="17" t="s">
        <v>160</v>
      </c>
      <c r="E250" s="17">
        <f>COUNTIFS($K$2:$K$144, "Cancel Service", $E$2:$E$144, "&lt;=8",  $E$2:$E$144, "&gt;=7")</f>
        <v>0</v>
      </c>
      <c r="F250" s="51"/>
      <c r="H250" s="1" t="s">
        <v>32</v>
      </c>
      <c r="I250">
        <v>-0.44444444444444442</v>
      </c>
      <c r="K250" s="1" t="s">
        <v>27</v>
      </c>
      <c r="L250">
        <v>-0.625</v>
      </c>
    </row>
    <row r="251" spans="3:12" x14ac:dyDescent="0.25">
      <c r="C251" s="54"/>
      <c r="D251" s="17" t="s">
        <v>161</v>
      </c>
      <c r="E251" s="17">
        <f>COUNTIFS($K$2:$K$144, "Cancel Service", $E$2:$E$144, "&lt;=10",  $E$2:$E$144, "&gt;=9")</f>
        <v>0</v>
      </c>
      <c r="F251" s="51"/>
      <c r="H251" s="1" t="s">
        <v>136</v>
      </c>
      <c r="K251" s="1" t="s">
        <v>136</v>
      </c>
    </row>
    <row r="252" spans="3:12" x14ac:dyDescent="0.25">
      <c r="C252" s="54" t="s">
        <v>25</v>
      </c>
      <c r="D252" s="25" t="s">
        <v>159</v>
      </c>
      <c r="E252" s="17">
        <f>COUNTIFS($K$2:$K$144, "Change Plan", $E$2:$E$144, "&lt;=6",  $E$2:$E$144, "&gt;=0")</f>
        <v>0</v>
      </c>
      <c r="F252" s="51">
        <f t="shared" ref="F252" si="10">(E254/SUM(E252:E254)-(E252/SUM(E252:E254)))</f>
        <v>0</v>
      </c>
      <c r="H252" s="1" t="s">
        <v>149</v>
      </c>
      <c r="I252">
        <v>-1.1062072430493486</v>
      </c>
      <c r="K252" s="1" t="s">
        <v>149</v>
      </c>
      <c r="L252">
        <v>-1.0542081260364844</v>
      </c>
    </row>
    <row r="253" spans="3:12" ht="15.75" thickBot="1" x14ac:dyDescent="0.3">
      <c r="C253" s="54"/>
      <c r="D253" s="17" t="s">
        <v>160</v>
      </c>
      <c r="E253" s="17">
        <f>COUNTIFS($K$2:$K$144, "Change Plan", $E$2:$E$144, "&lt;=8",  $E$2:$E$144, "&gt;=7")</f>
        <v>4</v>
      </c>
      <c r="F253" s="51"/>
    </row>
    <row r="254" spans="3:12" ht="15.75" thickBot="1" x14ac:dyDescent="0.3">
      <c r="C254" s="54"/>
      <c r="D254" s="17" t="s">
        <v>161</v>
      </c>
      <c r="E254" s="17">
        <f>COUNTIFS($K$2:$K$144, "Change Plan", $E$2:$E$144, "&lt;=10",  $E$2:$E$144, "&gt;=9")</f>
        <v>0</v>
      </c>
      <c r="F254" s="51"/>
      <c r="H254" s="32" t="s">
        <v>157</v>
      </c>
      <c r="I254" s="33" t="s">
        <v>163</v>
      </c>
      <c r="J254" s="40" t="s">
        <v>135</v>
      </c>
    </row>
    <row r="255" spans="3:12" x14ac:dyDescent="0.25">
      <c r="C255" s="54" t="s">
        <v>19</v>
      </c>
      <c r="D255" s="25" t="s">
        <v>159</v>
      </c>
      <c r="E255" s="17">
        <f>COUNTIFS($K$2:$K$144, "Disconnect", $E$2:$E$144, "&lt;=6",  $E$2:$E$144, "&gt;=0")</f>
        <v>6</v>
      </c>
      <c r="F255" s="51">
        <f t="shared" ref="F255" si="11">(E257/SUM(E255:E257)-(E255/SUM(E255:E257)))</f>
        <v>-0.46153846153846156</v>
      </c>
      <c r="H255" s="34" t="s">
        <v>85</v>
      </c>
      <c r="I255" s="36">
        <v>0.8571428571428571</v>
      </c>
      <c r="J255" s="4">
        <v>4.7142857142857144</v>
      </c>
    </row>
    <row r="256" spans="3:12" x14ac:dyDescent="0.25">
      <c r="C256" s="54"/>
      <c r="D256" s="17" t="s">
        <v>160</v>
      </c>
      <c r="E256" s="17">
        <f>COUNTIFS($K$2:$K$144, "Disconnect", $E$2:$E$144, "&lt;=8",  $E$2:$E$144, "&gt;=7")</f>
        <v>7</v>
      </c>
      <c r="F256" s="51"/>
      <c r="H256" s="20" t="s">
        <v>37</v>
      </c>
      <c r="I256" s="37">
        <v>0.30769230769230771</v>
      </c>
      <c r="J256" s="4">
        <v>3.2307692307692308</v>
      </c>
    </row>
    <row r="257" spans="3:10" x14ac:dyDescent="0.25">
      <c r="C257" s="54"/>
      <c r="D257" s="17" t="s">
        <v>161</v>
      </c>
      <c r="E257" s="17">
        <f>COUNTIFS($K$2:$K$144, "Disconnect", $E$2:$E$144, "&lt;=10",  $E$2:$E$144, "&gt;=9")</f>
        <v>0</v>
      </c>
      <c r="F257" s="51"/>
      <c r="H257" s="20" t="s">
        <v>33</v>
      </c>
      <c r="I257" s="37">
        <v>0.4</v>
      </c>
      <c r="J257" s="4">
        <v>3</v>
      </c>
    </row>
    <row r="258" spans="3:10" x14ac:dyDescent="0.25">
      <c r="C258" s="54" t="s">
        <v>28</v>
      </c>
      <c r="D258" s="25" t="s">
        <v>159</v>
      </c>
      <c r="E258" s="17">
        <f>COUNTIFS($K$2:$K$144, "Explain Bill", $E$2:$E$144, "&lt;=6",  $E$2:$E$144, "&gt;=0")</f>
        <v>0</v>
      </c>
      <c r="F258" s="51">
        <f t="shared" ref="F258" si="12">(E260/SUM(E258:E260)-(E258/SUM(E258:E260)))</f>
        <v>0.33333333333333331</v>
      </c>
      <c r="H258" s="20" t="s">
        <v>15</v>
      </c>
      <c r="I258" s="37">
        <v>-1</v>
      </c>
      <c r="J258" s="4">
        <v>2.6666666666666665</v>
      </c>
    </row>
    <row r="259" spans="3:10" x14ac:dyDescent="0.25">
      <c r="C259" s="54"/>
      <c r="D259" s="17" t="s">
        <v>160</v>
      </c>
      <c r="E259" s="17">
        <f>COUNTIFS($K$2:$K$144, "Explain Bill", $E$2:$E$144, "&lt;=8",  $E$2:$E$144, "&gt;=7")</f>
        <v>4</v>
      </c>
      <c r="F259" s="51"/>
      <c r="H259" s="20" t="s">
        <v>25</v>
      </c>
      <c r="I259" s="37">
        <v>0</v>
      </c>
      <c r="J259" s="4">
        <v>2</v>
      </c>
    </row>
    <row r="260" spans="3:10" x14ac:dyDescent="0.25">
      <c r="C260" s="54"/>
      <c r="D260" s="17" t="s">
        <v>161</v>
      </c>
      <c r="E260" s="17">
        <f>COUNTIFS($K$2:$K$144, "Explain Bill", $E$2:$E$144, "&lt;=10",  $E$2:$E$144, "&gt;=9")</f>
        <v>2</v>
      </c>
      <c r="F260" s="51"/>
      <c r="H260" s="20" t="s">
        <v>19</v>
      </c>
      <c r="I260" s="37">
        <v>-0.46153846153846156</v>
      </c>
      <c r="J260" s="4">
        <v>1</v>
      </c>
    </row>
    <row r="261" spans="3:10" x14ac:dyDescent="0.25">
      <c r="C261" s="54" t="s">
        <v>55</v>
      </c>
      <c r="D261" s="25" t="s">
        <v>159</v>
      </c>
      <c r="E261" s="17">
        <f>COUNTIFS($K$2:$K$144, "Process Payment", $E$2:$E$144, "&lt;=6",  $E$2:$E$144, "&gt;=0")</f>
        <v>9</v>
      </c>
      <c r="F261" s="51">
        <f>(E263/SUM(E261:E263)-(E261/SUM(E261:E263)))</f>
        <v>-0.47368421052631576</v>
      </c>
      <c r="H261" s="20" t="s">
        <v>28</v>
      </c>
      <c r="I261" s="37">
        <v>0.33333333333333331</v>
      </c>
      <c r="J261" s="4">
        <v>3.3333333333333335</v>
      </c>
    </row>
    <row r="262" spans="3:10" x14ac:dyDescent="0.25">
      <c r="C262" s="54"/>
      <c r="D262" s="17" t="s">
        <v>160</v>
      </c>
      <c r="E262" s="17">
        <f>COUNTIFS($K$2:$K$144, "Process Payment", $E$2:$E$144, "&lt;=8",  $E$2:$E$144, "&gt;=7")</f>
        <v>10</v>
      </c>
      <c r="F262" s="51"/>
      <c r="H262" s="20" t="s">
        <v>55</v>
      </c>
      <c r="I262" s="37">
        <v>-0.47368421052631576</v>
      </c>
      <c r="J262" s="4">
        <v>4.5263157894736841</v>
      </c>
    </row>
    <row r="263" spans="3:10" x14ac:dyDescent="0.25">
      <c r="C263" s="54"/>
      <c r="D263" s="17" t="s">
        <v>161</v>
      </c>
      <c r="E263" s="17">
        <f>COUNTIFS($K$2:$K$144, "Process Payment", $E$2:$E$144, "&lt;=10",  $E$2:$E$144, "&gt;=9")</f>
        <v>0</v>
      </c>
      <c r="F263" s="51"/>
      <c r="H263" s="20" t="s">
        <v>73</v>
      </c>
      <c r="I263" s="37">
        <v>-0.72727272727272729</v>
      </c>
      <c r="J263" s="4">
        <v>2.5454545454545454</v>
      </c>
    </row>
    <row r="264" spans="3:10" x14ac:dyDescent="0.25">
      <c r="C264" s="54" t="s">
        <v>73</v>
      </c>
      <c r="D264" s="25" t="s">
        <v>159</v>
      </c>
      <c r="E264" s="17">
        <f>COUNTIFS($K$2:$K$144, "Provide Info", $E$2:$E$144, "&lt;=6",  $E$2:$E$144, "&gt;=0")</f>
        <v>8</v>
      </c>
      <c r="F264" s="51">
        <f t="shared" ref="F264" si="13">(E266/SUM(E264:E266)-(E264/SUM(E264:E266)))</f>
        <v>-0.72727272727272729</v>
      </c>
      <c r="H264" s="20" t="s">
        <v>95</v>
      </c>
      <c r="I264" s="37">
        <v>0.10256410256410253</v>
      </c>
      <c r="J264" s="4">
        <v>3.2051282051282053</v>
      </c>
    </row>
    <row r="265" spans="3:10" ht="15.75" thickBot="1" x14ac:dyDescent="0.3">
      <c r="C265" s="54"/>
      <c r="D265" s="17" t="s">
        <v>160</v>
      </c>
      <c r="E265" s="17">
        <f>COUNTIFS($K$2:$K$144, "Provide Info", $E$2:$E$144, "&lt;=8",  $E$2:$E$144, "&gt;=7")</f>
        <v>3</v>
      </c>
      <c r="F265" s="51"/>
      <c r="H265" s="21" t="s">
        <v>32</v>
      </c>
      <c r="I265" s="38">
        <v>-0.44444444444444442</v>
      </c>
      <c r="J265" s="23">
        <v>1</v>
      </c>
    </row>
    <row r="266" spans="3:10" x14ac:dyDescent="0.25">
      <c r="C266" s="54"/>
      <c r="D266" s="17" t="s">
        <v>161</v>
      </c>
      <c r="E266" s="17">
        <f>COUNTIFS($K$2:$K$144, "Provide Info", $E$2:$E$144, "&lt;=10",  $E$2:$E$144, "&gt;=9")</f>
        <v>0</v>
      </c>
      <c r="F266" s="51"/>
    </row>
    <row r="267" spans="3:10" x14ac:dyDescent="0.25">
      <c r="C267" s="54" t="s">
        <v>95</v>
      </c>
      <c r="D267" s="25" t="s">
        <v>159</v>
      </c>
      <c r="E267" s="17">
        <f>COUNTIFS($K$2:$K$144, "Refund Account", $E$2:$E$144, "&lt;=6",  $E$2:$E$144, "&gt;=0")</f>
        <v>6</v>
      </c>
      <c r="F267" s="51">
        <f t="shared" ref="F267" si="14">(E269/SUM(E267:E269)-(E267/SUM(E267:E269)))</f>
        <v>0.10256410256410253</v>
      </c>
    </row>
    <row r="268" spans="3:10" x14ac:dyDescent="0.25">
      <c r="C268" s="54"/>
      <c r="D268" s="17" t="s">
        <v>160</v>
      </c>
      <c r="E268" s="17">
        <f>COUNTIFS($K$2:$K$144, "Refund Account", $E$2:$E$144, "&lt;=8",  $E$2:$E$144, "&gt;=7")</f>
        <v>23</v>
      </c>
      <c r="F268" s="51"/>
    </row>
    <row r="269" spans="3:10" x14ac:dyDescent="0.25">
      <c r="C269" s="54"/>
      <c r="D269" s="17" t="s">
        <v>161</v>
      </c>
      <c r="E269" s="17">
        <f>COUNTIFS($K$2:$K$144, "Refund Account", $E$2:$E$144, "&lt;=10",  $E$2:$E$144, "&gt;=9")</f>
        <v>10</v>
      </c>
      <c r="F269" s="51"/>
    </row>
    <row r="270" spans="3:10" x14ac:dyDescent="0.25">
      <c r="C270" s="54" t="s">
        <v>32</v>
      </c>
      <c r="D270" s="25" t="s">
        <v>159</v>
      </c>
      <c r="E270" s="17">
        <f>COUNTIFS($K$2:$K$144, "Transfer", $E$2:$E$144, "&lt;=6",  $E$2:$E$144, "&gt;=0")</f>
        <v>8</v>
      </c>
      <c r="F270" s="51">
        <f t="shared" ref="F270" si="15">(E272/SUM(E270:E272)-(E270/SUM(E270:E272)))</f>
        <v>-0.44444444444444442</v>
      </c>
    </row>
    <row r="271" spans="3:10" x14ac:dyDescent="0.25">
      <c r="C271" s="54"/>
      <c r="D271" s="17" t="s">
        <v>160</v>
      </c>
      <c r="E271" s="17">
        <f>COUNTIFS($K$2:$K$144, "Transfer", $E$2:$E$144, "&lt;=8",  $E$2:$E$144, "&gt;=7")</f>
        <v>10</v>
      </c>
      <c r="F271" s="51"/>
    </row>
    <row r="272" spans="3:10" ht="15.75" thickBot="1" x14ac:dyDescent="0.3">
      <c r="C272" s="55"/>
      <c r="D272" s="17" t="s">
        <v>161</v>
      </c>
      <c r="E272" s="22">
        <f>COUNTIFS($K$2:$K$144, "Transfer", $E$2:$E$144, "&lt;=10",  $E$2:$E$144, "&gt;=9")</f>
        <v>0</v>
      </c>
      <c r="F272" s="51"/>
    </row>
    <row r="273" spans="3:10" ht="15.75" thickBot="1" x14ac:dyDescent="0.3"/>
    <row r="274" spans="3:10" ht="15.75" thickBot="1" x14ac:dyDescent="0.3">
      <c r="C274" s="29" t="s">
        <v>158</v>
      </c>
      <c r="D274" s="27" t="s">
        <v>153</v>
      </c>
      <c r="E274" s="27" t="s">
        <v>152</v>
      </c>
      <c r="F274" s="28" t="s">
        <v>154</v>
      </c>
      <c r="H274" s="44" t="s">
        <v>158</v>
      </c>
      <c r="I274" s="45" t="s">
        <v>164</v>
      </c>
      <c r="J274" s="40" t="s">
        <v>135</v>
      </c>
    </row>
    <row r="275" spans="3:10" x14ac:dyDescent="0.25">
      <c r="C275" s="56" t="s">
        <v>31</v>
      </c>
      <c r="D275" s="25" t="s">
        <v>159</v>
      </c>
      <c r="E275" s="25">
        <f>COUNTIFS($J$2:$J$144, "Add Services", $E$2:$E$144, "&lt;=6",  $E$2:$E$144, "&gt;=0")</f>
        <v>8</v>
      </c>
      <c r="F275" s="50">
        <f t="shared" ref="F275" si="16">(E277/SUM(E275:E277)-(E275/SUM(E275:E277)))</f>
        <v>-2.5000000000000022E-2</v>
      </c>
      <c r="H275" s="34" t="s">
        <v>31</v>
      </c>
      <c r="I275" s="43">
        <v>-2.5000000000000022E-2</v>
      </c>
      <c r="J275" s="4">
        <v>2.125</v>
      </c>
    </row>
    <row r="276" spans="3:10" x14ac:dyDescent="0.25">
      <c r="C276" s="54"/>
      <c r="D276" s="17" t="s">
        <v>160</v>
      </c>
      <c r="E276" s="17">
        <f>COUNTIFS($J$2:$J$144, "Add Services", $E$2:$E$144, "&lt;=8",  $E$2:$E$144, "&gt;=7")</f>
        <v>25</v>
      </c>
      <c r="F276" s="51"/>
      <c r="H276" s="20" t="s">
        <v>94</v>
      </c>
      <c r="I276" s="41">
        <v>-0.17647058823529413</v>
      </c>
      <c r="J276" s="4">
        <v>3.0588235294117645</v>
      </c>
    </row>
    <row r="277" spans="3:10" x14ac:dyDescent="0.25">
      <c r="C277" s="54"/>
      <c r="D277" s="17" t="s">
        <v>161</v>
      </c>
      <c r="E277" s="17">
        <f>COUNTIFS($J$2:$J$144, "Add Services", $E$2:$E$144, "&lt;=10",  $E$2:$E$144, "&gt;=9")</f>
        <v>7</v>
      </c>
      <c r="F277" s="51"/>
      <c r="H277" s="20" t="s">
        <v>109</v>
      </c>
      <c r="I277" s="41">
        <v>0.30000000000000004</v>
      </c>
      <c r="J277" s="4">
        <v>2.9666666666666668</v>
      </c>
    </row>
    <row r="278" spans="3:10" x14ac:dyDescent="0.25">
      <c r="C278" s="54" t="s">
        <v>109</v>
      </c>
      <c r="D278" s="25" t="s">
        <v>159</v>
      </c>
      <c r="E278" s="17">
        <f>COUNTIFS($J$2:$J$144, "Billing Question", $E$2:$E$144, "&lt;=6",  $E$2:$E$144, "&gt;=0")</f>
        <v>3</v>
      </c>
      <c r="F278" s="51">
        <f t="shared" ref="F278:F296" si="17">(E280/SUM(E278:E280)-(E278/SUM(E278:E280)))</f>
        <v>0.30000000000000004</v>
      </c>
      <c r="H278" s="20" t="s">
        <v>15</v>
      </c>
      <c r="I278" s="41">
        <v>-0.75</v>
      </c>
      <c r="J278" s="4">
        <v>2.875</v>
      </c>
    </row>
    <row r="279" spans="3:10" x14ac:dyDescent="0.25">
      <c r="C279" s="54"/>
      <c r="D279" s="17" t="s">
        <v>160</v>
      </c>
      <c r="E279" s="17">
        <f>COUNTIFS($J$2:$J$144, "Billing Question", $E$2:$E$144, "&lt;=8",  $E$2:$E$144, "&gt;=7")</f>
        <v>15</v>
      </c>
      <c r="F279" s="51"/>
      <c r="H279" s="20" t="s">
        <v>25</v>
      </c>
      <c r="I279" s="41">
        <v>0.16666666666666666</v>
      </c>
      <c r="J279" s="4">
        <v>1.6666666666666667</v>
      </c>
    </row>
    <row r="280" spans="3:10" x14ac:dyDescent="0.25">
      <c r="C280" s="54"/>
      <c r="D280" s="17" t="s">
        <v>161</v>
      </c>
      <c r="E280" s="17">
        <f>COUNTIFS($J$2:$J$144, "Billing Question", $E$2:$E$144, "&lt;=10",  $E$2:$E$144, "&gt;=9")</f>
        <v>12</v>
      </c>
      <c r="F280" s="51"/>
      <c r="H280" s="20" t="s">
        <v>83</v>
      </c>
      <c r="I280" s="41">
        <v>0.625</v>
      </c>
      <c r="J280" s="4">
        <v>4.25</v>
      </c>
    </row>
    <row r="281" spans="3:10" x14ac:dyDescent="0.25">
      <c r="C281" s="54" t="s">
        <v>54</v>
      </c>
      <c r="D281" s="25" t="s">
        <v>159</v>
      </c>
      <c r="E281" s="17">
        <f>COUNTIFS($J$2:$J$144, "Make a Payment", $E$2:$E$144, "&lt;=6",  $E$2:$E$144, "&gt;=0")</f>
        <v>11</v>
      </c>
      <c r="F281" s="51">
        <f t="shared" si="17"/>
        <v>-0.52380952380952384</v>
      </c>
      <c r="H281" s="20" t="s">
        <v>54</v>
      </c>
      <c r="I281" s="41">
        <v>-0.52380952380952384</v>
      </c>
      <c r="J281" s="4">
        <v>4.1904761904761907</v>
      </c>
    </row>
    <row r="282" spans="3:10" ht="15.75" thickBot="1" x14ac:dyDescent="0.3">
      <c r="C282" s="54"/>
      <c r="D282" s="17" t="s">
        <v>160</v>
      </c>
      <c r="E282" s="17">
        <f>COUNTIFS($J$2:$J$144, "Make a Payment", $E$2:$E$144, "&lt;=8",  $E$2:$E$144, "&gt;=7")</f>
        <v>10</v>
      </c>
      <c r="F282" s="51"/>
      <c r="H282" s="21" t="s">
        <v>72</v>
      </c>
      <c r="I282" s="42">
        <v>-0.61538461538461542</v>
      </c>
      <c r="J282" s="23">
        <v>2.3076923076923075</v>
      </c>
    </row>
    <row r="283" spans="3:10" x14ac:dyDescent="0.25">
      <c r="C283" s="54"/>
      <c r="D283" s="17" t="s">
        <v>161</v>
      </c>
      <c r="E283" s="17">
        <f>COUNTIFS($J$2:$J$144, "Make a Payment", $E$2:$E$144, "&lt;=10",  $E$2:$E$144, "&gt;=9")</f>
        <v>0</v>
      </c>
      <c r="F283" s="51"/>
      <c r="H283" s="1" t="s">
        <v>136</v>
      </c>
      <c r="I283" s="31"/>
    </row>
    <row r="284" spans="3:10" ht="15.75" thickBot="1" x14ac:dyDescent="0.3">
      <c r="C284" s="54" t="s">
        <v>94</v>
      </c>
      <c r="D284" s="25" t="s">
        <v>159</v>
      </c>
      <c r="E284" s="17">
        <f>COUNTIFS($J$2:$J$144, "Billing Dispute", $E$2:$E$144, "&lt;=6",  $E$2:$E$144, "&gt;=0")</f>
        <v>3</v>
      </c>
      <c r="F284" s="51">
        <f t="shared" si="17"/>
        <v>-0.17647058823529413</v>
      </c>
    </row>
    <row r="285" spans="3:10" ht="15.75" thickBot="1" x14ac:dyDescent="0.3">
      <c r="C285" s="54"/>
      <c r="D285" s="17" t="s">
        <v>160</v>
      </c>
      <c r="E285" s="17">
        <f>COUNTIFS($J$2:$J$144, "Billing Dispute", $E$2:$E$144, "&lt;=8",  $E$2:$E$144, "&gt;=7")</f>
        <v>14</v>
      </c>
      <c r="F285" s="51"/>
      <c r="H285" s="32" t="s">
        <v>158</v>
      </c>
      <c r="I285" s="35" t="s">
        <v>164</v>
      </c>
    </row>
    <row r="286" spans="3:10" x14ac:dyDescent="0.25">
      <c r="C286" s="54"/>
      <c r="D286" s="17" t="s">
        <v>161</v>
      </c>
      <c r="E286" s="17">
        <f>COUNTIFS($J$2:$J$144, "Billing Dispute", $E$2:$E$144, "&lt;=10",  $E$2:$E$144, "&gt;=9")</f>
        <v>0</v>
      </c>
      <c r="F286" s="51"/>
      <c r="H286" s="34" t="s">
        <v>31</v>
      </c>
      <c r="I286" s="36">
        <v>-2.5000000000000022E-2</v>
      </c>
    </row>
    <row r="287" spans="3:10" x14ac:dyDescent="0.25">
      <c r="C287" s="54" t="s">
        <v>72</v>
      </c>
      <c r="D287" s="25" t="s">
        <v>159</v>
      </c>
      <c r="E287" s="17">
        <f>COUNTIFS($J$2:$J$144, "Service Question", $E$2:$E$144, "&lt;=6",  $E$2:$E$144, "&gt;=0")</f>
        <v>8</v>
      </c>
      <c r="F287" s="51">
        <f t="shared" si="17"/>
        <v>-0.61538461538461542</v>
      </c>
      <c r="H287" s="20" t="s">
        <v>94</v>
      </c>
      <c r="I287" s="37">
        <v>-0.17647058823529413</v>
      </c>
    </row>
    <row r="288" spans="3:10" x14ac:dyDescent="0.25">
      <c r="C288" s="54"/>
      <c r="D288" s="17" t="s">
        <v>160</v>
      </c>
      <c r="E288" s="17">
        <f>COUNTIFS($J$2:$J$144, "Service Question", $E$2:$E$144, "&lt;=8",  $E$2:$E$144, "&gt;=7")</f>
        <v>5</v>
      </c>
      <c r="F288" s="51"/>
      <c r="H288" s="20" t="s">
        <v>109</v>
      </c>
      <c r="I288" s="37">
        <v>0.30000000000000004</v>
      </c>
    </row>
    <row r="289" spans="3:9" x14ac:dyDescent="0.25">
      <c r="C289" s="54"/>
      <c r="D289" s="17" t="s">
        <v>161</v>
      </c>
      <c r="E289" s="17">
        <f>COUNTIFS($J$2:$J$144, "Service Question", $E$2:$E$144, "&lt;=10",  $E$2:$E$144, "&gt;=9")</f>
        <v>0</v>
      </c>
      <c r="F289" s="51"/>
      <c r="H289" s="20" t="s">
        <v>15</v>
      </c>
      <c r="I289" s="37">
        <v>-0.75</v>
      </c>
    </row>
    <row r="290" spans="3:9" x14ac:dyDescent="0.25">
      <c r="C290" s="54" t="s">
        <v>15</v>
      </c>
      <c r="D290" s="25" t="s">
        <v>159</v>
      </c>
      <c r="E290" s="17">
        <f>COUNTIFS($J$2:$J$144, "Cancel Service", $E$2:$E$144, "&lt;=6",  $E$2:$E$144, "&gt;=0")</f>
        <v>6</v>
      </c>
      <c r="F290" s="51">
        <f t="shared" si="17"/>
        <v>-0.75</v>
      </c>
      <c r="H290" s="20" t="s">
        <v>25</v>
      </c>
      <c r="I290" s="37">
        <v>0.16666666666666666</v>
      </c>
    </row>
    <row r="291" spans="3:9" x14ac:dyDescent="0.25">
      <c r="C291" s="54"/>
      <c r="D291" s="17" t="s">
        <v>160</v>
      </c>
      <c r="E291" s="17">
        <f>COUNTIFS($J$2:$J$144, "Cancel Service", $E$2:$E$144, "&lt;=8",  $E$2:$E$144, "&gt;=7")</f>
        <v>2</v>
      </c>
      <c r="F291" s="51"/>
      <c r="H291" s="20" t="s">
        <v>83</v>
      </c>
      <c r="I291" s="37">
        <v>0.625</v>
      </c>
    </row>
    <row r="292" spans="3:9" x14ac:dyDescent="0.25">
      <c r="C292" s="54"/>
      <c r="D292" s="17" t="s">
        <v>161</v>
      </c>
      <c r="E292" s="17">
        <f>COUNTIFS($J$2:$J$144, "Cancel Service", $E$2:$E$144, "&lt;=10",  $E$2:$E$144, "&gt;=9")</f>
        <v>0</v>
      </c>
      <c r="F292" s="51"/>
      <c r="H292" s="20" t="s">
        <v>54</v>
      </c>
      <c r="I292" s="37">
        <v>-0.52380952380952384</v>
      </c>
    </row>
    <row r="293" spans="3:9" ht="15.75" thickBot="1" x14ac:dyDescent="0.3">
      <c r="C293" s="54" t="s">
        <v>83</v>
      </c>
      <c r="D293" s="25" t="s">
        <v>159</v>
      </c>
      <c r="E293" s="17">
        <f>COUNTIFS($J$2:$J$144, "Device Question", $E$2:$E$144, "&lt;=6",  $E$2:$E$144, "&gt;=0")</f>
        <v>1</v>
      </c>
      <c r="F293" s="51">
        <f t="shared" si="17"/>
        <v>0.625</v>
      </c>
      <c r="H293" s="21" t="s">
        <v>72</v>
      </c>
      <c r="I293" s="38">
        <v>-0.61538461538461542</v>
      </c>
    </row>
    <row r="294" spans="3:9" x14ac:dyDescent="0.25">
      <c r="C294" s="54"/>
      <c r="D294" s="17" t="s">
        <v>160</v>
      </c>
      <c r="E294" s="17">
        <f>COUNTIFS($J$2:$J$144, "Device Question", $E$2:$E$144, "&lt;=8",  $E$2:$E$144, "&gt;=7")</f>
        <v>1</v>
      </c>
      <c r="F294" s="51"/>
    </row>
    <row r="295" spans="3:9" x14ac:dyDescent="0.25">
      <c r="C295" s="54"/>
      <c r="D295" s="17" t="s">
        <v>161</v>
      </c>
      <c r="E295" s="17">
        <f>COUNTIFS($J$2:$J$144, "Device Question", $E$2:$E$144, "&lt;=10",  $E$2:$E$144, "&gt;=9")</f>
        <v>6</v>
      </c>
      <c r="F295" s="51"/>
    </row>
    <row r="296" spans="3:9" x14ac:dyDescent="0.25">
      <c r="C296" s="54" t="s">
        <v>25</v>
      </c>
      <c r="D296" s="25" t="s">
        <v>159</v>
      </c>
      <c r="E296" s="17">
        <f>COUNTIFS($J$2:$J$144, "Change Plan", $E$2:$E$144, "&lt;=6",  $E$2:$E$144, "&gt;=0")</f>
        <v>0</v>
      </c>
      <c r="F296" s="51">
        <f t="shared" si="17"/>
        <v>0.16666666666666666</v>
      </c>
    </row>
    <row r="297" spans="3:9" x14ac:dyDescent="0.25">
      <c r="C297" s="54"/>
      <c r="D297" s="17" t="s">
        <v>160</v>
      </c>
      <c r="E297" s="17">
        <f>COUNTIFS($J$2:$J$144, "Change Plan", $E$2:$E$144, "&lt;=8",  $E$2:$E$144, "&gt;=7")</f>
        <v>5</v>
      </c>
      <c r="F297" s="51"/>
    </row>
    <row r="298" spans="3:9" ht="15.75" thickBot="1" x14ac:dyDescent="0.3">
      <c r="C298" s="55"/>
      <c r="D298" s="17" t="s">
        <v>161</v>
      </c>
      <c r="E298" s="22">
        <f>COUNTIFS($J$2:$J$144, "Change Plan", $E$2:$E$144, "&lt;=10",  $E$2:$E$144, "&gt;=9")</f>
        <v>1</v>
      </c>
      <c r="F298" s="52"/>
    </row>
    <row r="299" spans="3:9" ht="15.75" thickBot="1" x14ac:dyDescent="0.3"/>
    <row r="300" spans="3:9" ht="15.75" thickBot="1" x14ac:dyDescent="0.3">
      <c r="C300" s="29" t="s">
        <v>162</v>
      </c>
      <c r="D300" s="27" t="s">
        <v>153</v>
      </c>
      <c r="E300" s="27" t="s">
        <v>152</v>
      </c>
      <c r="F300" s="28" t="s">
        <v>154</v>
      </c>
      <c r="H300" s="24" t="s">
        <v>148</v>
      </c>
      <c r="I300" t="s">
        <v>163</v>
      </c>
    </row>
    <row r="301" spans="3:9" x14ac:dyDescent="0.25">
      <c r="C301" s="53">
        <v>1</v>
      </c>
      <c r="D301" s="25" t="s">
        <v>159</v>
      </c>
      <c r="E301" s="25">
        <f>COUNTIFS($F$2:$F$144, "=1", $E$2:$E$144, "&lt;=6",  $E$2:$E$144, "&gt;=0")</f>
        <v>15</v>
      </c>
      <c r="F301" s="50">
        <f t="shared" ref="F301" si="18">(E303/SUM(E301:E303)-(E301/SUM(E301:E303)))</f>
        <v>-0.40540540540540543</v>
      </c>
      <c r="H301" s="1">
        <v>1</v>
      </c>
      <c r="I301">
        <v>-0.40540540540540543</v>
      </c>
    </row>
    <row r="302" spans="3:9" x14ac:dyDescent="0.25">
      <c r="C302" s="48"/>
      <c r="D302" s="17" t="s">
        <v>160</v>
      </c>
      <c r="E302" s="17">
        <f>COUNTIFS($F$2:$F$144, "=1", $E$2:$E$144, "&lt;=8",  $E$2:$E$144, "&gt;=7")</f>
        <v>22</v>
      </c>
      <c r="F302" s="51"/>
      <c r="H302" s="1">
        <v>2</v>
      </c>
      <c r="I302">
        <v>-0.42105263157894735</v>
      </c>
    </row>
    <row r="303" spans="3:9" x14ac:dyDescent="0.25">
      <c r="C303" s="48"/>
      <c r="D303" s="17" t="s">
        <v>161</v>
      </c>
      <c r="E303" s="17">
        <f>COUNTIFS($F$2:$F$144, "=1", $E$2:$E$144, "&lt;=10",  $E$2:$E$144, "&gt;=9")</f>
        <v>0</v>
      </c>
      <c r="F303" s="51"/>
      <c r="H303" s="1">
        <v>3</v>
      </c>
      <c r="I303">
        <v>0.14285714285714288</v>
      </c>
    </row>
    <row r="304" spans="3:9" x14ac:dyDescent="0.25">
      <c r="C304" s="48">
        <v>2</v>
      </c>
      <c r="D304" s="17" t="s">
        <v>159</v>
      </c>
      <c r="E304" s="17">
        <f>COUNTIFS($F$2:$F$144, "=2", $E$2:$E$144, "&lt;=6",  $E$2:$E$144, "&gt;=0")</f>
        <v>10</v>
      </c>
      <c r="F304" s="51">
        <f t="shared" ref="F304:F313" si="19">(E306/SUM(E304:E306)-(E304/SUM(E304:E306)))</f>
        <v>-0.42105263157894735</v>
      </c>
      <c r="H304" s="1">
        <v>4</v>
      </c>
      <c r="I304">
        <v>-0.13333333333333336</v>
      </c>
    </row>
    <row r="305" spans="3:9" x14ac:dyDescent="0.25">
      <c r="C305" s="48"/>
      <c r="D305" s="17" t="s">
        <v>160</v>
      </c>
      <c r="E305" s="17">
        <f>COUNTIFS($F$2:$F$144, "=2", $E$2:$E$144, "&lt;=8",  $E$2:$E$144, "&gt;=7")</f>
        <v>7</v>
      </c>
      <c r="F305" s="51"/>
      <c r="H305" s="1">
        <v>5</v>
      </c>
      <c r="I305">
        <v>0.16666666666666669</v>
      </c>
    </row>
    <row r="306" spans="3:9" x14ac:dyDescent="0.25">
      <c r="C306" s="48"/>
      <c r="D306" s="17" t="s">
        <v>161</v>
      </c>
      <c r="E306" s="17">
        <f>COUNTIFS($F$2:$F$144, "=2", $E$2:$E$144, "&lt;=10",  $E$2:$E$144, "&gt;=9")</f>
        <v>2</v>
      </c>
      <c r="F306" s="51"/>
      <c r="H306" s="1" t="s">
        <v>136</v>
      </c>
    </row>
    <row r="307" spans="3:9" ht="15.75" thickBot="1" x14ac:dyDescent="0.3">
      <c r="C307" s="48">
        <v>3</v>
      </c>
      <c r="D307" s="17" t="s">
        <v>159</v>
      </c>
      <c r="E307" s="17">
        <f>COUNTIFS($F$2:$F$144, "=3", $E$2:$E$144, "&lt;=6",  $E$2:$E$144, "&gt;=0")</f>
        <v>5</v>
      </c>
      <c r="F307" s="51">
        <f t="shared" si="19"/>
        <v>0.14285714285714288</v>
      </c>
    </row>
    <row r="308" spans="3:9" ht="15.75" thickBot="1" x14ac:dyDescent="0.3">
      <c r="C308" s="48"/>
      <c r="D308" s="17" t="s">
        <v>160</v>
      </c>
      <c r="E308" s="17">
        <f>COUNTIFS($F$2:$F$144, "=3", $E$2:$E$144, "&lt;=8",  $E$2:$E$144, "&gt;=7")</f>
        <v>26</v>
      </c>
      <c r="F308" s="51"/>
      <c r="H308" s="32" t="s">
        <v>162</v>
      </c>
      <c r="I308" s="33" t="s">
        <v>163</v>
      </c>
    </row>
    <row r="309" spans="3:9" x14ac:dyDescent="0.25">
      <c r="C309" s="48"/>
      <c r="D309" s="17" t="s">
        <v>161</v>
      </c>
      <c r="E309" s="17">
        <f>COUNTIFS($F$2:$F$144, "=3", $E$2:$E$144, "&lt;=10",  $E$2:$E$144, "&gt;=9")</f>
        <v>11</v>
      </c>
      <c r="F309" s="51"/>
      <c r="H309" s="34">
        <v>1</v>
      </c>
      <c r="I309" s="36">
        <v>-0.40540540540540543</v>
      </c>
    </row>
    <row r="310" spans="3:9" x14ac:dyDescent="0.25">
      <c r="C310" s="48">
        <v>4</v>
      </c>
      <c r="D310" s="17" t="s">
        <v>159</v>
      </c>
      <c r="E310" s="17">
        <f>COUNTIFS($F$2:$F$144, "=4", $E$2:$E$144, "&lt;=6",  $E$2:$E$144, "&gt;=0")</f>
        <v>3</v>
      </c>
      <c r="F310" s="51">
        <f t="shared" si="19"/>
        <v>-0.13333333333333336</v>
      </c>
      <c r="H310" s="20">
        <v>2</v>
      </c>
      <c r="I310" s="37">
        <v>-0.42105263157894735</v>
      </c>
    </row>
    <row r="311" spans="3:9" x14ac:dyDescent="0.25">
      <c r="C311" s="48"/>
      <c r="D311" s="17" t="s">
        <v>160</v>
      </c>
      <c r="E311" s="17">
        <f>COUNTIFS($F$2:$F$144, "=4", $E$2:$E$144, "&lt;=8",  $E$2:$E$144, "&gt;=7")</f>
        <v>11</v>
      </c>
      <c r="F311" s="51"/>
      <c r="H311" s="20">
        <v>3</v>
      </c>
      <c r="I311" s="37">
        <v>0.14285714285714288</v>
      </c>
    </row>
    <row r="312" spans="3:9" x14ac:dyDescent="0.25">
      <c r="C312" s="48"/>
      <c r="D312" s="17" t="s">
        <v>161</v>
      </c>
      <c r="E312" s="17">
        <f>COUNTIFS($F$2:$F$144, "=4", $E$2:$E$144, "&lt;=10",  $E$2:$E$144, "&gt;=9")</f>
        <v>1</v>
      </c>
      <c r="F312" s="51"/>
      <c r="H312" s="20">
        <v>4</v>
      </c>
      <c r="I312" s="37">
        <v>-0.13333333333333336</v>
      </c>
    </row>
    <row r="313" spans="3:9" ht="15.75" thickBot="1" x14ac:dyDescent="0.3">
      <c r="C313" s="48">
        <v>5</v>
      </c>
      <c r="D313" s="17" t="s">
        <v>159</v>
      </c>
      <c r="E313" s="17">
        <f>COUNTIFS($F$2:$F$144, "=5", $E$2:$E$144, "&lt;=6",  $E$2:$E$144, "&gt;=0")</f>
        <v>7</v>
      </c>
      <c r="F313" s="51">
        <f t="shared" si="19"/>
        <v>0.16666666666666669</v>
      </c>
      <c r="H313" s="21">
        <v>5</v>
      </c>
      <c r="I313" s="38">
        <v>0.16666666666666669</v>
      </c>
    </row>
    <row r="314" spans="3:9" x14ac:dyDescent="0.25">
      <c r="C314" s="48"/>
      <c r="D314" s="17" t="s">
        <v>160</v>
      </c>
      <c r="E314" s="17">
        <f>COUNTIFS($F$2:$F$144, "=5", $E$2:$E$144, "&lt;=8",  $E$2:$E$144, "&gt;=7")</f>
        <v>11</v>
      </c>
      <c r="F314" s="51"/>
    </row>
    <row r="315" spans="3:9" ht="15.75" thickBot="1" x14ac:dyDescent="0.3">
      <c r="C315" s="49"/>
      <c r="D315" s="22" t="s">
        <v>161</v>
      </c>
      <c r="E315" s="22">
        <f>COUNTIFS($F$2:$F$144, "=5", $E$2:$E$144, "&lt;=10",  $E$2:$E$144, "&gt;=9")</f>
        <v>12</v>
      </c>
      <c r="F315" s="52"/>
    </row>
    <row r="316" spans="3:9" x14ac:dyDescent="0.25">
      <c r="C316" s="30"/>
      <c r="D316"/>
    </row>
    <row r="317" spans="3:9" x14ac:dyDescent="0.25">
      <c r="C317" s="30"/>
      <c r="D317"/>
    </row>
    <row r="318" spans="3:9" x14ac:dyDescent="0.25">
      <c r="C318" s="30"/>
      <c r="D318"/>
    </row>
  </sheetData>
  <sortState xmlns:xlrd2="http://schemas.microsoft.com/office/spreadsheetml/2017/richdata2" ref="J167:K177">
    <sortCondition descending="1" ref="K167:K177"/>
  </sortState>
  <mergeCells count="62">
    <mergeCell ref="C246:C248"/>
    <mergeCell ref="F215:F217"/>
    <mergeCell ref="F218:F220"/>
    <mergeCell ref="F221:F223"/>
    <mergeCell ref="F224:F226"/>
    <mergeCell ref="F227:F229"/>
    <mergeCell ref="F232:F234"/>
    <mergeCell ref="C215:C217"/>
    <mergeCell ref="C218:C220"/>
    <mergeCell ref="C221:C223"/>
    <mergeCell ref="C224:C226"/>
    <mergeCell ref="C227:C229"/>
    <mergeCell ref="F235:F237"/>
    <mergeCell ref="C232:C234"/>
    <mergeCell ref="C235:C237"/>
    <mergeCell ref="C240:C242"/>
    <mergeCell ref="C243:C245"/>
    <mergeCell ref="C281:C283"/>
    <mergeCell ref="C267:C269"/>
    <mergeCell ref="C270:C272"/>
    <mergeCell ref="F240:F242"/>
    <mergeCell ref="F243:F245"/>
    <mergeCell ref="F246:F248"/>
    <mergeCell ref="F249:F251"/>
    <mergeCell ref="F252:F254"/>
    <mergeCell ref="F255:F257"/>
    <mergeCell ref="F258:F260"/>
    <mergeCell ref="F261:F263"/>
    <mergeCell ref="C249:C251"/>
    <mergeCell ref="C252:C254"/>
    <mergeCell ref="C255:C257"/>
    <mergeCell ref="C258:C260"/>
    <mergeCell ref="C261:C263"/>
    <mergeCell ref="F264:F266"/>
    <mergeCell ref="F267:F269"/>
    <mergeCell ref="F270:F272"/>
    <mergeCell ref="C275:C277"/>
    <mergeCell ref="C278:C280"/>
    <mergeCell ref="C264:C266"/>
    <mergeCell ref="F275:F277"/>
    <mergeCell ref="F278:F280"/>
    <mergeCell ref="F281:F283"/>
    <mergeCell ref="F284:F286"/>
    <mergeCell ref="F287:F289"/>
    <mergeCell ref="C284:C286"/>
    <mergeCell ref="C287:C289"/>
    <mergeCell ref="C290:C292"/>
    <mergeCell ref="C293:C295"/>
    <mergeCell ref="C296:C298"/>
    <mergeCell ref="F290:F292"/>
    <mergeCell ref="F293:F295"/>
    <mergeCell ref="F296:F298"/>
    <mergeCell ref="C301:C303"/>
    <mergeCell ref="C304:C306"/>
    <mergeCell ref="C310:C312"/>
    <mergeCell ref="C313:C315"/>
    <mergeCell ref="F301:F303"/>
    <mergeCell ref="F304:F306"/>
    <mergeCell ref="F307:F309"/>
    <mergeCell ref="F310:F312"/>
    <mergeCell ref="F313:F315"/>
    <mergeCell ref="C307:C309"/>
  </mergeCells>
  <conditionalFormatting sqref="C174:C184">
    <cfRule type="top10" dxfId="68" priority="46" percent="1" bottom="1" rank="50"/>
  </conditionalFormatting>
  <conditionalFormatting sqref="D174:D184 B174:B184">
    <cfRule type="top10" dxfId="67" priority="62" percent="1" bottom="1" rank="25"/>
  </conditionalFormatting>
  <conditionalFormatting sqref="D174:D184 B174:B184">
    <cfRule type="top10" dxfId="66" priority="64" percent="1" bottom="1" rank="50"/>
  </conditionalFormatting>
  <conditionalFormatting pivot="1" sqref="G159:G163">
    <cfRule type="top10" dxfId="65" priority="30" percent="1" bottom="1" rank="30"/>
  </conditionalFormatting>
  <conditionalFormatting pivot="1" sqref="H159:H163">
    <cfRule type="top10" dxfId="64" priority="29" percent="1" bottom="1" rank="30"/>
  </conditionalFormatting>
  <conditionalFormatting pivot="1" sqref="G167:G174">
    <cfRule type="top10" dxfId="63" priority="28" percent="1" bottom="1" rank="30"/>
  </conditionalFormatting>
  <conditionalFormatting pivot="1" sqref="H167:H174">
    <cfRule type="top10" dxfId="62" priority="27" percent="1" bottom="1" rank="30"/>
  </conditionalFormatting>
  <conditionalFormatting pivot="1" sqref="G178:G188">
    <cfRule type="top10" dxfId="61" priority="26" percent="1" bottom="1" rank="30"/>
  </conditionalFormatting>
  <conditionalFormatting pivot="1" sqref="H178:H188">
    <cfRule type="top10" dxfId="60" priority="25" percent="1" bottom="1" rank="30"/>
  </conditionalFormatting>
  <conditionalFormatting pivot="1" sqref="G154:G155">
    <cfRule type="top10" dxfId="59" priority="24" percent="1" bottom="1" rank="30"/>
  </conditionalFormatting>
  <conditionalFormatting pivot="1" sqref="H154:H155">
    <cfRule type="top10" dxfId="58" priority="23" percent="1" bottom="1" rank="30"/>
  </conditionalFormatting>
  <conditionalFormatting pivot="1" sqref="G149:G150">
    <cfRule type="top10" dxfId="57" priority="22" percent="1" bottom="1" rank="30"/>
  </conditionalFormatting>
  <conditionalFormatting pivot="1" sqref="H149:H150">
    <cfRule type="top10" dxfId="56" priority="21" percent="1" bottom="1" rank="30"/>
  </conditionalFormatting>
  <conditionalFormatting pivot="1" sqref="G192:G194">
    <cfRule type="top10" dxfId="55" priority="20" percent="1" bottom="1" rank="30"/>
  </conditionalFormatting>
  <conditionalFormatting pivot="1" sqref="H192:H194">
    <cfRule type="top10" dxfId="54" priority="19" percent="1" bottom="1" rank="30"/>
  </conditionalFormatting>
  <conditionalFormatting sqref="F215:F229">
    <cfRule type="cellIs" dxfId="53" priority="18" operator="lessThan">
      <formula>-0.3</formula>
    </cfRule>
    <cfRule type="cellIs" dxfId="52" priority="17" operator="lessThan">
      <formula>0.3</formula>
    </cfRule>
  </conditionalFormatting>
  <conditionalFormatting sqref="F232:F234">
    <cfRule type="cellIs" dxfId="51" priority="16" operator="lessThan">
      <formula>0.3</formula>
    </cfRule>
  </conditionalFormatting>
  <conditionalFormatting sqref="F240:F272">
    <cfRule type="cellIs" dxfId="50" priority="15" operator="lessThan">
      <formula>0.3</formula>
    </cfRule>
  </conditionalFormatting>
  <conditionalFormatting sqref="F275:F298">
    <cfRule type="cellIs" dxfId="49" priority="14" operator="lessThan">
      <formula>0.3</formula>
    </cfRule>
  </conditionalFormatting>
  <conditionalFormatting sqref="F301:F315">
    <cfRule type="cellIs" dxfId="48" priority="13" operator="lessThan">
      <formula>0.3</formula>
    </cfRule>
  </conditionalFormatting>
  <conditionalFormatting sqref="I286:I293">
    <cfRule type="cellIs" dxfId="47" priority="10" operator="lessThan">
      <formula>0</formula>
    </cfRule>
  </conditionalFormatting>
  <conditionalFormatting sqref="I309:I313">
    <cfRule type="cellIs" dxfId="46" priority="9" operator="lessThan">
      <formula>0</formula>
    </cfRule>
  </conditionalFormatting>
  <conditionalFormatting sqref="I232:I233">
    <cfRule type="cellIs" dxfId="45" priority="8" operator="lessThan">
      <formula>0</formula>
    </cfRule>
  </conditionalFormatting>
  <conditionalFormatting sqref="I255:I265">
    <cfRule type="cellIs" dxfId="44" priority="7" operator="lessThan">
      <formula>0</formula>
    </cfRule>
  </conditionalFormatting>
  <conditionalFormatting sqref="I215:I219">
    <cfRule type="cellIs" dxfId="43" priority="6" operator="lessThan">
      <formula>0</formula>
    </cfRule>
  </conditionalFormatting>
  <conditionalFormatting sqref="I274:I282">
    <cfRule type="cellIs" dxfId="42" priority="5" operator="lessThan">
      <formula>0</formula>
    </cfRule>
  </conditionalFormatting>
  <conditionalFormatting sqref="J215:J219">
    <cfRule type="top10" dxfId="41" priority="4" percent="1" bottom="1" rank="30"/>
  </conditionalFormatting>
  <conditionalFormatting sqref="J275:J282">
    <cfRule type="top10" dxfId="40" priority="3" percent="1" bottom="1" rank="30"/>
  </conditionalFormatting>
  <conditionalFormatting sqref="J232:J233">
    <cfRule type="top10" dxfId="39" priority="2" percent="1" bottom="1" rank="30"/>
  </conditionalFormatting>
  <conditionalFormatting sqref="J255:J265">
    <cfRule type="top10" dxfId="38" priority="1" percent="1" bottom="1" rank="30"/>
  </conditionalFormatting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ConcentrixCombined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Kranjec, Andrew (kranjeam)</cp:lastModifiedBy>
  <dcterms:created xsi:type="dcterms:W3CDTF">2024-09-13T19:06:38Z</dcterms:created>
  <dcterms:modified xsi:type="dcterms:W3CDTF">2024-10-07T16:44:18Z</dcterms:modified>
</cp:coreProperties>
</file>