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5" yWindow="120" windowWidth="22020" windowHeight="8730"/>
  </bookViews>
  <sheets>
    <sheet name="Cars" sheetId="1" r:id="rId1"/>
    <sheet name="Light Trucks" sheetId="2" r:id="rId2"/>
    <sheet name="Heavy Trucks" sheetId="3" r:id="rId3"/>
    <sheet name="Motorcycles" sheetId="4" r:id="rId4"/>
    <sheet name="CarGasModel" sheetId="5" r:id="rId5"/>
    <sheet name="GasDieselConsumption" sheetId="6" r:id="rId6"/>
    <sheet name="Conversion Factors" sheetId="7" r:id="rId7"/>
  </sheets>
  <calcPr calcId="145621"/>
</workbook>
</file>

<file path=xl/calcChain.xml><?xml version="1.0" encoding="utf-8"?>
<calcChain xmlns="http://schemas.openxmlformats.org/spreadsheetml/2006/main">
  <c r="P50" i="1" l="1"/>
  <c r="P53" i="1" s="1"/>
  <c r="T53" i="1"/>
  <c r="R53" i="1"/>
  <c r="N53" i="1"/>
  <c r="L53" i="1"/>
  <c r="J53" i="1"/>
  <c r="T52" i="1"/>
  <c r="R52" i="1"/>
  <c r="N52" i="1"/>
  <c r="L52" i="1"/>
  <c r="J52" i="1"/>
  <c r="T51" i="1"/>
  <c r="R51" i="1"/>
  <c r="P51" i="1"/>
  <c r="P52" i="1" s="1"/>
  <c r="N51" i="1"/>
  <c r="L51" i="1"/>
  <c r="J51" i="1"/>
  <c r="T50" i="1"/>
  <c r="R50" i="1"/>
  <c r="N50" i="1"/>
  <c r="L50" i="1"/>
  <c r="J50" i="1"/>
  <c r="T48" i="1"/>
  <c r="R48" i="1"/>
  <c r="P48" i="1"/>
  <c r="N48" i="1"/>
  <c r="L48" i="1"/>
  <c r="T47" i="1"/>
  <c r="R47" i="1"/>
  <c r="P47" i="1"/>
  <c r="N47" i="1"/>
  <c r="L47" i="1"/>
  <c r="T46" i="1"/>
  <c r="R46" i="1"/>
  <c r="P46" i="1"/>
  <c r="N46" i="1"/>
  <c r="L46" i="1"/>
  <c r="T45" i="1"/>
  <c r="R45" i="1"/>
  <c r="P45" i="1"/>
  <c r="N45" i="1"/>
  <c r="L45" i="1"/>
  <c r="T44" i="1"/>
  <c r="R44" i="1"/>
  <c r="P44" i="1"/>
  <c r="N44" i="1"/>
  <c r="L44" i="1"/>
  <c r="T43" i="1"/>
  <c r="R43" i="1"/>
  <c r="P43" i="1"/>
  <c r="N43" i="1"/>
  <c r="L43" i="1"/>
  <c r="T42" i="1"/>
  <c r="R42" i="1"/>
  <c r="P42" i="1"/>
  <c r="N42" i="1"/>
  <c r="L42" i="1"/>
  <c r="D48" i="1"/>
  <c r="D46" i="1"/>
  <c r="H35" i="1" s="1"/>
  <c r="B3" i="7"/>
  <c r="B2" i="7"/>
  <c r="H16" i="1" l="1"/>
  <c r="H20" i="1"/>
  <c r="H24" i="1"/>
  <c r="H28" i="1"/>
  <c r="H32" i="1"/>
  <c r="H12" i="1"/>
  <c r="H25" i="1"/>
  <c r="H33" i="1"/>
  <c r="H13" i="1"/>
  <c r="H21" i="1"/>
  <c r="H29" i="1"/>
  <c r="H14" i="1"/>
  <c r="H30" i="1"/>
  <c r="H9" i="1"/>
  <c r="H17" i="1"/>
  <c r="H10" i="1"/>
  <c r="H18" i="1"/>
  <c r="H22" i="1"/>
  <c r="H26" i="1"/>
  <c r="H34" i="1"/>
  <c r="H11" i="1"/>
  <c r="H15" i="1"/>
  <c r="H19" i="1"/>
  <c r="H23" i="1"/>
  <c r="H27" i="1"/>
  <c r="H31" i="1"/>
  <c r="M6" i="1"/>
  <c r="E6" i="1" s="1"/>
  <c r="E37" i="1"/>
  <c r="D37" i="1"/>
  <c r="C37" i="1"/>
  <c r="B37" i="1"/>
  <c r="G39" i="1" s="1"/>
  <c r="H6" i="1" l="1"/>
  <c r="G40" i="1"/>
  <c r="C6" i="1"/>
  <c r="D6" i="1"/>
  <c r="G35" i="1" l="1"/>
  <c r="G31" i="1"/>
  <c r="G27" i="1"/>
  <c r="G23" i="1"/>
  <c r="G19" i="1"/>
  <c r="G15" i="1"/>
  <c r="G11" i="1"/>
  <c r="G34" i="1"/>
  <c r="G30" i="1"/>
  <c r="G26" i="1"/>
  <c r="G22" i="1"/>
  <c r="G18" i="1"/>
  <c r="G14" i="1"/>
  <c r="G10" i="1"/>
  <c r="G33" i="1"/>
  <c r="G29" i="1"/>
  <c r="G25" i="1"/>
  <c r="G21" i="1"/>
  <c r="G17" i="1"/>
  <c r="G13" i="1"/>
  <c r="G9" i="1"/>
  <c r="G32" i="1"/>
  <c r="G28" i="1"/>
  <c r="G24" i="1"/>
  <c r="G20" i="1"/>
  <c r="G16" i="1"/>
  <c r="G12" i="1"/>
  <c r="F35" i="1"/>
  <c r="F31" i="1"/>
  <c r="F27" i="1"/>
  <c r="F23" i="1"/>
  <c r="F19" i="1"/>
  <c r="F15" i="1"/>
  <c r="F11" i="1"/>
  <c r="F34" i="1"/>
  <c r="F30" i="1"/>
  <c r="F26" i="1"/>
  <c r="F22" i="1"/>
  <c r="F18" i="1"/>
  <c r="F14" i="1"/>
  <c r="F10" i="1"/>
  <c r="F33" i="1"/>
  <c r="F29" i="1"/>
  <c r="F25" i="1"/>
  <c r="F21" i="1"/>
  <c r="F17" i="1"/>
  <c r="F13" i="1"/>
  <c r="F9" i="1"/>
  <c r="F32" i="1"/>
  <c r="F28" i="1"/>
  <c r="F24" i="1"/>
  <c r="F20" i="1"/>
  <c r="F16" i="1"/>
  <c r="F12" i="1"/>
  <c r="T20" i="1" l="1"/>
  <c r="R20" i="1"/>
  <c r="N20" i="1"/>
  <c r="L20" i="1"/>
  <c r="J20" i="1"/>
  <c r="P20" i="1"/>
  <c r="N9" i="1"/>
  <c r="L9" i="1"/>
  <c r="P9" i="1"/>
  <c r="J9" i="1"/>
  <c r="T9" i="1"/>
  <c r="R9" i="1"/>
  <c r="R25" i="1"/>
  <c r="N25" i="1"/>
  <c r="L25" i="1"/>
  <c r="J25" i="1"/>
  <c r="P25" i="1"/>
  <c r="T25" i="1"/>
  <c r="L14" i="1"/>
  <c r="J14" i="1"/>
  <c r="P14" i="1"/>
  <c r="T14" i="1"/>
  <c r="R14" i="1"/>
  <c r="N14" i="1"/>
  <c r="L30" i="1"/>
  <c r="J30" i="1"/>
  <c r="T30" i="1"/>
  <c r="P30" i="1"/>
  <c r="R30" i="1"/>
  <c r="N30" i="1"/>
  <c r="J19" i="1"/>
  <c r="P19" i="1"/>
  <c r="T19" i="1"/>
  <c r="R19" i="1"/>
  <c r="N19" i="1"/>
  <c r="L19" i="1"/>
  <c r="J35" i="1"/>
  <c r="T35" i="1"/>
  <c r="P35" i="1"/>
  <c r="R35" i="1"/>
  <c r="N35" i="1"/>
  <c r="L35" i="1"/>
  <c r="R13" i="1"/>
  <c r="N13" i="1"/>
  <c r="L13" i="1"/>
  <c r="J13" i="1"/>
  <c r="P13" i="1"/>
  <c r="T13" i="1"/>
  <c r="R29" i="1"/>
  <c r="N29" i="1"/>
  <c r="L29" i="1"/>
  <c r="J29" i="1"/>
  <c r="T29" i="1"/>
  <c r="P29" i="1"/>
  <c r="L18" i="1"/>
  <c r="J18" i="1"/>
  <c r="P18" i="1"/>
  <c r="T18" i="1"/>
  <c r="R18" i="1"/>
  <c r="N18" i="1"/>
  <c r="L34" i="1"/>
  <c r="J34" i="1"/>
  <c r="T34" i="1"/>
  <c r="P34" i="1"/>
  <c r="R34" i="1"/>
  <c r="N34" i="1"/>
  <c r="J23" i="1"/>
  <c r="P23" i="1"/>
  <c r="T23" i="1"/>
  <c r="R23" i="1"/>
  <c r="N23" i="1"/>
  <c r="L23" i="1"/>
  <c r="T12" i="1"/>
  <c r="R12" i="1"/>
  <c r="N12" i="1"/>
  <c r="L12" i="1"/>
  <c r="J12" i="1"/>
  <c r="P12" i="1"/>
  <c r="R17" i="1"/>
  <c r="N17" i="1"/>
  <c r="P17" i="1"/>
  <c r="L17" i="1"/>
  <c r="J17" i="1"/>
  <c r="T17" i="1"/>
  <c r="R33" i="1"/>
  <c r="N33" i="1"/>
  <c r="L33" i="1"/>
  <c r="J33" i="1"/>
  <c r="T33" i="1"/>
  <c r="P33" i="1"/>
  <c r="L22" i="1"/>
  <c r="J22" i="1"/>
  <c r="P22" i="1"/>
  <c r="T22" i="1"/>
  <c r="R22" i="1"/>
  <c r="N22" i="1"/>
  <c r="J11" i="1"/>
  <c r="P11" i="1"/>
  <c r="T11" i="1"/>
  <c r="R11" i="1"/>
  <c r="N11" i="1"/>
  <c r="L11" i="1"/>
  <c r="J27" i="1"/>
  <c r="P27" i="1"/>
  <c r="T27" i="1"/>
  <c r="R27" i="1"/>
  <c r="N27" i="1"/>
  <c r="L27" i="1"/>
  <c r="T24" i="1"/>
  <c r="R24" i="1"/>
  <c r="N24" i="1"/>
  <c r="L24" i="1"/>
  <c r="J24" i="1"/>
  <c r="P24" i="1"/>
  <c r="T28" i="1"/>
  <c r="R28" i="1"/>
  <c r="N28" i="1"/>
  <c r="L28" i="1"/>
  <c r="P28" i="1"/>
  <c r="J28" i="1"/>
  <c r="T16" i="1"/>
  <c r="R16" i="1"/>
  <c r="N16" i="1"/>
  <c r="L16" i="1"/>
  <c r="J16" i="1"/>
  <c r="P16" i="1"/>
  <c r="T32" i="1"/>
  <c r="P32" i="1"/>
  <c r="R32" i="1"/>
  <c r="N32" i="1"/>
  <c r="L32" i="1"/>
  <c r="J32" i="1"/>
  <c r="R21" i="1"/>
  <c r="N21" i="1"/>
  <c r="L21" i="1"/>
  <c r="J21" i="1"/>
  <c r="P21" i="1"/>
  <c r="T21" i="1"/>
  <c r="L10" i="1"/>
  <c r="J10" i="1"/>
  <c r="P10" i="1"/>
  <c r="T10" i="1"/>
  <c r="R10" i="1"/>
  <c r="N10" i="1"/>
  <c r="L26" i="1"/>
  <c r="J26" i="1"/>
  <c r="P26" i="1"/>
  <c r="T26" i="1"/>
  <c r="R26" i="1"/>
  <c r="N26" i="1"/>
  <c r="J15" i="1"/>
  <c r="P15" i="1"/>
  <c r="T15" i="1"/>
  <c r="R15" i="1"/>
  <c r="N15" i="1"/>
  <c r="L15" i="1"/>
  <c r="J31" i="1"/>
  <c r="T31" i="1"/>
  <c r="P31" i="1"/>
  <c r="R31" i="1"/>
  <c r="N31" i="1"/>
  <c r="L31" i="1"/>
  <c r="F37" i="1"/>
  <c r="G37" i="1"/>
  <c r="R37" i="1" l="1"/>
  <c r="R38" i="1" s="1"/>
  <c r="L37" i="1"/>
  <c r="L38" i="1" s="1"/>
  <c r="T37" i="1"/>
  <c r="T38" i="1" s="1"/>
  <c r="N37" i="1"/>
  <c r="N38" i="1" s="1"/>
  <c r="J37" i="1"/>
  <c r="J38" i="1" s="1"/>
  <c r="P37" i="1"/>
  <c r="P38" i="1" s="1"/>
</calcChain>
</file>

<file path=xl/sharedStrings.xml><?xml version="1.0" encoding="utf-8"?>
<sst xmlns="http://schemas.openxmlformats.org/spreadsheetml/2006/main" count="301" uniqueCount="81">
  <si>
    <t>18 - SALT LAKE</t>
  </si>
  <si>
    <t>Heavy Truck</t>
  </si>
  <si>
    <t>.</t>
  </si>
  <si>
    <t>Light Truck</t>
  </si>
  <si>
    <t>Motorcycle - Standard</t>
  </si>
  <si>
    <t>Passenger - Standard</t>
  </si>
  <si>
    <t>County</t>
  </si>
  <si>
    <t>Vehicle Type</t>
  </si>
  <si>
    <t>GASOLINE</t>
  </si>
  <si>
    <t>DIESEL</t>
  </si>
  <si>
    <t>FLEXIBLE</t>
  </si>
  <si>
    <t>CONVERTED</t>
  </si>
  <si>
    <t>ELECTRIC</t>
  </si>
  <si>
    <t>HYBRID</t>
  </si>
  <si>
    <t>NATURAL GAS</t>
  </si>
  <si>
    <t>PROPANE</t>
  </si>
  <si>
    <t>OTHER</t>
  </si>
  <si>
    <t>UNKNOWN</t>
  </si>
  <si>
    <t>TOTAL</t>
  </si>
  <si>
    <t>06 - DAVIS</t>
  </si>
  <si>
    <t>25 - UTAH</t>
  </si>
  <si>
    <t>29 - WEBER</t>
  </si>
  <si>
    <t>Model Year</t>
  </si>
  <si>
    <t>DAVIS</t>
  </si>
  <si>
    <t>SALT LAKE</t>
  </si>
  <si>
    <t>UTAH</t>
  </si>
  <si>
    <t>WEBER</t>
  </si>
  <si>
    <t>ModelYear</t>
  </si>
  <si>
    <t>VOC exhaust</t>
  </si>
  <si>
    <t>VOC evaporation</t>
  </si>
  <si>
    <t>CO</t>
  </si>
  <si>
    <t>NOx</t>
  </si>
  <si>
    <t>SO2</t>
  </si>
  <si>
    <t>PM10 exhaust</t>
  </si>
  <si>
    <t>PM10 OC</t>
  </si>
  <si>
    <t>PM10 BC</t>
  </si>
  <si>
    <t>PM10 Sulfate</t>
  </si>
  <si>
    <t>PM10 TBW</t>
  </si>
  <si>
    <t>PM2.5 exhaust</t>
  </si>
  <si>
    <t>PM2.5 OC</t>
  </si>
  <si>
    <t>PM2.5 BC</t>
  </si>
  <si>
    <t>Totals:</t>
  </si>
  <si>
    <t xml:space="preserve">Sum Total: </t>
  </si>
  <si>
    <t>Gasoline (est)</t>
  </si>
  <si>
    <t>Diesel (est)</t>
  </si>
  <si>
    <t>Percent of Total:</t>
  </si>
  <si>
    <t>NOTE: HYBRIDS AND FLEX ASSUMED GASOLINE</t>
  </si>
  <si>
    <t xml:space="preserve">Unaccounted: </t>
  </si>
  <si>
    <t>NOTE: All values in units of grams/mile.</t>
  </si>
  <si>
    <t>Source: https://github.com/AndrewPlewe/UTAirStatsPapers/blob/master/Modeling_Resources/Updates%20to%20Vehicle%20Operation%20Emission%20Factors%20in%20GREET1_2013.pdf ppg 15-17 (PDF 21-23)</t>
  </si>
  <si>
    <t>Conversion Factors</t>
  </si>
  <si>
    <t>Grams per Lb</t>
  </si>
  <si>
    <t>Lbs per Metric Ton</t>
  </si>
  <si>
    <t>FY 2015 Data</t>
  </si>
  <si>
    <t xml:space="preserve">Total </t>
  </si>
  <si>
    <t>Miles Per Car</t>
  </si>
  <si>
    <t>VOC Exhaust (grams per mile)</t>
  </si>
  <si>
    <t>PM 10 Exhaust</t>
  </si>
  <si>
    <t>Total Grams</t>
  </si>
  <si>
    <t>PM 2.5 Exhaust</t>
  </si>
  <si>
    <t>Gallons per car</t>
  </si>
  <si>
    <t>Miles per gallon</t>
  </si>
  <si>
    <t>Total miles per car:</t>
  </si>
  <si>
    <t>VOC</t>
  </si>
  <si>
    <t>PM10</t>
  </si>
  <si>
    <t>PM2.5</t>
  </si>
  <si>
    <t>Big West Flying J</t>
  </si>
  <si>
    <t>Chevron USA</t>
  </si>
  <si>
    <t>Holly</t>
  </si>
  <si>
    <t>Silver Eagle</t>
  </si>
  <si>
    <t>Tesoro</t>
  </si>
  <si>
    <t xml:space="preserve">Diesel (est) </t>
  </si>
  <si>
    <t>Kennecott Concentrator</t>
  </si>
  <si>
    <t>Kennecott Smelter</t>
  </si>
  <si>
    <t>Total</t>
  </si>
  <si>
    <t>Total, all sources</t>
  </si>
  <si>
    <t>Percent Cars</t>
  </si>
  <si>
    <t>Percent Industrial</t>
  </si>
  <si>
    <t>Cars Total Pounds</t>
  </si>
  <si>
    <t>Cars Total Grams</t>
  </si>
  <si>
    <t>Industrial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</si>
</sst>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horndale AMT"/>
      <family val="1"/>
    </font>
    <font>
      <b/>
      <sz val="11"/>
      <color indexed="8"/>
      <name val="Thorndale AMT"/>
      <family val="1"/>
    </font>
    <font>
      <b/>
      <sz val="10"/>
      <color indexed="8"/>
      <name val="Thorndale AMT"/>
      <family val="1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164" fontId="19" fillId="0" borderId="10" xfId="1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16" fillId="0" borderId="0" xfId="0" applyFont="1"/>
    <xf numFmtId="164" fontId="0" fillId="0" borderId="0" xfId="0" applyNumberFormat="1"/>
    <xf numFmtId="0" fontId="18" fillId="0" borderId="11" xfId="0" applyNumberFormat="1" applyFont="1" applyFill="1" applyBorder="1" applyAlignment="1" applyProtection="1">
      <alignment horizontal="left" wrapText="1"/>
    </xf>
    <xf numFmtId="0" fontId="16" fillId="0" borderId="0" xfId="0" applyFont="1" applyAlignment="1">
      <alignment horizontal="center" vertical="center"/>
    </xf>
    <xf numFmtId="0" fontId="19" fillId="0" borderId="10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0" fillId="0" borderId="0" xfId="0"/>
    <xf numFmtId="0" fontId="19" fillId="0" borderId="10" xfId="0" applyNumberFormat="1" applyFont="1" applyFill="1" applyBorder="1" applyAlignment="1" applyProtection="1">
      <alignment horizontal="left" wrapText="1"/>
    </xf>
    <xf numFmtId="164" fontId="19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164" fontId="16" fillId="0" borderId="0" xfId="0" applyNumberFormat="1" applyFont="1"/>
    <xf numFmtId="164" fontId="18" fillId="0" borderId="10" xfId="1" applyNumberFormat="1" applyFont="1" applyFill="1" applyBorder="1" applyAlignment="1" applyProtection="1">
      <alignment horizontal="righ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0" fillId="0" borderId="0" xfId="0"/>
    <xf numFmtId="164" fontId="18" fillId="0" borderId="10" xfId="1" applyNumberFormat="1" applyFont="1" applyFill="1" applyBorder="1" applyAlignment="1" applyProtection="1">
      <alignment horizontal="right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16" fillId="35" borderId="12" xfId="0" applyFont="1" applyFill="1" applyBorder="1" applyAlignment="1">
      <alignment horizontal="right"/>
    </xf>
    <xf numFmtId="43" fontId="16" fillId="35" borderId="12" xfId="0" applyNumberFormat="1" applyFont="1" applyFill="1" applyBorder="1"/>
    <xf numFmtId="0" fontId="16" fillId="33" borderId="12" xfId="0" applyFont="1" applyFill="1" applyBorder="1" applyAlignment="1">
      <alignment horizontal="right"/>
    </xf>
    <xf numFmtId="0" fontId="16" fillId="36" borderId="12" xfId="0" applyFont="1" applyFill="1" applyBorder="1" applyAlignment="1">
      <alignment horizontal="right"/>
    </xf>
    <xf numFmtId="43" fontId="16" fillId="36" borderId="12" xfId="0" applyNumberFormat="1" applyFont="1" applyFill="1" applyBorder="1"/>
    <xf numFmtId="0" fontId="16" fillId="34" borderId="12" xfId="0" applyFont="1" applyFill="1" applyBorder="1" applyAlignment="1">
      <alignment horizontal="right"/>
    </xf>
    <xf numFmtId="0" fontId="16" fillId="36" borderId="12" xfId="0" applyFont="1" applyFill="1" applyBorder="1" applyAlignment="1">
      <alignment horizontal="right" wrapText="1"/>
    </xf>
    <xf numFmtId="2" fontId="23" fillId="37" borderId="0" xfId="0" applyNumberFormat="1" applyFont="1" applyFill="1" applyAlignment="1">
      <alignment horizontal="center" vertical="center"/>
    </xf>
    <xf numFmtId="2" fontId="23" fillId="38" borderId="0" xfId="0" applyNumberFormat="1" applyFont="1" applyFill="1" applyAlignment="1">
      <alignment horizontal="center" vertical="center"/>
    </xf>
    <xf numFmtId="2" fontId="23" fillId="39" borderId="0" xfId="0" applyNumberFormat="1" applyFont="1" applyFill="1" applyAlignment="1">
      <alignment horizontal="center" vertical="center"/>
    </xf>
    <xf numFmtId="2" fontId="17" fillId="40" borderId="0" xfId="0" applyNumberFormat="1" applyFont="1" applyFill="1" applyAlignment="1">
      <alignment horizontal="center" vertical="center"/>
    </xf>
    <xf numFmtId="0" fontId="22" fillId="43" borderId="0" xfId="0" applyFont="1" applyFill="1" applyAlignment="1">
      <alignment horizontal="center" vertical="center"/>
    </xf>
    <xf numFmtId="0" fontId="22" fillId="43" borderId="0" xfId="0" applyFont="1" applyFill="1" applyAlignment="1">
      <alignment horizontal="center" vertical="center" wrapText="1"/>
    </xf>
    <xf numFmtId="0" fontId="22" fillId="41" borderId="12" xfId="0" applyFont="1" applyFill="1" applyBorder="1" applyAlignment="1">
      <alignment horizontal="right" vertical="center"/>
    </xf>
    <xf numFmtId="43" fontId="23" fillId="42" borderId="0" xfId="0" applyNumberFormat="1" applyFont="1" applyFill="1" applyAlignment="1">
      <alignment vertical="center"/>
    </xf>
    <xf numFmtId="43" fontId="23" fillId="42" borderId="0" xfId="0" applyNumberFormat="1" applyFont="1" applyFill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E37" workbookViewId="0">
      <selection activeCell="F44" sqref="F44"/>
    </sheetView>
  </sheetViews>
  <sheetFormatPr defaultRowHeight="15"/>
  <cols>
    <col min="1" max="1" width="14.140625" customWidth="1"/>
    <col min="2" max="2" width="19.28515625" customWidth="1"/>
    <col min="3" max="3" width="14.85546875" customWidth="1"/>
    <col min="4" max="4" width="16" customWidth="1"/>
    <col min="5" max="5" width="16.28515625" customWidth="1"/>
    <col min="6" max="6" width="18.140625" customWidth="1"/>
    <col min="7" max="7" width="14" customWidth="1"/>
    <col min="8" max="8" width="16.140625" customWidth="1"/>
    <col min="9" max="9" width="20" customWidth="1"/>
    <col min="10" max="10" width="17.42578125" customWidth="1"/>
    <col min="11" max="11" width="15.42578125" customWidth="1"/>
    <col min="12" max="12" width="21.7109375" customWidth="1"/>
    <col min="13" max="13" width="13.28515625" customWidth="1"/>
    <col min="14" max="14" width="14.7109375" customWidth="1"/>
    <col min="15" max="15" width="13.7109375" customWidth="1"/>
    <col min="16" max="16" width="18.5703125" customWidth="1"/>
    <col min="17" max="17" width="13.5703125" customWidth="1"/>
    <col min="18" max="18" width="16.5703125" customWidth="1"/>
    <col min="19" max="19" width="10.7109375" customWidth="1"/>
    <col min="20" max="20" width="17" customWidth="1"/>
  </cols>
  <sheetData>
    <row r="1" spans="1:20" s="4" customFormat="1" ht="19.149999999999999" customHeight="1">
      <c r="A1" s="9" t="s">
        <v>6</v>
      </c>
      <c r="B1" s="9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20" ht="23.45" customHeight="1">
      <c r="A2" s="10" t="s">
        <v>0</v>
      </c>
      <c r="B2" s="10" t="s">
        <v>5</v>
      </c>
      <c r="C2" s="11">
        <v>503985</v>
      </c>
      <c r="D2" s="11">
        <v>3612</v>
      </c>
      <c r="E2" s="11">
        <v>23333</v>
      </c>
      <c r="F2" s="11">
        <v>659</v>
      </c>
      <c r="G2" s="11">
        <v>595</v>
      </c>
      <c r="H2" s="11">
        <v>11319</v>
      </c>
      <c r="I2" s="11">
        <v>722</v>
      </c>
      <c r="J2" s="11">
        <v>1</v>
      </c>
      <c r="K2" s="11">
        <v>1</v>
      </c>
      <c r="L2" s="11">
        <v>12</v>
      </c>
      <c r="M2" s="11">
        <v>544239</v>
      </c>
    </row>
    <row r="3" spans="1:20" ht="19.899999999999999" customHeight="1">
      <c r="A3" s="23" t="s">
        <v>19</v>
      </c>
      <c r="B3" s="23" t="s">
        <v>5</v>
      </c>
      <c r="C3" s="24">
        <v>147690</v>
      </c>
      <c r="D3" s="24">
        <v>1007</v>
      </c>
      <c r="E3" s="24">
        <v>7125</v>
      </c>
      <c r="F3" s="24">
        <v>264</v>
      </c>
      <c r="G3" s="24">
        <v>102</v>
      </c>
      <c r="H3" s="24">
        <v>2650</v>
      </c>
      <c r="I3" s="24">
        <v>388</v>
      </c>
      <c r="J3" s="24">
        <v>2</v>
      </c>
      <c r="K3" s="24">
        <v>1</v>
      </c>
      <c r="L3" s="24" t="s">
        <v>2</v>
      </c>
      <c r="M3" s="24">
        <v>159229</v>
      </c>
    </row>
    <row r="4" spans="1:20" ht="18" customHeight="1">
      <c r="A4" s="29" t="s">
        <v>20</v>
      </c>
      <c r="B4" s="29" t="s">
        <v>5</v>
      </c>
      <c r="C4" s="30">
        <v>215457</v>
      </c>
      <c r="D4" s="30">
        <v>1972</v>
      </c>
      <c r="E4" s="30">
        <v>10233</v>
      </c>
      <c r="F4" s="30">
        <v>433</v>
      </c>
      <c r="G4" s="30">
        <v>164</v>
      </c>
      <c r="H4" s="30">
        <v>4025</v>
      </c>
      <c r="I4" s="30">
        <v>457</v>
      </c>
      <c r="J4" s="30">
        <v>1</v>
      </c>
      <c r="K4" s="30" t="s">
        <v>2</v>
      </c>
      <c r="L4" s="30">
        <v>2</v>
      </c>
      <c r="M4" s="30">
        <v>232744</v>
      </c>
    </row>
    <row r="5" spans="1:20" ht="18.600000000000001" customHeight="1">
      <c r="A5" s="35" t="s">
        <v>21</v>
      </c>
      <c r="B5" s="35" t="s">
        <v>5</v>
      </c>
      <c r="C5" s="36">
        <v>104100</v>
      </c>
      <c r="D5" s="36">
        <v>748</v>
      </c>
      <c r="E5" s="36">
        <v>4971</v>
      </c>
      <c r="F5" s="36">
        <v>188</v>
      </c>
      <c r="G5" s="36">
        <v>35</v>
      </c>
      <c r="H5" s="36">
        <v>1535</v>
      </c>
      <c r="I5" s="36">
        <v>160</v>
      </c>
      <c r="J5" s="36" t="s">
        <v>2</v>
      </c>
      <c r="K5" s="36" t="s">
        <v>2</v>
      </c>
      <c r="L5" s="36">
        <v>2</v>
      </c>
      <c r="M5" s="36">
        <v>111739</v>
      </c>
    </row>
    <row r="6" spans="1:20">
      <c r="B6" s="7" t="s">
        <v>45</v>
      </c>
      <c r="C6">
        <f>(SUM(C2:C5)/M6)</f>
        <v>0.92679142440820228</v>
      </c>
      <c r="D6" s="45">
        <f>(SUM(D2:D5)/M6)</f>
        <v>7.0031900346485664E-3</v>
      </c>
      <c r="E6" s="45">
        <f>(SUM(E2:E5)/M6)</f>
        <v>4.3572647957776649E-2</v>
      </c>
      <c r="H6" s="45">
        <f>(SUM(H2:H5)/M6)</f>
        <v>1.8635413296995758E-2</v>
      </c>
      <c r="L6" s="5" t="s">
        <v>42</v>
      </c>
      <c r="M6" s="41">
        <f>SUM(M2:M5)</f>
        <v>1047951</v>
      </c>
    </row>
    <row r="7" spans="1:20" ht="39.75" customHeight="1">
      <c r="H7" s="8"/>
      <c r="I7" s="8" t="s">
        <v>46</v>
      </c>
      <c r="J7" s="8"/>
    </row>
    <row r="8" spans="1:20" s="8" customFormat="1" ht="45.75" customHeight="1">
      <c r="A8" s="9" t="s">
        <v>22</v>
      </c>
      <c r="B8" s="2" t="s">
        <v>23</v>
      </c>
      <c r="C8" s="8" t="s">
        <v>24</v>
      </c>
      <c r="D8" s="8" t="s">
        <v>25</v>
      </c>
      <c r="E8" s="8" t="s">
        <v>26</v>
      </c>
      <c r="F8" s="8" t="s">
        <v>43</v>
      </c>
      <c r="G8" s="47" t="s">
        <v>71</v>
      </c>
      <c r="H8" s="8" t="s">
        <v>55</v>
      </c>
      <c r="I8" s="47" t="s">
        <v>56</v>
      </c>
      <c r="J8" s="48" t="s">
        <v>58</v>
      </c>
      <c r="K8" s="47" t="s">
        <v>57</v>
      </c>
      <c r="L8" s="48" t="s">
        <v>58</v>
      </c>
      <c r="M8" s="47" t="s">
        <v>59</v>
      </c>
      <c r="N8" s="48" t="s">
        <v>58</v>
      </c>
      <c r="O8" s="8" t="s">
        <v>30</v>
      </c>
      <c r="P8" s="48" t="s">
        <v>58</v>
      </c>
      <c r="Q8" s="8" t="s">
        <v>31</v>
      </c>
      <c r="R8" s="48" t="s">
        <v>58</v>
      </c>
      <c r="S8" s="8" t="s">
        <v>32</v>
      </c>
      <c r="T8" s="48" t="s">
        <v>58</v>
      </c>
    </row>
    <row r="9" spans="1:20">
      <c r="A9" s="39">
        <v>1990</v>
      </c>
      <c r="B9" s="40">
        <v>486</v>
      </c>
      <c r="C9" s="42">
        <v>1836</v>
      </c>
      <c r="D9" s="44">
        <v>775</v>
      </c>
      <c r="E9" s="46">
        <v>501</v>
      </c>
      <c r="F9" s="3">
        <f>($C$6 + $H$6 + $E$6) * SUM(B9:E9)</f>
        <v>3558.4201494153831</v>
      </c>
      <c r="G9">
        <f>($D$6 * SUM(B9:E9))</f>
        <v>25.197477744665541</v>
      </c>
      <c r="H9">
        <f>$D$46</f>
        <v>10582.16</v>
      </c>
      <c r="I9" s="45">
        <v>1.0150999999999999</v>
      </c>
      <c r="J9" s="3">
        <f t="shared" ref="J9:J35" si="0" xml:space="preserve"> $F9 *$H9 * I9</f>
        <v>38224373.515999384</v>
      </c>
      <c r="K9" s="45">
        <v>3.5499999999999997E-2</v>
      </c>
      <c r="L9" s="3">
        <f t="shared" ref="L9:L35" si="1" xml:space="preserve"> $F9 *$H9 * K9</f>
        <v>1336779.8835759808</v>
      </c>
      <c r="M9" s="45">
        <v>3.27E-2</v>
      </c>
      <c r="N9" s="3">
        <f t="shared" ref="N9:N35" si="2" xml:space="preserve"> $F9 *$H9 * M9</f>
        <v>1231343.7237446359</v>
      </c>
      <c r="O9" s="45">
        <v>14.899100000000001</v>
      </c>
      <c r="P9" s="3">
        <f xml:space="preserve"> $F9 *$H9 * O9</f>
        <v>561037103.19399714</v>
      </c>
      <c r="Q9" s="45">
        <v>2.2044999999999999</v>
      </c>
      <c r="R9" s="3">
        <f xml:space="preserve"> $F9 *$H9 * Q9</f>
        <v>83012147.9815</v>
      </c>
      <c r="S9" s="45">
        <v>5.0299999999999997E-2</v>
      </c>
      <c r="T9" s="3">
        <f xml:space="preserve"> $F9 *$H9 * S9</f>
        <v>1894085.2998273757</v>
      </c>
    </row>
    <row r="10" spans="1:20">
      <c r="A10" s="39">
        <v>1991</v>
      </c>
      <c r="B10" s="40">
        <v>682</v>
      </c>
      <c r="C10" s="42">
        <v>2501</v>
      </c>
      <c r="D10" s="44">
        <v>1023</v>
      </c>
      <c r="E10" s="46">
        <v>646</v>
      </c>
      <c r="F10" s="3">
        <f t="shared" ref="F10:F35" si="3">($C$6 + $H$6 + $E$6) * SUM(B10:E10)</f>
        <v>4798.6255044367535</v>
      </c>
      <c r="G10" s="45">
        <f t="shared" ref="G10:G35" si="4">($D$6 * SUM(B10:E10))</f>
        <v>33.979478048114842</v>
      </c>
      <c r="H10" s="45">
        <f t="shared" ref="H10:H35" si="5">$D$46</f>
        <v>10582.16</v>
      </c>
      <c r="I10" s="45">
        <v>1.0441</v>
      </c>
      <c r="J10" s="3">
        <f t="shared" si="0"/>
        <v>53019213.056510583</v>
      </c>
      <c r="K10" s="45">
        <v>2.7900000000000001E-2</v>
      </c>
      <c r="L10" s="3">
        <f t="shared" si="1"/>
        <v>1416757.0580180492</v>
      </c>
      <c r="M10" s="45">
        <v>2.5700000000000001E-2</v>
      </c>
      <c r="N10" s="3">
        <f t="shared" si="2"/>
        <v>1305041.4477083823</v>
      </c>
      <c r="O10" s="45">
        <v>14.273400000000001</v>
      </c>
      <c r="P10" s="3">
        <f t="shared" ref="P10:P35" si="6" xml:space="preserve"> $F10 *$H10 * O10</f>
        <v>724800723.7245456</v>
      </c>
      <c r="Q10" s="45">
        <v>2.3290000000000002</v>
      </c>
      <c r="R10" s="3">
        <f t="shared" ref="R10:R35" si="7" xml:space="preserve"> $F10 *$H10 * Q10</f>
        <v>118266207.4596429</v>
      </c>
      <c r="S10" s="45">
        <v>4.0099999999999997E-2</v>
      </c>
      <c r="T10" s="3">
        <f t="shared" ref="T10:T35" si="8" xml:space="preserve"> $F10 *$H10 * S10</f>
        <v>2036270.8970080204</v>
      </c>
    </row>
    <row r="11" spans="1:20">
      <c r="A11" s="39">
        <v>1992</v>
      </c>
      <c r="B11" s="40">
        <v>867</v>
      </c>
      <c r="C11" s="42">
        <v>3168</v>
      </c>
      <c r="D11" s="44">
        <v>1433</v>
      </c>
      <c r="E11" s="46">
        <v>845</v>
      </c>
      <c r="F11" s="3">
        <f t="shared" si="3"/>
        <v>6243.5537529903595</v>
      </c>
      <c r="G11" s="45">
        <f t="shared" si="4"/>
        <v>44.211138688736398</v>
      </c>
      <c r="H11" s="45">
        <f t="shared" si="5"/>
        <v>10582.16</v>
      </c>
      <c r="I11" s="45">
        <v>1.0034000000000001</v>
      </c>
      <c r="J11" s="3">
        <f t="shared" si="0"/>
        <v>66294923.751005799</v>
      </c>
      <c r="K11" s="45">
        <v>2.63E-2</v>
      </c>
      <c r="L11" s="3">
        <f t="shared" si="1"/>
        <v>1737648.4897861793</v>
      </c>
      <c r="M11" s="45">
        <v>2.4199999999999999E-2</v>
      </c>
      <c r="N11" s="3">
        <f t="shared" si="2"/>
        <v>1598900.891742416</v>
      </c>
      <c r="O11" s="45">
        <v>13.690099999999999</v>
      </c>
      <c r="P11" s="3">
        <f t="shared" si="6"/>
        <v>904508805.70424986</v>
      </c>
      <c r="Q11" s="45">
        <v>2.2612000000000001</v>
      </c>
      <c r="R11" s="3">
        <f t="shared" si="7"/>
        <v>149398127.95074177</v>
      </c>
      <c r="S11" s="45">
        <v>3.95E-2</v>
      </c>
      <c r="T11" s="3">
        <f t="shared" si="8"/>
        <v>2609776.2489184062</v>
      </c>
    </row>
    <row r="12" spans="1:20">
      <c r="A12" s="39">
        <v>1993</v>
      </c>
      <c r="B12" s="40">
        <v>1166</v>
      </c>
      <c r="C12" s="42">
        <v>4179</v>
      </c>
      <c r="D12" s="44">
        <v>1820</v>
      </c>
      <c r="E12" s="46">
        <v>1077</v>
      </c>
      <c r="F12" s="3">
        <f t="shared" si="3"/>
        <v>8151.3337608342372</v>
      </c>
      <c r="G12" s="45">
        <f t="shared" si="4"/>
        <v>57.720292265573484</v>
      </c>
      <c r="H12" s="45">
        <f t="shared" si="5"/>
        <v>10582.16</v>
      </c>
      <c r="I12" s="45">
        <v>0.96230000000000004</v>
      </c>
      <c r="J12" s="3">
        <f t="shared" si="0"/>
        <v>83006764.399289921</v>
      </c>
      <c r="K12" s="45">
        <v>2.5000000000000001E-2</v>
      </c>
      <c r="L12" s="3">
        <f t="shared" si="1"/>
        <v>2156467.9517637412</v>
      </c>
      <c r="M12" s="45">
        <v>2.3E-2</v>
      </c>
      <c r="N12" s="3">
        <f t="shared" si="2"/>
        <v>1983950.5156226417</v>
      </c>
      <c r="O12" s="45">
        <v>13.1883</v>
      </c>
      <c r="P12" s="3">
        <f t="shared" si="6"/>
        <v>1137605851.5298297</v>
      </c>
      <c r="Q12" s="45">
        <v>2.2046999999999999</v>
      </c>
      <c r="R12" s="3">
        <f t="shared" si="7"/>
        <v>190174595.73014078</v>
      </c>
      <c r="S12" s="45">
        <v>3.7100000000000001E-2</v>
      </c>
      <c r="T12" s="3">
        <f t="shared" si="8"/>
        <v>3200198.4404173917</v>
      </c>
    </row>
    <row r="13" spans="1:20">
      <c r="A13" s="39">
        <v>1994</v>
      </c>
      <c r="B13" s="40">
        <v>1633</v>
      </c>
      <c r="C13" s="42">
        <v>5603</v>
      </c>
      <c r="D13" s="44">
        <v>2483</v>
      </c>
      <c r="E13" s="46">
        <v>1436</v>
      </c>
      <c r="F13" s="3">
        <f t="shared" si="3"/>
        <v>11032.289262570483</v>
      </c>
      <c r="G13" s="45">
        <f t="shared" si="4"/>
        <v>78.120584836504761</v>
      </c>
      <c r="H13" s="45">
        <f t="shared" si="5"/>
        <v>10582.16</v>
      </c>
      <c r="I13" s="45">
        <v>0.84640000000000004</v>
      </c>
      <c r="J13" s="3">
        <f t="shared" si="0"/>
        <v>98813349.000868335</v>
      </c>
      <c r="K13" s="45">
        <v>2.06E-2</v>
      </c>
      <c r="L13" s="3">
        <f t="shared" si="1"/>
        <v>2404956.2729417388</v>
      </c>
      <c r="M13" s="45">
        <v>1.9E-2</v>
      </c>
      <c r="N13" s="3">
        <f t="shared" si="2"/>
        <v>2218163.552713254</v>
      </c>
      <c r="O13" s="45">
        <v>10.680400000000001</v>
      </c>
      <c r="P13" s="3">
        <f t="shared" si="6"/>
        <v>1246888105.7051916</v>
      </c>
      <c r="Q13" s="45">
        <v>1.9368000000000001</v>
      </c>
      <c r="R13" s="3">
        <f t="shared" si="7"/>
        <v>226112587.83658057</v>
      </c>
      <c r="S13" s="45">
        <v>3.5900000000000001E-2</v>
      </c>
      <c r="T13" s="3">
        <f t="shared" si="8"/>
        <v>4191161.6601266223</v>
      </c>
    </row>
    <row r="14" spans="1:20">
      <c r="A14" s="39">
        <v>1995</v>
      </c>
      <c r="B14" s="40">
        <v>2185</v>
      </c>
      <c r="C14" s="42">
        <v>7833</v>
      </c>
      <c r="D14" s="44">
        <v>3577</v>
      </c>
      <c r="E14" s="46">
        <v>1961</v>
      </c>
      <c r="F14" s="3">
        <f t="shared" si="3"/>
        <v>15384.875998973233</v>
      </c>
      <c r="G14" s="45">
        <f t="shared" si="4"/>
        <v>108.9416241789931</v>
      </c>
      <c r="H14" s="45">
        <f t="shared" si="5"/>
        <v>10582.16</v>
      </c>
      <c r="I14" s="45">
        <v>0.81159999999999999</v>
      </c>
      <c r="J14" s="3">
        <f t="shared" si="0"/>
        <v>132132716.06609069</v>
      </c>
      <c r="K14" s="45">
        <v>1.7000000000000001E-2</v>
      </c>
      <c r="L14" s="3">
        <f t="shared" si="1"/>
        <v>2767688.7298220084</v>
      </c>
      <c r="M14" s="45">
        <v>1.5699999999999999E-2</v>
      </c>
      <c r="N14" s="3">
        <f t="shared" si="2"/>
        <v>2556041.9446003246</v>
      </c>
      <c r="O14" s="45">
        <v>10.136799999999999</v>
      </c>
      <c r="P14" s="3">
        <f t="shared" si="6"/>
        <v>1650323948.0270429</v>
      </c>
      <c r="Q14" s="45">
        <v>1.8393999999999999</v>
      </c>
      <c r="R14" s="3">
        <f t="shared" si="7"/>
        <v>299463920.56674123</v>
      </c>
      <c r="S14" s="45">
        <v>3.4000000000000002E-2</v>
      </c>
      <c r="T14" s="3">
        <f t="shared" si="8"/>
        <v>5535377.4596440168</v>
      </c>
    </row>
    <row r="15" spans="1:20">
      <c r="A15" s="39">
        <v>1996</v>
      </c>
      <c r="B15" s="40">
        <v>2668</v>
      </c>
      <c r="C15" s="42">
        <v>9003</v>
      </c>
      <c r="D15" s="44">
        <v>4103</v>
      </c>
      <c r="E15" s="46">
        <v>2256</v>
      </c>
      <c r="F15" s="3">
        <f t="shared" si="3"/>
        <v>17831.660726503433</v>
      </c>
      <c r="G15" s="45">
        <f t="shared" si="4"/>
        <v>126.26751632471365</v>
      </c>
      <c r="H15" s="45">
        <f t="shared" si="5"/>
        <v>10582.16</v>
      </c>
      <c r="I15" s="45">
        <v>0.59499999999999997</v>
      </c>
      <c r="J15" s="3">
        <f t="shared" si="0"/>
        <v>112275004.68977746</v>
      </c>
      <c r="K15" s="45">
        <v>1.46E-2</v>
      </c>
      <c r="L15" s="3">
        <f t="shared" si="1"/>
        <v>2754983.3083542031</v>
      </c>
      <c r="M15" s="45">
        <v>1.34E-2</v>
      </c>
      <c r="N15" s="3">
        <f t="shared" si="2"/>
        <v>2528546.3241059128</v>
      </c>
      <c r="O15" s="45">
        <v>6.9985999999999997</v>
      </c>
      <c r="P15" s="3">
        <f t="shared" si="6"/>
        <v>1320618231.6334059</v>
      </c>
      <c r="Q15" s="45">
        <v>1.2153</v>
      </c>
      <c r="R15" s="3">
        <f t="shared" si="7"/>
        <v>229324055.79745638</v>
      </c>
      <c r="S15" s="45">
        <v>3.2899999999999999E-2</v>
      </c>
      <c r="T15" s="3">
        <f t="shared" si="8"/>
        <v>6208147.3181406362</v>
      </c>
    </row>
    <row r="16" spans="1:20">
      <c r="A16" s="39">
        <v>1997</v>
      </c>
      <c r="B16" s="40">
        <v>3692</v>
      </c>
      <c r="C16" s="42">
        <v>12968</v>
      </c>
      <c r="D16" s="44">
        <v>6091</v>
      </c>
      <c r="E16" s="46">
        <v>3122</v>
      </c>
      <c r="F16" s="3">
        <f t="shared" si="3"/>
        <v>25588.383692558145</v>
      </c>
      <c r="G16" s="45">
        <f t="shared" si="4"/>
        <v>181.19353576646236</v>
      </c>
      <c r="H16" s="45">
        <f t="shared" si="5"/>
        <v>10582.16</v>
      </c>
      <c r="I16" s="45">
        <v>0.56010000000000004</v>
      </c>
      <c r="J16" s="3">
        <f t="shared" si="0"/>
        <v>151664085.44762063</v>
      </c>
      <c r="K16" s="45">
        <v>1.37E-2</v>
      </c>
      <c r="L16" s="3">
        <f t="shared" si="1"/>
        <v>3709691.0741517632</v>
      </c>
      <c r="M16" s="45">
        <v>1.26E-2</v>
      </c>
      <c r="N16" s="3">
        <f t="shared" si="2"/>
        <v>3411832.666738118</v>
      </c>
      <c r="O16" s="45">
        <v>6.6299000000000001</v>
      </c>
      <c r="P16" s="3">
        <f t="shared" si="6"/>
        <v>1795246777.5561149</v>
      </c>
      <c r="Q16" s="45">
        <v>1.1468</v>
      </c>
      <c r="R16" s="3">
        <f t="shared" si="7"/>
        <v>310530928.74724394</v>
      </c>
      <c r="S16" s="45">
        <v>3.09E-2</v>
      </c>
      <c r="T16" s="3">
        <f t="shared" si="8"/>
        <v>8367113.4446196705</v>
      </c>
    </row>
    <row r="17" spans="1:20">
      <c r="A17" s="39">
        <v>1998</v>
      </c>
      <c r="B17" s="40">
        <v>4475</v>
      </c>
      <c r="C17" s="42">
        <v>15594</v>
      </c>
      <c r="D17" s="44">
        <v>7145</v>
      </c>
      <c r="E17" s="46">
        <v>3662</v>
      </c>
      <c r="F17" s="3">
        <f t="shared" si="3"/>
        <v>30536.348119330007</v>
      </c>
      <c r="G17" s="45">
        <f t="shared" si="4"/>
        <v>216.23049550980915</v>
      </c>
      <c r="H17" s="45">
        <f t="shared" si="5"/>
        <v>10582.16</v>
      </c>
      <c r="I17" s="45">
        <v>0.47649999999999998</v>
      </c>
      <c r="J17" s="3">
        <f t="shared" si="0"/>
        <v>153976458.54928502</v>
      </c>
      <c r="K17" s="45">
        <v>1.21E-2</v>
      </c>
      <c r="L17" s="3">
        <f t="shared" si="1"/>
        <v>3910000.311534835</v>
      </c>
      <c r="M17" s="45">
        <v>1.12E-2</v>
      </c>
      <c r="N17" s="3">
        <f t="shared" si="2"/>
        <v>3619173.8420818308</v>
      </c>
      <c r="O17" s="45">
        <v>6.3216999999999999</v>
      </c>
      <c r="P17" s="3">
        <f t="shared" si="6"/>
        <v>2042797435.4900634</v>
      </c>
      <c r="Q17" s="45">
        <v>1.0902000000000001</v>
      </c>
      <c r="R17" s="3">
        <f t="shared" si="7"/>
        <v>352287796.66407251</v>
      </c>
      <c r="S17" s="45">
        <v>2.9700000000000001E-2</v>
      </c>
      <c r="T17" s="3">
        <f t="shared" si="8"/>
        <v>9597273.491949141</v>
      </c>
    </row>
    <row r="18" spans="1:20">
      <c r="A18" s="39">
        <v>1999</v>
      </c>
      <c r="B18" s="40">
        <v>5537</v>
      </c>
      <c r="C18" s="42">
        <v>18846</v>
      </c>
      <c r="D18" s="44">
        <v>8726</v>
      </c>
      <c r="E18" s="46">
        <v>4448</v>
      </c>
      <c r="F18" s="3">
        <f t="shared" si="3"/>
        <v>37143.853683044341</v>
      </c>
      <c r="G18" s="45">
        <f t="shared" si="4"/>
        <v>263.01880813129623</v>
      </c>
      <c r="H18" s="45">
        <f t="shared" si="5"/>
        <v>10582.16</v>
      </c>
      <c r="I18" s="45">
        <v>0.40050000000000002</v>
      </c>
      <c r="J18" s="3">
        <f t="shared" si="0"/>
        <v>157421412.17757109</v>
      </c>
      <c r="K18" s="45">
        <v>1.01E-2</v>
      </c>
      <c r="L18" s="3">
        <f t="shared" si="1"/>
        <v>3969928.2471747017</v>
      </c>
      <c r="M18" s="45">
        <v>9.2999999999999992E-3</v>
      </c>
      <c r="N18" s="3">
        <f t="shared" si="2"/>
        <v>3655478.4850222496</v>
      </c>
      <c r="O18" s="45">
        <v>6.0579999999999998</v>
      </c>
      <c r="P18" s="3">
        <f t="shared" si="6"/>
        <v>2381170823.8994398</v>
      </c>
      <c r="Q18" s="45">
        <v>1.0429999999999999</v>
      </c>
      <c r="R18" s="3">
        <f t="shared" si="7"/>
        <v>409963877.40625876</v>
      </c>
      <c r="S18" s="45">
        <v>2.87E-2</v>
      </c>
      <c r="T18" s="3">
        <f t="shared" si="8"/>
        <v>11280885.217219202</v>
      </c>
    </row>
    <row r="19" spans="1:20">
      <c r="A19" s="39">
        <v>2000</v>
      </c>
      <c r="B19" s="40">
        <v>6699</v>
      </c>
      <c r="C19" s="42">
        <v>22689</v>
      </c>
      <c r="D19" s="44">
        <v>10609</v>
      </c>
      <c r="E19" s="46">
        <v>5314</v>
      </c>
      <c r="F19" s="3">
        <f t="shared" si="3"/>
        <v>44812.555694875045</v>
      </c>
      <c r="G19" s="45">
        <f t="shared" si="4"/>
        <v>317.32154365996121</v>
      </c>
      <c r="H19" s="45">
        <f t="shared" si="5"/>
        <v>10582.16</v>
      </c>
      <c r="I19" s="45">
        <v>0.3664</v>
      </c>
      <c r="J19" s="3">
        <f t="shared" si="0"/>
        <v>173751875.6339297</v>
      </c>
      <c r="K19" s="45">
        <v>1.03E-2</v>
      </c>
      <c r="L19" s="3">
        <f t="shared" si="1"/>
        <v>4884400.4340324122</v>
      </c>
      <c r="M19" s="45">
        <v>9.4999999999999998E-3</v>
      </c>
      <c r="N19" s="3">
        <f t="shared" si="2"/>
        <v>4505029.5265347492</v>
      </c>
      <c r="O19" s="45">
        <v>5.9614000000000003</v>
      </c>
      <c r="P19" s="3">
        <f t="shared" si="6"/>
        <v>2826977159.9457111</v>
      </c>
      <c r="Q19" s="45">
        <v>1.0270999999999999</v>
      </c>
      <c r="R19" s="3">
        <f t="shared" si="7"/>
        <v>487064823.86356217</v>
      </c>
      <c r="S19" s="45">
        <v>2.53E-2</v>
      </c>
      <c r="T19" s="3">
        <f t="shared" si="8"/>
        <v>11997604.949613595</v>
      </c>
    </row>
    <row r="20" spans="1:20">
      <c r="A20" s="39">
        <v>2001</v>
      </c>
      <c r="B20" s="40">
        <v>7448</v>
      </c>
      <c r="C20" s="42">
        <v>24867</v>
      </c>
      <c r="D20" s="44">
        <v>11329</v>
      </c>
      <c r="E20" s="46">
        <v>5657</v>
      </c>
      <c r="F20" s="3">
        <f t="shared" si="3"/>
        <v>48758.663642670312</v>
      </c>
      <c r="G20" s="45">
        <f t="shared" si="4"/>
        <v>345.26427189820896</v>
      </c>
      <c r="H20" s="45">
        <f t="shared" si="5"/>
        <v>10582.16</v>
      </c>
      <c r="I20" s="45">
        <v>0.20960000000000001</v>
      </c>
      <c r="J20" s="3">
        <f t="shared" si="0"/>
        <v>108147727.01909204</v>
      </c>
      <c r="K20" s="45">
        <v>8.8000000000000005E-3</v>
      </c>
      <c r="L20" s="3">
        <f t="shared" si="1"/>
        <v>4540553.4244656963</v>
      </c>
      <c r="M20" s="45">
        <v>8.0999999999999996E-3</v>
      </c>
      <c r="N20" s="3">
        <f t="shared" si="2"/>
        <v>4179373.0384286521</v>
      </c>
      <c r="O20" s="45">
        <v>5.2896999999999998</v>
      </c>
      <c r="P20" s="3">
        <f t="shared" si="6"/>
        <v>2729336982.885931</v>
      </c>
      <c r="Q20" s="45">
        <v>0.63</v>
      </c>
      <c r="R20" s="3">
        <f t="shared" si="7"/>
        <v>325062347.43333966</v>
      </c>
      <c r="S20" s="45">
        <v>2.24E-2</v>
      </c>
      <c r="T20" s="3">
        <f t="shared" si="8"/>
        <v>11557772.35318541</v>
      </c>
    </row>
    <row r="21" spans="1:20">
      <c r="A21" s="39">
        <v>2002</v>
      </c>
      <c r="B21" s="40">
        <v>8511</v>
      </c>
      <c r="C21" s="42">
        <v>27627</v>
      </c>
      <c r="D21" s="44">
        <v>12648</v>
      </c>
      <c r="E21" s="46">
        <v>6287</v>
      </c>
      <c r="F21" s="3">
        <f t="shared" si="3"/>
        <v>54467.168673917004</v>
      </c>
      <c r="G21" s="45">
        <f t="shared" si="4"/>
        <v>385.68668477820052</v>
      </c>
      <c r="H21" s="45">
        <f t="shared" si="5"/>
        <v>10582.16</v>
      </c>
      <c r="I21" s="45">
        <v>0.19320000000000001</v>
      </c>
      <c r="J21" s="3">
        <f t="shared" si="0"/>
        <v>111356672.73402576</v>
      </c>
      <c r="K21" s="45">
        <v>7.7000000000000002E-3</v>
      </c>
      <c r="L21" s="3">
        <f t="shared" si="1"/>
        <v>4438128.2611387074</v>
      </c>
      <c r="M21" s="45">
        <v>7.1000000000000004E-3</v>
      </c>
      <c r="N21" s="3">
        <f t="shared" si="2"/>
        <v>4092300.084946081</v>
      </c>
      <c r="O21" s="45">
        <v>4.9832000000000001</v>
      </c>
      <c r="P21" s="3">
        <f t="shared" si="6"/>
        <v>2872218279.3384943</v>
      </c>
      <c r="Q21" s="45">
        <v>0.56100000000000005</v>
      </c>
      <c r="R21" s="3">
        <f t="shared" si="7"/>
        <v>323349344.74010587</v>
      </c>
      <c r="S21" s="45">
        <v>1.89E-2</v>
      </c>
      <c r="T21" s="3">
        <f t="shared" si="8"/>
        <v>10893587.550067736</v>
      </c>
    </row>
    <row r="22" spans="1:20">
      <c r="A22" s="39">
        <v>2003</v>
      </c>
      <c r="B22" s="40">
        <v>9331</v>
      </c>
      <c r="C22" s="42">
        <v>30044</v>
      </c>
      <c r="D22" s="44">
        <v>13716</v>
      </c>
      <c r="E22" s="46">
        <v>6644</v>
      </c>
      <c r="F22" s="3">
        <f t="shared" si="3"/>
        <v>59077.884276077792</v>
      </c>
      <c r="G22" s="45">
        <f t="shared" si="4"/>
        <v>418.3355567197321</v>
      </c>
      <c r="H22" s="45">
        <f t="shared" si="5"/>
        <v>10582.16</v>
      </c>
      <c r="I22" s="45">
        <v>0.17960000000000001</v>
      </c>
      <c r="J22" s="3">
        <f t="shared" si="0"/>
        <v>112280823.64722072</v>
      </c>
      <c r="K22" s="45">
        <v>7.4999999999999997E-3</v>
      </c>
      <c r="L22" s="3">
        <f t="shared" si="1"/>
        <v>4688787.1790320454</v>
      </c>
      <c r="M22" s="45">
        <v>6.8999999999999999E-3</v>
      </c>
      <c r="N22" s="3">
        <f t="shared" si="2"/>
        <v>4313684.2047094814</v>
      </c>
      <c r="O22" s="45">
        <v>4.8139000000000003</v>
      </c>
      <c r="P22" s="3">
        <f t="shared" si="6"/>
        <v>3009513680.1523151</v>
      </c>
      <c r="Q22" s="45">
        <v>0.4914</v>
      </c>
      <c r="R22" s="3">
        <f t="shared" si="7"/>
        <v>307209335.97017962</v>
      </c>
      <c r="S22" s="45">
        <v>1.5299999999999999E-2</v>
      </c>
      <c r="T22" s="3">
        <f t="shared" si="8"/>
        <v>9565125.8452253714</v>
      </c>
    </row>
    <row r="23" spans="1:20">
      <c r="A23" s="39">
        <v>2004</v>
      </c>
      <c r="B23" s="40">
        <v>10063</v>
      </c>
      <c r="C23" s="42">
        <v>31762</v>
      </c>
      <c r="D23" s="44">
        <v>14653</v>
      </c>
      <c r="E23" s="46">
        <v>6764</v>
      </c>
      <c r="F23" s="3">
        <f t="shared" si="3"/>
        <v>62546.305472297849</v>
      </c>
      <c r="G23" s="45">
        <f t="shared" si="4"/>
        <v>442.89574417124464</v>
      </c>
      <c r="H23" s="45">
        <f t="shared" si="5"/>
        <v>10582.16</v>
      </c>
      <c r="I23" s="45">
        <v>0.16339999999999999</v>
      </c>
      <c r="J23" s="3">
        <f t="shared" si="0"/>
        <v>108150376.94719389</v>
      </c>
      <c r="K23" s="45">
        <v>7.7000000000000002E-3</v>
      </c>
      <c r="L23" s="3">
        <f t="shared" si="1"/>
        <v>5096437.5917588314</v>
      </c>
      <c r="M23" s="45">
        <v>7.1000000000000004E-3</v>
      </c>
      <c r="N23" s="3">
        <f t="shared" si="2"/>
        <v>4699312.5846087933</v>
      </c>
      <c r="O23" s="45">
        <v>4.4444999999999997</v>
      </c>
      <c r="P23" s="3">
        <f t="shared" si="6"/>
        <v>2941703490.4639125</v>
      </c>
      <c r="Q23" s="45">
        <v>0.25240000000000001</v>
      </c>
      <c r="R23" s="3">
        <f t="shared" si="7"/>
        <v>167057253.007783</v>
      </c>
      <c r="S23" s="45">
        <v>1.15E-2</v>
      </c>
      <c r="T23" s="3">
        <f t="shared" si="8"/>
        <v>7611562.6370424107</v>
      </c>
    </row>
    <row r="24" spans="1:20">
      <c r="A24" s="39">
        <v>2005</v>
      </c>
      <c r="B24" s="40">
        <v>11236</v>
      </c>
      <c r="C24" s="42">
        <v>35870</v>
      </c>
      <c r="D24" s="44">
        <v>16788</v>
      </c>
      <c r="E24" s="46">
        <v>7668</v>
      </c>
      <c r="F24" s="3">
        <f t="shared" si="3"/>
        <v>70774.781193013798</v>
      </c>
      <c r="G24" s="45">
        <f t="shared" si="4"/>
        <v>501.16228525952073</v>
      </c>
      <c r="H24" s="45">
        <f t="shared" si="5"/>
        <v>10582.16</v>
      </c>
      <c r="I24" s="45">
        <v>0.157</v>
      </c>
      <c r="J24" s="3">
        <f t="shared" si="0"/>
        <v>117585159.19226567</v>
      </c>
      <c r="K24" s="45">
        <v>7.7000000000000002E-3</v>
      </c>
      <c r="L24" s="3">
        <f t="shared" si="1"/>
        <v>5766915.4508308647</v>
      </c>
      <c r="M24" s="45">
        <v>7.1000000000000004E-3</v>
      </c>
      <c r="N24" s="3">
        <f t="shared" si="2"/>
        <v>5317545.4157011872</v>
      </c>
      <c r="O24" s="45">
        <v>4.2324999999999999</v>
      </c>
      <c r="P24" s="3">
        <f t="shared" si="6"/>
        <v>3169931122.8106017</v>
      </c>
      <c r="Q24" s="45">
        <v>0.19839999999999999</v>
      </c>
      <c r="R24" s="3">
        <f t="shared" si="7"/>
        <v>148591691.61621344</v>
      </c>
      <c r="S24" s="45">
        <v>8.9999999999999993E-3</v>
      </c>
      <c r="T24" s="3">
        <f t="shared" si="8"/>
        <v>6740550.5269451654</v>
      </c>
    </row>
    <row r="25" spans="1:20">
      <c r="A25" s="39">
        <v>2006</v>
      </c>
      <c r="B25" s="40">
        <v>11211</v>
      </c>
      <c r="C25" s="42">
        <v>35576</v>
      </c>
      <c r="D25" s="44">
        <v>16375</v>
      </c>
      <c r="E25" s="46">
        <v>7527</v>
      </c>
      <c r="F25" s="3">
        <f t="shared" si="3"/>
        <v>69911.384642030011</v>
      </c>
      <c r="G25" s="45">
        <f t="shared" si="4"/>
        <v>495.04850035927251</v>
      </c>
      <c r="H25" s="45">
        <f t="shared" si="5"/>
        <v>10582.16</v>
      </c>
      <c r="I25" s="45">
        <v>0.12130000000000001</v>
      </c>
      <c r="J25" s="3">
        <f t="shared" si="0"/>
        <v>89739372.467955083</v>
      </c>
      <c r="K25" s="45">
        <v>7.7000000000000002E-3</v>
      </c>
      <c r="L25" s="3">
        <f t="shared" si="1"/>
        <v>5696563.6273969831</v>
      </c>
      <c r="M25" s="45">
        <v>7.1000000000000004E-3</v>
      </c>
      <c r="N25" s="3">
        <f t="shared" si="2"/>
        <v>5252675.552534881</v>
      </c>
      <c r="O25" s="45">
        <v>3.1570999999999998</v>
      </c>
      <c r="P25" s="3">
        <f t="shared" si="6"/>
        <v>2335665068.5785732</v>
      </c>
      <c r="Q25" s="45">
        <v>0.18770000000000001</v>
      </c>
      <c r="R25" s="3">
        <f t="shared" si="7"/>
        <v>138862986.08602777</v>
      </c>
      <c r="S25" s="45">
        <v>7.7999999999999996E-3</v>
      </c>
      <c r="T25" s="3">
        <f t="shared" si="8"/>
        <v>5770544.9732073331</v>
      </c>
    </row>
    <row r="26" spans="1:20">
      <c r="A26" s="39">
        <v>2007</v>
      </c>
      <c r="B26" s="40">
        <v>11342</v>
      </c>
      <c r="C26" s="42">
        <v>37331</v>
      </c>
      <c r="D26" s="44">
        <v>16382</v>
      </c>
      <c r="E26" s="46">
        <v>7364</v>
      </c>
      <c r="F26" s="3">
        <f t="shared" si="3"/>
        <v>71622.353752226962</v>
      </c>
      <c r="G26" s="45">
        <f t="shared" si="4"/>
        <v>507.16401911921452</v>
      </c>
      <c r="H26" s="45">
        <f t="shared" si="5"/>
        <v>10582.16</v>
      </c>
      <c r="I26" s="45">
        <v>0.11550000000000001</v>
      </c>
      <c r="J26" s="3">
        <f t="shared" si="0"/>
        <v>87539668.406497926</v>
      </c>
      <c r="K26" s="45">
        <v>7.7000000000000002E-3</v>
      </c>
      <c r="L26" s="3">
        <f t="shared" si="1"/>
        <v>5835977.8937665289</v>
      </c>
      <c r="M26" s="45">
        <v>7.1000000000000004E-3</v>
      </c>
      <c r="N26" s="3">
        <f t="shared" si="2"/>
        <v>5381226.3695769291</v>
      </c>
      <c r="O26" s="45">
        <v>2.9546000000000001</v>
      </c>
      <c r="P26" s="3">
        <f t="shared" si="6"/>
        <v>2239348088.950985</v>
      </c>
      <c r="Q26" s="45">
        <v>0.1515</v>
      </c>
      <c r="R26" s="3">
        <f t="shared" si="7"/>
        <v>114824759.8578739</v>
      </c>
      <c r="S26" s="45">
        <v>6.7999999999999996E-3</v>
      </c>
      <c r="T26" s="3">
        <f t="shared" si="8"/>
        <v>5153850.6074821288</v>
      </c>
    </row>
    <row r="27" spans="1:20">
      <c r="A27" s="39">
        <v>2008</v>
      </c>
      <c r="B27" s="40">
        <v>10058</v>
      </c>
      <c r="C27" s="42">
        <v>33350</v>
      </c>
      <c r="D27" s="44">
        <v>14056</v>
      </c>
      <c r="E27" s="46">
        <v>6324</v>
      </c>
      <c r="F27" s="3">
        <f t="shared" si="3"/>
        <v>63086.299191469829</v>
      </c>
      <c r="G27" s="45">
        <f t="shared" si="4"/>
        <v>446.71948593016276</v>
      </c>
      <c r="H27" s="45">
        <f t="shared" si="5"/>
        <v>10582.16</v>
      </c>
      <c r="I27" s="45">
        <v>0.1129</v>
      </c>
      <c r="J27" s="3">
        <f t="shared" si="0"/>
        <v>75370833.308091298</v>
      </c>
      <c r="K27" s="45">
        <v>7.7000000000000002E-3</v>
      </c>
      <c r="L27" s="3">
        <f t="shared" si="1"/>
        <v>5140437.7012604345</v>
      </c>
      <c r="M27" s="45">
        <v>7.1000000000000004E-3</v>
      </c>
      <c r="N27" s="3">
        <f t="shared" si="2"/>
        <v>4739884.1141492315</v>
      </c>
      <c r="O27" s="45">
        <v>2.9184000000000001</v>
      </c>
      <c r="P27" s="3">
        <f t="shared" si="6"/>
        <v>1948292647.7088897</v>
      </c>
      <c r="Q27" s="45">
        <v>0.14050000000000001</v>
      </c>
      <c r="R27" s="3">
        <f t="shared" si="7"/>
        <v>93796298.315206632</v>
      </c>
      <c r="S27" s="45">
        <v>6.0000000000000001E-3</v>
      </c>
      <c r="T27" s="3">
        <f t="shared" si="8"/>
        <v>4005535.8711120267</v>
      </c>
    </row>
    <row r="28" spans="1:20">
      <c r="A28" s="39">
        <v>2009</v>
      </c>
      <c r="B28" s="40">
        <v>7102</v>
      </c>
      <c r="C28" s="42">
        <v>23713</v>
      </c>
      <c r="D28" s="44">
        <v>9758</v>
      </c>
      <c r="E28" s="46">
        <v>4483</v>
      </c>
      <c r="F28" s="3">
        <f t="shared" si="3"/>
        <v>44560.360826030985</v>
      </c>
      <c r="G28" s="45">
        <f t="shared" si="4"/>
        <v>315.53573020112583</v>
      </c>
      <c r="H28" s="45">
        <f t="shared" si="5"/>
        <v>10582.16</v>
      </c>
      <c r="I28" s="45">
        <v>0.1095</v>
      </c>
      <c r="J28" s="3">
        <f t="shared" si="0"/>
        <v>51634163.037107728</v>
      </c>
      <c r="K28" s="45">
        <v>7.7000000000000002E-3</v>
      </c>
      <c r="L28" s="3">
        <f t="shared" si="1"/>
        <v>3630895.4829746988</v>
      </c>
      <c r="M28" s="45">
        <v>7.1000000000000004E-3</v>
      </c>
      <c r="N28" s="3">
        <f t="shared" si="2"/>
        <v>3347968.5622234233</v>
      </c>
      <c r="O28" s="45">
        <v>2.8868</v>
      </c>
      <c r="P28" s="3">
        <f xml:space="preserve"> $F28 *$H28 * O28</f>
        <v>1361255724.7079687</v>
      </c>
      <c r="Q28" s="45">
        <v>0.13</v>
      </c>
      <c r="R28" s="3">
        <f t="shared" si="7"/>
        <v>61300832.829442963</v>
      </c>
      <c r="S28" s="45">
        <v>5.5999999999999999E-3</v>
      </c>
      <c r="T28" s="3">
        <f t="shared" si="8"/>
        <v>2640651.260345235</v>
      </c>
    </row>
    <row r="29" spans="1:20">
      <c r="A29" s="39">
        <v>2010</v>
      </c>
      <c r="B29" s="40">
        <v>7833</v>
      </c>
      <c r="C29" s="42">
        <v>26325</v>
      </c>
      <c r="D29" s="44">
        <v>10666</v>
      </c>
      <c r="E29" s="46">
        <v>4779</v>
      </c>
      <c r="F29" s="3">
        <f t="shared" si="3"/>
        <v>49057.341487340535</v>
      </c>
      <c r="G29" s="45">
        <f t="shared" si="4"/>
        <v>347.37923528867282</v>
      </c>
      <c r="H29" s="45">
        <f t="shared" si="5"/>
        <v>10582.16</v>
      </c>
      <c r="I29" s="45">
        <v>0.1084</v>
      </c>
      <c r="J29" s="3">
        <f t="shared" si="0"/>
        <v>56273977.828434423</v>
      </c>
      <c r="K29" s="45">
        <v>7.7000000000000002E-3</v>
      </c>
      <c r="L29" s="3">
        <f t="shared" si="1"/>
        <v>3997321.3033113014</v>
      </c>
      <c r="M29" s="45">
        <v>7.1000000000000004E-3</v>
      </c>
      <c r="N29" s="3">
        <f t="shared" si="2"/>
        <v>3685841.721235096</v>
      </c>
      <c r="O29" s="45">
        <v>2.8656000000000001</v>
      </c>
      <c r="P29" s="3">
        <f t="shared" si="6"/>
        <v>1487626483.9959564</v>
      </c>
      <c r="Q29" s="45">
        <v>0.1205</v>
      </c>
      <c r="R29" s="3">
        <f t="shared" si="7"/>
        <v>62555482.733637892</v>
      </c>
      <c r="S29" s="45">
        <v>5.4999999999999997E-3</v>
      </c>
      <c r="T29" s="3">
        <f t="shared" si="8"/>
        <v>2855229.5023652152</v>
      </c>
    </row>
    <row r="30" spans="1:20">
      <c r="A30" s="39">
        <v>2011</v>
      </c>
      <c r="B30" s="40">
        <v>7693</v>
      </c>
      <c r="C30" s="42">
        <v>25055</v>
      </c>
      <c r="D30" s="44">
        <v>10264</v>
      </c>
      <c r="E30" s="46">
        <v>4543</v>
      </c>
      <c r="F30" s="3">
        <f t="shared" si="3"/>
        <v>47031.870540702759</v>
      </c>
      <c r="G30" s="45">
        <f t="shared" si="4"/>
        <v>333.03670209771258</v>
      </c>
      <c r="H30" s="45">
        <f t="shared" si="5"/>
        <v>10582.16</v>
      </c>
      <c r="I30" s="45">
        <v>0.1082</v>
      </c>
      <c r="J30" s="3">
        <f t="shared" si="0"/>
        <v>53851007.905220538</v>
      </c>
      <c r="K30" s="45">
        <v>7.6E-3</v>
      </c>
      <c r="L30" s="3">
        <f t="shared" si="1"/>
        <v>3782510.7216236237</v>
      </c>
      <c r="M30" s="45">
        <v>7.0000000000000001E-3</v>
      </c>
      <c r="N30" s="3">
        <f t="shared" si="2"/>
        <v>3483891.4541270221</v>
      </c>
      <c r="O30" s="45">
        <v>2.8637999999999999</v>
      </c>
      <c r="P30" s="3">
        <f t="shared" si="6"/>
        <v>1425309763.7612808</v>
      </c>
      <c r="Q30" s="45">
        <v>0.1203</v>
      </c>
      <c r="R30" s="3">
        <f t="shared" si="7"/>
        <v>59873163.133068673</v>
      </c>
      <c r="S30" s="45">
        <v>5.4999999999999997E-3</v>
      </c>
      <c r="T30" s="3">
        <f t="shared" si="8"/>
        <v>2737343.2853855169</v>
      </c>
    </row>
    <row r="31" spans="1:20">
      <c r="A31" s="39">
        <v>2012</v>
      </c>
      <c r="B31" s="40">
        <v>8662</v>
      </c>
      <c r="C31" s="42">
        <v>29696</v>
      </c>
      <c r="D31" s="44">
        <v>12502</v>
      </c>
      <c r="E31" s="46">
        <v>5490</v>
      </c>
      <c r="F31" s="3">
        <f t="shared" si="3"/>
        <v>55730.12101710862</v>
      </c>
      <c r="G31" s="45">
        <f t="shared" si="4"/>
        <v>394.62975845244671</v>
      </c>
      <c r="H31" s="45">
        <f t="shared" si="5"/>
        <v>10582.16</v>
      </c>
      <c r="I31" s="45">
        <v>0.1094</v>
      </c>
      <c r="J31" s="3">
        <f t="shared" si="0"/>
        <v>64518109.282011233</v>
      </c>
      <c r="K31" s="45">
        <v>7.6E-3</v>
      </c>
      <c r="L31" s="3">
        <f t="shared" si="1"/>
        <v>4482062.4364102874</v>
      </c>
      <c r="M31" s="45">
        <v>7.0000000000000001E-3</v>
      </c>
      <c r="N31" s="3">
        <f t="shared" si="2"/>
        <v>4128215.4019568437</v>
      </c>
      <c r="O31" s="45">
        <v>2.8624999999999998</v>
      </c>
      <c r="P31" s="3">
        <f t="shared" si="6"/>
        <v>1688145226.8716376</v>
      </c>
      <c r="Q31" s="45">
        <v>0.1201</v>
      </c>
      <c r="R31" s="3">
        <f t="shared" si="7"/>
        <v>70828381.396430984</v>
      </c>
      <c r="S31" s="45">
        <v>4.8999999999999998E-3</v>
      </c>
      <c r="T31" s="3">
        <f t="shared" si="8"/>
        <v>2889750.7813697904</v>
      </c>
    </row>
    <row r="32" spans="1:20">
      <c r="A32" s="39">
        <v>2013</v>
      </c>
      <c r="B32" s="40">
        <v>9117</v>
      </c>
      <c r="C32" s="42">
        <v>35287</v>
      </c>
      <c r="D32" s="44">
        <v>13016</v>
      </c>
      <c r="E32" s="46">
        <v>5799</v>
      </c>
      <c r="F32" s="3">
        <f t="shared" si="3"/>
        <v>62523.5584841276</v>
      </c>
      <c r="G32" s="45">
        <f t="shared" si="4"/>
        <v>442.7346708004477</v>
      </c>
      <c r="H32" s="45">
        <f t="shared" si="5"/>
        <v>10582.16</v>
      </c>
      <c r="I32" s="45">
        <v>0.11</v>
      </c>
      <c r="J32" s="3">
        <f t="shared" si="0"/>
        <v>72779772.961323529</v>
      </c>
      <c r="K32" s="45">
        <v>7.6E-3</v>
      </c>
      <c r="L32" s="3">
        <f t="shared" si="1"/>
        <v>5028420.6773278071</v>
      </c>
      <c r="M32" s="45">
        <v>7.0000000000000001E-3</v>
      </c>
      <c r="N32" s="3">
        <f t="shared" si="2"/>
        <v>4631440.0975387692</v>
      </c>
      <c r="O32" s="45">
        <v>2.8639000000000001</v>
      </c>
      <c r="P32" s="3">
        <f t="shared" si="6"/>
        <v>1894854470.7630403</v>
      </c>
      <c r="Q32" s="45">
        <v>0.1202</v>
      </c>
      <c r="R32" s="3">
        <f t="shared" si="7"/>
        <v>79528442.817737162</v>
      </c>
      <c r="S32" s="45">
        <v>4.7999999999999996E-3</v>
      </c>
      <c r="T32" s="3">
        <f t="shared" si="8"/>
        <v>3175844.6383122988</v>
      </c>
    </row>
    <row r="33" spans="1:20">
      <c r="A33" s="39">
        <v>2014</v>
      </c>
      <c r="B33" s="40">
        <v>4937</v>
      </c>
      <c r="C33" s="42">
        <v>23805</v>
      </c>
      <c r="D33" s="44">
        <v>6901</v>
      </c>
      <c r="E33" s="46">
        <v>3159</v>
      </c>
      <c r="F33" s="3">
        <f t="shared" si="3"/>
        <v>38375.15804269474</v>
      </c>
      <c r="G33" s="45">
        <f t="shared" si="4"/>
        <v>271.73777972443366</v>
      </c>
      <c r="H33" s="45">
        <f t="shared" si="5"/>
        <v>10582.16</v>
      </c>
      <c r="I33" s="45">
        <v>0.1096</v>
      </c>
      <c r="J33" s="3">
        <f t="shared" si="0"/>
        <v>44507690.042665854</v>
      </c>
      <c r="K33" s="45">
        <v>7.6E-3</v>
      </c>
      <c r="L33" s="3">
        <f t="shared" si="1"/>
        <v>3086299.6744914278</v>
      </c>
      <c r="M33" s="45">
        <v>7.0000000000000001E-3</v>
      </c>
      <c r="N33" s="3">
        <f t="shared" si="2"/>
        <v>2842644.4370315783</v>
      </c>
      <c r="O33" s="45">
        <v>2.8647999999999998</v>
      </c>
      <c r="P33" s="3">
        <f t="shared" si="6"/>
        <v>1163372540.4582949</v>
      </c>
      <c r="Q33" s="45">
        <v>0.1202</v>
      </c>
      <c r="R33" s="3">
        <f t="shared" si="7"/>
        <v>48812265.904456526</v>
      </c>
      <c r="S33" s="45">
        <v>4.7000000000000002E-3</v>
      </c>
      <c r="T33" s="3">
        <f t="shared" si="8"/>
        <v>1908632.6934354883</v>
      </c>
    </row>
    <row r="34" spans="1:20">
      <c r="A34" s="39">
        <v>2015</v>
      </c>
      <c r="B34" s="40">
        <v>1109</v>
      </c>
      <c r="C34" s="42">
        <v>8224</v>
      </c>
      <c r="D34" s="44">
        <v>1571</v>
      </c>
      <c r="E34" s="46">
        <v>616</v>
      </c>
      <c r="F34" s="3">
        <f t="shared" si="3"/>
        <v>11393.274074837469</v>
      </c>
      <c r="G34" s="45">
        <f t="shared" si="4"/>
        <v>80.676749199151487</v>
      </c>
      <c r="H34" s="45">
        <f t="shared" si="5"/>
        <v>10582.16</v>
      </c>
      <c r="I34" s="45">
        <v>0.1086</v>
      </c>
      <c r="J34" s="3">
        <f t="shared" si="0"/>
        <v>13093407.781358734</v>
      </c>
      <c r="K34" s="45">
        <v>7.6E-3</v>
      </c>
      <c r="L34" s="3">
        <f t="shared" si="1"/>
        <v>916297.41379674373</v>
      </c>
      <c r="M34" s="45">
        <v>7.0000000000000001E-3</v>
      </c>
      <c r="N34" s="3">
        <f t="shared" si="2"/>
        <v>843958.14428647456</v>
      </c>
      <c r="O34" s="45">
        <v>2.8652000000000002</v>
      </c>
      <c r="P34" s="3">
        <f t="shared" si="6"/>
        <v>345444125.0013724</v>
      </c>
      <c r="Q34" s="45">
        <v>0.1202</v>
      </c>
      <c r="R34" s="3">
        <f t="shared" si="7"/>
        <v>14491966.991890606</v>
      </c>
      <c r="S34" s="45">
        <v>4.4000000000000003E-3</v>
      </c>
      <c r="T34" s="3">
        <f t="shared" si="8"/>
        <v>530487.97640864109</v>
      </c>
    </row>
    <row r="35" spans="1:20">
      <c r="A35" s="39">
        <v>2016</v>
      </c>
      <c r="B35" s="40" t="s">
        <v>2</v>
      </c>
      <c r="C35" s="43">
        <v>8</v>
      </c>
      <c r="D35" s="44" t="s">
        <v>2</v>
      </c>
      <c r="E35" s="46" t="s">
        <v>2</v>
      </c>
      <c r="F35" s="3">
        <f t="shared" si="3"/>
        <v>7.9119958853037975</v>
      </c>
      <c r="G35" s="45">
        <f t="shared" si="4"/>
        <v>5.6025520277188531E-2</v>
      </c>
      <c r="H35" s="45">
        <f t="shared" si="5"/>
        <v>10582.16</v>
      </c>
      <c r="I35" s="45">
        <v>0.1069</v>
      </c>
      <c r="J35" s="3">
        <f t="shared" si="0"/>
        <v>8950.3100817682644</v>
      </c>
      <c r="K35" s="45">
        <v>7.6E-3</v>
      </c>
      <c r="L35" s="3">
        <f t="shared" si="1"/>
        <v>636.31764846996089</v>
      </c>
      <c r="M35" s="45">
        <v>7.0000000000000001E-3</v>
      </c>
      <c r="N35" s="3">
        <f t="shared" si="2"/>
        <v>586.08204464338496</v>
      </c>
      <c r="O35" s="45">
        <v>2.8647</v>
      </c>
      <c r="P35" s="3">
        <f t="shared" si="6"/>
        <v>239849.89046998642</v>
      </c>
      <c r="Q35" s="45">
        <v>0.1202</v>
      </c>
      <c r="R35" s="3">
        <f t="shared" si="7"/>
        <v>10063.865966590696</v>
      </c>
      <c r="S35" s="45">
        <v>4.1999999999999997E-3</v>
      </c>
      <c r="T35" s="3">
        <f t="shared" si="8"/>
        <v>351.64922678603097</v>
      </c>
    </row>
    <row r="37" spans="1:20">
      <c r="A37" t="s">
        <v>41</v>
      </c>
      <c r="B37" s="6">
        <f t="shared" ref="B37:G37" si="9">SUM(B9:B35)</f>
        <v>155743</v>
      </c>
      <c r="C37" s="6">
        <f t="shared" si="9"/>
        <v>532760</v>
      </c>
      <c r="D37" s="6">
        <f t="shared" si="9"/>
        <v>228410</v>
      </c>
      <c r="E37" s="6">
        <f t="shared" si="9"/>
        <v>108372</v>
      </c>
      <c r="F37" s="6">
        <f t="shared" si="9"/>
        <v>1014006.3376579629</v>
      </c>
      <c r="G37" s="6">
        <f t="shared" si="9"/>
        <v>7180.2656946746556</v>
      </c>
      <c r="H37" s="50" t="s">
        <v>79</v>
      </c>
      <c r="I37" s="55" t="s">
        <v>63</v>
      </c>
      <c r="J37" s="51">
        <f>SUM(J9:J35)</f>
        <v>2387417889.1584954</v>
      </c>
      <c r="K37" s="55" t="s">
        <v>64</v>
      </c>
      <c r="L37" s="51">
        <f>SUM(L9:L35)</f>
        <v>97177546.918390051</v>
      </c>
      <c r="M37" s="55" t="s">
        <v>65</v>
      </c>
      <c r="N37" s="51">
        <f>SUM(N9:N35)</f>
        <v>89554050.185713619</v>
      </c>
      <c r="O37" s="55" t="s">
        <v>30</v>
      </c>
      <c r="P37" s="51">
        <f>SUM(P9:P35)</f>
        <v>47204232512.749329</v>
      </c>
      <c r="Q37" s="55" t="s">
        <v>31</v>
      </c>
      <c r="R37" s="51">
        <f>SUM(R9:R35)</f>
        <v>4871753686.7033024</v>
      </c>
      <c r="S37" s="55" t="s">
        <v>32</v>
      </c>
      <c r="T37" s="51">
        <f>SUM(T9:T35)</f>
        <v>144954716.57860065</v>
      </c>
    </row>
    <row r="38" spans="1:20">
      <c r="H38" s="53" t="s">
        <v>78</v>
      </c>
      <c r="I38" s="52" t="s">
        <v>63</v>
      </c>
      <c r="J38" s="54">
        <f xml:space="preserve"> J37 / $D$48</f>
        <v>5263359.7796224263</v>
      </c>
      <c r="K38" s="52" t="s">
        <v>64</v>
      </c>
      <c r="L38" s="54">
        <f xml:space="preserve"> L37 / $D$48</f>
        <v>214239.9930298375</v>
      </c>
      <c r="M38" s="52" t="s">
        <v>65</v>
      </c>
      <c r="N38" s="54">
        <f xml:space="preserve"> N37 / $D$48</f>
        <v>197433.04596578781</v>
      </c>
      <c r="O38" s="52" t="s">
        <v>30</v>
      </c>
      <c r="P38" s="54">
        <f xml:space="preserve"> P37 / $D$48</f>
        <v>104067603.73364021</v>
      </c>
      <c r="Q38" s="55" t="s">
        <v>31</v>
      </c>
      <c r="R38" s="54">
        <f xml:space="preserve"> R37 / $D$48</f>
        <v>10740387.146826448</v>
      </c>
      <c r="S38" s="55" t="s">
        <v>32</v>
      </c>
      <c r="T38" s="54">
        <f xml:space="preserve"> T37 / $D$48</f>
        <v>319570.70799000125</v>
      </c>
    </row>
    <row r="39" spans="1:20">
      <c r="F39" s="5" t="s">
        <v>42</v>
      </c>
      <c r="G39" s="41">
        <f>SUM(B37:E37)</f>
        <v>1025285</v>
      </c>
    </row>
    <row r="40" spans="1:20">
      <c r="F40" s="5" t="s">
        <v>47</v>
      </c>
      <c r="G40" s="41">
        <f>M6-G39</f>
        <v>22666</v>
      </c>
    </row>
    <row r="41" spans="1:20" ht="29.25" customHeight="1">
      <c r="H41" s="66" t="s">
        <v>80</v>
      </c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</row>
    <row r="42" spans="1:20" ht="33" customHeight="1">
      <c r="H42" s="53" t="s">
        <v>66</v>
      </c>
      <c r="I42" s="52" t="s">
        <v>63</v>
      </c>
      <c r="J42" s="54">
        <v>614743</v>
      </c>
      <c r="K42" s="52" t="s">
        <v>64</v>
      </c>
      <c r="L42" s="54">
        <f xml:space="preserve"> 151218.8</f>
        <v>151218.79999999999</v>
      </c>
      <c r="M42" s="52" t="s">
        <v>65</v>
      </c>
      <c r="N42" s="54">
        <f xml:space="preserve">  91846</f>
        <v>91846</v>
      </c>
      <c r="O42" s="52" t="s">
        <v>30</v>
      </c>
      <c r="P42" s="54">
        <f xml:space="preserve"> 239526.6</f>
        <v>239526.6</v>
      </c>
      <c r="Q42" s="52" t="s">
        <v>31</v>
      </c>
      <c r="R42" s="54">
        <f xml:space="preserve"> 1257.262 * 2206</f>
        <v>2773519.9720000001</v>
      </c>
      <c r="S42" s="52" t="s">
        <v>32</v>
      </c>
      <c r="T42" s="54">
        <f xml:space="preserve"> 114288</f>
        <v>114288</v>
      </c>
    </row>
    <row r="43" spans="1:20" ht="20.25" customHeight="1">
      <c r="C43" t="s">
        <v>60</v>
      </c>
      <c r="D43">
        <v>426.7</v>
      </c>
      <c r="H43" s="53" t="s">
        <v>67</v>
      </c>
      <c r="I43" s="52" t="s">
        <v>63</v>
      </c>
      <c r="J43" s="54">
        <v>596217.4</v>
      </c>
      <c r="K43" s="52" t="s">
        <v>64</v>
      </c>
      <c r="L43" s="54">
        <f xml:space="preserve">  80328.6</f>
        <v>80328.600000000006</v>
      </c>
      <c r="M43" s="52" t="s">
        <v>65</v>
      </c>
      <c r="N43" s="54">
        <f xml:space="preserve"> 65804.2</f>
        <v>65804.2</v>
      </c>
      <c r="O43" s="52" t="s">
        <v>30</v>
      </c>
      <c r="P43" s="54">
        <f xml:space="preserve"> 1674738.4</f>
        <v>1674738.4</v>
      </c>
      <c r="Q43" s="52" t="s">
        <v>31</v>
      </c>
      <c r="R43" s="54">
        <f xml:space="preserve">  1466.458 * 2206</f>
        <v>3235006.3480000002</v>
      </c>
      <c r="S43" s="52" t="s">
        <v>32</v>
      </c>
      <c r="T43" s="54">
        <f xml:space="preserve"> 47778.2</f>
        <v>47778.2</v>
      </c>
    </row>
    <row r="44" spans="1:20" ht="24.75" customHeight="1">
      <c r="C44" t="s">
        <v>61</v>
      </c>
      <c r="D44">
        <v>24.8</v>
      </c>
      <c r="H44" s="53" t="s">
        <v>68</v>
      </c>
      <c r="I44" s="52" t="s">
        <v>63</v>
      </c>
      <c r="J44" s="54">
        <v>310697.2</v>
      </c>
      <c r="K44" s="52" t="s">
        <v>64</v>
      </c>
      <c r="L44" s="54">
        <f xml:space="preserve"> 25464</f>
        <v>25464</v>
      </c>
      <c r="M44" s="52" t="s">
        <v>65</v>
      </c>
      <c r="N44" s="54">
        <f xml:space="preserve">   25389.4</f>
        <v>25389.4</v>
      </c>
      <c r="O44" s="52" t="s">
        <v>30</v>
      </c>
      <c r="P44" s="54">
        <f xml:space="preserve">  505192.6</f>
        <v>505192.6</v>
      </c>
      <c r="Q44" s="52" t="s">
        <v>31</v>
      </c>
      <c r="R44" s="54">
        <f>1206.9 * 2206</f>
        <v>2662421.4000000004</v>
      </c>
      <c r="S44" s="52" t="s">
        <v>32</v>
      </c>
      <c r="T44" s="54">
        <f xml:space="preserve"> 204658.8</f>
        <v>204658.8</v>
      </c>
    </row>
    <row r="45" spans="1:20" ht="27.75" customHeight="1">
      <c r="H45" s="53" t="s">
        <v>69</v>
      </c>
      <c r="I45" s="52" t="s">
        <v>63</v>
      </c>
      <c r="J45" s="54">
        <v>120177.01</v>
      </c>
      <c r="K45" s="52" t="s">
        <v>64</v>
      </c>
      <c r="L45" s="54">
        <f xml:space="preserve"> 6703.4</f>
        <v>6703.4</v>
      </c>
      <c r="M45" s="52" t="s">
        <v>65</v>
      </c>
      <c r="N45" s="54">
        <f>5122</f>
        <v>5122</v>
      </c>
      <c r="O45" s="52" t="s">
        <v>30</v>
      </c>
      <c r="P45" s="54">
        <f xml:space="preserve"> 52867.2</f>
        <v>52867.199999999997</v>
      </c>
      <c r="Q45" s="52" t="s">
        <v>31</v>
      </c>
      <c r="R45" s="54">
        <f>75.394 * 2206</f>
        <v>166319.16400000002</v>
      </c>
      <c r="S45" s="52" t="s">
        <v>32</v>
      </c>
      <c r="T45" s="54">
        <f xml:space="preserve"> 1263.6</f>
        <v>1263.5999999999999</v>
      </c>
    </row>
    <row r="46" spans="1:20" ht="26.25" customHeight="1">
      <c r="C46" s="49" t="s">
        <v>62</v>
      </c>
      <c r="D46">
        <f>D43 * D44</f>
        <v>10582.16</v>
      </c>
      <c r="H46" s="53" t="s">
        <v>70</v>
      </c>
      <c r="I46" s="52" t="s">
        <v>63</v>
      </c>
      <c r="J46" s="54">
        <v>500724.4</v>
      </c>
      <c r="K46" s="52" t="s">
        <v>64</v>
      </c>
      <c r="L46" s="54">
        <f xml:space="preserve">  280679.4</f>
        <v>280679.40000000002</v>
      </c>
      <c r="M46" s="52" t="s">
        <v>65</v>
      </c>
      <c r="N46" s="54">
        <f xml:space="preserve">   178223</f>
        <v>178223</v>
      </c>
      <c r="O46" s="52" t="s">
        <v>30</v>
      </c>
      <c r="P46" s="54">
        <f xml:space="preserve"> 554070.6</f>
        <v>554070.6</v>
      </c>
      <c r="Q46" s="52" t="s">
        <v>31</v>
      </c>
      <c r="R46" s="54">
        <f xml:space="preserve"> 993.234 * 2206</f>
        <v>2191074.2039999999</v>
      </c>
      <c r="S46" s="52" t="s">
        <v>32</v>
      </c>
      <c r="T46" s="54">
        <f xml:space="preserve"> 1416508.8</f>
        <v>1416508.8</v>
      </c>
    </row>
    <row r="47" spans="1:20" ht="31.5" customHeight="1">
      <c r="H47" s="56" t="s">
        <v>72</v>
      </c>
      <c r="I47" s="52" t="s">
        <v>63</v>
      </c>
      <c r="J47" s="54">
        <v>0</v>
      </c>
      <c r="K47" s="52" t="s">
        <v>64</v>
      </c>
      <c r="L47" s="54">
        <f xml:space="preserve">  2065818.4</f>
        <v>2065818.4</v>
      </c>
      <c r="M47" s="52" t="s">
        <v>65</v>
      </c>
      <c r="N47" s="54">
        <f xml:space="preserve">   546765.6</f>
        <v>546765.6</v>
      </c>
      <c r="O47" s="52" t="s">
        <v>30</v>
      </c>
      <c r="P47" s="54">
        <f xml:space="preserve"> 2486448.6</f>
        <v>2486448.6</v>
      </c>
      <c r="Q47" s="52" t="s">
        <v>31</v>
      </c>
      <c r="R47" s="54">
        <f xml:space="preserve">  8399265.6</f>
        <v>8399265.5999999996</v>
      </c>
      <c r="S47" s="52" t="s">
        <v>32</v>
      </c>
      <c r="T47" s="54">
        <f xml:space="preserve"> 3987.2</f>
        <v>3987.2</v>
      </c>
    </row>
    <row r="48" spans="1:20" ht="33" customHeight="1">
      <c r="C48" s="45" t="s">
        <v>51</v>
      </c>
      <c r="D48" s="45">
        <f>453.592</f>
        <v>453.59199999999998</v>
      </c>
      <c r="H48" s="56" t="s">
        <v>73</v>
      </c>
      <c r="I48" s="52" t="s">
        <v>63</v>
      </c>
      <c r="J48" s="54">
        <v>37161</v>
      </c>
      <c r="K48" s="52" t="s">
        <v>64</v>
      </c>
      <c r="L48" s="54">
        <f xml:space="preserve">  1212803.2</f>
        <v>1212803.2</v>
      </c>
      <c r="M48" s="52" t="s">
        <v>65</v>
      </c>
      <c r="N48" s="54">
        <f xml:space="preserve"> 983564.4</f>
        <v>983564.4</v>
      </c>
      <c r="O48" s="52" t="s">
        <v>30</v>
      </c>
      <c r="P48" s="54">
        <f xml:space="preserve"> 340783.4</f>
        <v>340783.4</v>
      </c>
      <c r="Q48" s="52" t="s">
        <v>31</v>
      </c>
      <c r="R48" s="54">
        <f xml:space="preserve">  2964953.2</f>
        <v>2964953.2</v>
      </c>
      <c r="S48" s="52" t="s">
        <v>32</v>
      </c>
      <c r="T48" s="54">
        <f xml:space="preserve">  4409380.6</f>
        <v>4409380.5999999996</v>
      </c>
    </row>
    <row r="50" spans="8:20" ht="36" customHeight="1">
      <c r="H50" s="61" t="s">
        <v>74</v>
      </c>
      <c r="I50" s="63" t="s">
        <v>63</v>
      </c>
      <c r="J50" s="64">
        <f>SUM(J42:J48)</f>
        <v>2179720.0099999998</v>
      </c>
      <c r="K50" s="63" t="s">
        <v>64</v>
      </c>
      <c r="L50" s="65">
        <f>SUM(L42:L48)</f>
        <v>3823015.8</v>
      </c>
      <c r="M50" s="63" t="s">
        <v>65</v>
      </c>
      <c r="N50" s="65">
        <f>SUM(N42:N48)</f>
        <v>1896714.6</v>
      </c>
      <c r="O50" s="63" t="s">
        <v>30</v>
      </c>
      <c r="P50" s="65">
        <f>SUM(P42:P48)</f>
        <v>5853627.4000000004</v>
      </c>
      <c r="Q50" s="63" t="s">
        <v>31</v>
      </c>
      <c r="R50" s="65">
        <f>SUM(R42:R48)</f>
        <v>22392559.888</v>
      </c>
      <c r="S50" s="63" t="s">
        <v>32</v>
      </c>
      <c r="T50" s="65">
        <f>SUM(T42:T48)</f>
        <v>6197865.1999999993</v>
      </c>
    </row>
    <row r="51" spans="8:20" ht="29.25" customHeight="1">
      <c r="H51" s="62" t="s">
        <v>75</v>
      </c>
      <c r="I51" s="63" t="s">
        <v>63</v>
      </c>
      <c r="J51" s="64">
        <f>SUM(J50,J38)</f>
        <v>7443079.789622426</v>
      </c>
      <c r="K51" s="63" t="s">
        <v>64</v>
      </c>
      <c r="L51" s="65">
        <f>SUM(L50,L38)</f>
        <v>4037255.7930298373</v>
      </c>
      <c r="M51" s="63" t="s">
        <v>65</v>
      </c>
      <c r="N51" s="65">
        <f>SUM(N50,N38)</f>
        <v>2094147.6459657878</v>
      </c>
      <c r="O51" s="63" t="s">
        <v>30</v>
      </c>
      <c r="P51" s="65">
        <f>SUM(P50,P38)</f>
        <v>109921231.13364021</v>
      </c>
      <c r="Q51" s="63" t="s">
        <v>31</v>
      </c>
      <c r="R51" s="65">
        <f>SUM(R50,R38)</f>
        <v>33132947.03482645</v>
      </c>
      <c r="S51" s="63" t="s">
        <v>32</v>
      </c>
      <c r="T51" s="65">
        <f>SUM(T50,T38)</f>
        <v>6517435.9079900002</v>
      </c>
    </row>
    <row r="52" spans="8:20" ht="36.75" customHeight="1">
      <c r="H52" s="62" t="s">
        <v>76</v>
      </c>
      <c r="I52" s="63" t="s">
        <v>63</v>
      </c>
      <c r="J52" s="57">
        <f>(J38/J51) * 100</f>
        <v>70.714810648152763</v>
      </c>
      <c r="K52" s="63" t="s">
        <v>64</v>
      </c>
      <c r="L52" s="59">
        <f>(L38/L51) * 100</f>
        <v>5.3065746639020102</v>
      </c>
      <c r="M52" s="63" t="s">
        <v>65</v>
      </c>
      <c r="N52" s="59">
        <f>(N38/N51) * 100</f>
        <v>9.427847475135156</v>
      </c>
      <c r="O52" s="63" t="s">
        <v>30</v>
      </c>
      <c r="P52" s="60">
        <f>(P38/P51) * 100</f>
        <v>94.674707206578432</v>
      </c>
      <c r="Q52" s="63" t="s">
        <v>31</v>
      </c>
      <c r="R52" s="58">
        <f>(R38/R51) * 100</f>
        <v>32.416033308287048</v>
      </c>
      <c r="S52" s="63" t="s">
        <v>32</v>
      </c>
      <c r="T52" s="59">
        <f>(T38/T51) * 100</f>
        <v>4.9033195339631348</v>
      </c>
    </row>
    <row r="53" spans="8:20" ht="33.75" customHeight="1">
      <c r="H53" s="62" t="s">
        <v>77</v>
      </c>
      <c r="I53" s="63" t="s">
        <v>63</v>
      </c>
      <c r="J53" s="58">
        <f>(J50/J51) * 100</f>
        <v>29.285189351847229</v>
      </c>
      <c r="K53" s="63" t="s">
        <v>64</v>
      </c>
      <c r="L53" s="60">
        <f>(L50/L51) * 100</f>
        <v>94.693425336097988</v>
      </c>
      <c r="M53" s="63" t="s">
        <v>65</v>
      </c>
      <c r="N53" s="60">
        <f>(N50/N51) * 100</f>
        <v>90.572152524864848</v>
      </c>
      <c r="O53" s="63" t="s">
        <v>30</v>
      </c>
      <c r="P53" s="59">
        <f>(P50/P51) * 100</f>
        <v>5.3252927934215624</v>
      </c>
      <c r="Q53" s="63" t="s">
        <v>31</v>
      </c>
      <c r="R53" s="57">
        <f>(R50/R51) * 100</f>
        <v>67.583966691712945</v>
      </c>
      <c r="S53" s="63" t="s">
        <v>32</v>
      </c>
      <c r="T53" s="60">
        <f>(T50/T51) * 100</f>
        <v>95.096680466036858</v>
      </c>
    </row>
  </sheetData>
  <mergeCells count="1">
    <mergeCell ref="H41:T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:G8"/>
    </sheetView>
  </sheetViews>
  <sheetFormatPr defaultRowHeight="15"/>
  <cols>
    <col min="1" max="1" width="17.7109375" customWidth="1"/>
    <col min="2" max="2" width="17.85546875" customWidth="1"/>
    <col min="3" max="3" width="15.28515625" customWidth="1"/>
    <col min="4" max="4" width="13.42578125" customWidth="1"/>
    <col min="5" max="5" width="14" customWidth="1"/>
    <col min="6" max="6" width="13.85546875" customWidth="1"/>
    <col min="7" max="7" width="14.28515625" customWidth="1"/>
    <col min="8" max="8" width="12.42578125" customWidth="1"/>
    <col min="9" max="9" width="17.85546875" customWidth="1"/>
    <col min="10" max="10" width="16.85546875" customWidth="1"/>
    <col min="11" max="11" width="14.140625" customWidth="1"/>
    <col min="12" max="12" width="13.5703125" customWidth="1"/>
    <col min="13" max="13" width="11.85546875" customWidth="1"/>
  </cols>
  <sheetData>
    <row r="1" spans="1:13" s="12" customFormat="1" ht="23.45" customHeight="1">
      <c r="A1" s="13" t="s">
        <v>6</v>
      </c>
      <c r="B1" s="13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14" t="s">
        <v>18</v>
      </c>
    </row>
    <row r="2" spans="1:13" ht="21" customHeight="1">
      <c r="A2" s="10" t="s">
        <v>0</v>
      </c>
      <c r="B2" s="10" t="s">
        <v>3</v>
      </c>
      <c r="C2" s="11">
        <v>175005</v>
      </c>
      <c r="D2" s="11">
        <v>26873</v>
      </c>
      <c r="E2" s="11">
        <v>26752</v>
      </c>
      <c r="F2" s="11">
        <v>540</v>
      </c>
      <c r="G2" s="11">
        <v>4</v>
      </c>
      <c r="H2" s="11">
        <v>394</v>
      </c>
      <c r="I2" s="11">
        <v>452</v>
      </c>
      <c r="J2" s="11">
        <v>7</v>
      </c>
      <c r="K2" s="11">
        <v>1</v>
      </c>
      <c r="L2" s="11" t="s">
        <v>2</v>
      </c>
      <c r="M2" s="11">
        <v>230028</v>
      </c>
    </row>
    <row r="3" spans="1:13" ht="20.45" customHeight="1">
      <c r="A3" s="19" t="s">
        <v>19</v>
      </c>
      <c r="B3" s="19" t="s">
        <v>3</v>
      </c>
      <c r="C3" s="20">
        <v>50260</v>
      </c>
      <c r="D3" s="20">
        <v>7815</v>
      </c>
      <c r="E3" s="20">
        <v>7553</v>
      </c>
      <c r="F3" s="20">
        <v>163</v>
      </c>
      <c r="G3" s="20" t="s">
        <v>2</v>
      </c>
      <c r="H3" s="20">
        <v>88</v>
      </c>
      <c r="I3" s="20">
        <v>78</v>
      </c>
      <c r="J3" s="20" t="s">
        <v>2</v>
      </c>
      <c r="K3" s="20" t="s">
        <v>2</v>
      </c>
      <c r="L3" s="20" t="s">
        <v>2</v>
      </c>
      <c r="M3" s="20">
        <v>65957</v>
      </c>
    </row>
    <row r="4" spans="1:13" ht="19.149999999999999" customHeight="1">
      <c r="A4" s="25" t="s">
        <v>20</v>
      </c>
      <c r="B4" s="25" t="s">
        <v>3</v>
      </c>
      <c r="C4" s="26">
        <v>74768</v>
      </c>
      <c r="D4" s="26">
        <v>14952</v>
      </c>
      <c r="E4" s="26">
        <v>10262</v>
      </c>
      <c r="F4" s="26">
        <v>309</v>
      </c>
      <c r="G4" s="26">
        <v>1</v>
      </c>
      <c r="H4" s="26">
        <v>143</v>
      </c>
      <c r="I4" s="26">
        <v>170</v>
      </c>
      <c r="J4" s="26">
        <v>2</v>
      </c>
      <c r="K4" s="26" t="s">
        <v>2</v>
      </c>
      <c r="L4" s="26" t="s">
        <v>2</v>
      </c>
      <c r="M4" s="26">
        <v>100607</v>
      </c>
    </row>
    <row r="5" spans="1:13" ht="17.45" customHeight="1">
      <c r="A5" s="33" t="s">
        <v>21</v>
      </c>
      <c r="B5" s="33" t="s">
        <v>3</v>
      </c>
      <c r="C5" s="34">
        <v>41481</v>
      </c>
      <c r="D5" s="34">
        <v>10553</v>
      </c>
      <c r="E5" s="34">
        <v>5139</v>
      </c>
      <c r="F5" s="34">
        <v>141</v>
      </c>
      <c r="G5" s="34" t="s">
        <v>2</v>
      </c>
      <c r="H5" s="34">
        <v>52</v>
      </c>
      <c r="I5" s="34">
        <v>57</v>
      </c>
      <c r="J5" s="34">
        <v>2</v>
      </c>
      <c r="K5" s="34" t="s">
        <v>2</v>
      </c>
      <c r="L5" s="34" t="s">
        <v>2</v>
      </c>
      <c r="M5" s="34">
        <v>57425</v>
      </c>
    </row>
    <row r="8" spans="1:13">
      <c r="A8" s="9" t="s">
        <v>22</v>
      </c>
      <c r="B8" s="2" t="s">
        <v>23</v>
      </c>
      <c r="C8" s="8" t="s">
        <v>24</v>
      </c>
      <c r="D8" s="8" t="s">
        <v>25</v>
      </c>
      <c r="E8" s="8" t="s">
        <v>26</v>
      </c>
      <c r="F8" s="8" t="s">
        <v>43</v>
      </c>
      <c r="G8" s="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13" sqref="F13"/>
    </sheetView>
  </sheetViews>
  <sheetFormatPr defaultRowHeight="15"/>
  <cols>
    <col min="1" max="1" width="15.5703125" customWidth="1"/>
    <col min="2" max="2" width="12.28515625" customWidth="1"/>
    <col min="3" max="3" width="12.7109375" customWidth="1"/>
    <col min="5" max="5" width="14.5703125" customWidth="1"/>
    <col min="6" max="6" width="16.5703125" customWidth="1"/>
    <col min="7" max="7" width="13.85546875" customWidth="1"/>
    <col min="8" max="8" width="14" customWidth="1"/>
    <col min="9" max="9" width="17.7109375" customWidth="1"/>
    <col min="10" max="10" width="13.7109375" customWidth="1"/>
    <col min="11" max="11" width="11.85546875" customWidth="1"/>
    <col min="12" max="12" width="13.7109375" customWidth="1"/>
  </cols>
  <sheetData>
    <row r="1" spans="1:13" s="12" customFormat="1" ht="25.9" customHeight="1">
      <c r="A1" s="13" t="s">
        <v>6</v>
      </c>
      <c r="B1" s="13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14" t="s">
        <v>18</v>
      </c>
    </row>
    <row r="2" spans="1:13" ht="21.6" customHeight="1">
      <c r="A2" s="10" t="s">
        <v>0</v>
      </c>
      <c r="B2" s="10" t="s">
        <v>1</v>
      </c>
      <c r="C2" s="11">
        <v>3963</v>
      </c>
      <c r="D2" s="11">
        <v>19964</v>
      </c>
      <c r="E2" s="11">
        <v>339</v>
      </c>
      <c r="F2" s="11">
        <v>35</v>
      </c>
      <c r="G2" s="11">
        <v>2</v>
      </c>
      <c r="H2" s="11" t="s">
        <v>2</v>
      </c>
      <c r="I2" s="11">
        <v>273</v>
      </c>
      <c r="J2" s="11">
        <v>21</v>
      </c>
      <c r="K2" s="11" t="s">
        <v>2</v>
      </c>
      <c r="L2" s="11" t="s">
        <v>2</v>
      </c>
      <c r="M2" s="11">
        <v>24597</v>
      </c>
    </row>
    <row r="3" spans="1:13" ht="19.149999999999999" customHeight="1">
      <c r="A3" s="15" t="s">
        <v>19</v>
      </c>
      <c r="B3" s="15" t="s">
        <v>1</v>
      </c>
      <c r="C3" s="16">
        <v>1056</v>
      </c>
      <c r="D3" s="16">
        <v>2933</v>
      </c>
      <c r="E3" s="16">
        <v>71</v>
      </c>
      <c r="F3" s="16">
        <v>3</v>
      </c>
      <c r="G3" s="16" t="s">
        <v>2</v>
      </c>
      <c r="H3" s="16">
        <v>1</v>
      </c>
      <c r="I3" s="16" t="s">
        <v>2</v>
      </c>
      <c r="J3" s="16">
        <v>2</v>
      </c>
      <c r="K3" s="16" t="s">
        <v>2</v>
      </c>
      <c r="L3" s="16" t="s">
        <v>2</v>
      </c>
      <c r="M3" s="16">
        <v>4066</v>
      </c>
    </row>
    <row r="4" spans="1:13" ht="17.45" customHeight="1">
      <c r="A4" s="17" t="s">
        <v>20</v>
      </c>
      <c r="B4" s="17" t="s">
        <v>1</v>
      </c>
      <c r="C4" s="18">
        <v>1247</v>
      </c>
      <c r="D4" s="18">
        <v>6799</v>
      </c>
      <c r="E4" s="18">
        <v>81</v>
      </c>
      <c r="F4" s="18">
        <v>11</v>
      </c>
      <c r="G4" s="18" t="s">
        <v>2</v>
      </c>
      <c r="H4" s="18">
        <v>1</v>
      </c>
      <c r="I4" s="18">
        <v>18</v>
      </c>
      <c r="J4" s="18">
        <v>12</v>
      </c>
      <c r="K4" s="18" t="s">
        <v>2</v>
      </c>
      <c r="L4" s="18" t="s">
        <v>2</v>
      </c>
      <c r="M4" s="18">
        <v>8169</v>
      </c>
    </row>
    <row r="5" spans="1:13">
      <c r="A5" s="31" t="s">
        <v>21</v>
      </c>
      <c r="B5" s="31" t="s">
        <v>1</v>
      </c>
      <c r="C5" s="32">
        <v>915</v>
      </c>
      <c r="D5" s="32">
        <v>3987</v>
      </c>
      <c r="E5" s="32">
        <v>28</v>
      </c>
      <c r="F5" s="32">
        <v>3</v>
      </c>
      <c r="G5" s="32">
        <v>1</v>
      </c>
      <c r="H5" s="32" t="s">
        <v>2</v>
      </c>
      <c r="I5" s="32">
        <v>23</v>
      </c>
      <c r="J5" s="32">
        <v>4</v>
      </c>
      <c r="K5" s="32" t="s">
        <v>2</v>
      </c>
      <c r="L5" s="32" t="s">
        <v>2</v>
      </c>
      <c r="M5" s="32">
        <v>4961</v>
      </c>
    </row>
    <row r="8" spans="1:13">
      <c r="A8" s="9" t="s">
        <v>22</v>
      </c>
      <c r="B8" s="2" t="s">
        <v>23</v>
      </c>
      <c r="C8" s="8" t="s">
        <v>24</v>
      </c>
      <c r="D8" s="8" t="s">
        <v>25</v>
      </c>
      <c r="E8" s="8" t="s">
        <v>26</v>
      </c>
      <c r="F8" s="8" t="s">
        <v>43</v>
      </c>
      <c r="G8" s="8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C11" sqref="C11"/>
    </sheetView>
  </sheetViews>
  <sheetFormatPr defaultRowHeight="15"/>
  <cols>
    <col min="1" max="1" width="18.28515625" customWidth="1"/>
    <col min="2" max="2" width="19.28515625" customWidth="1"/>
    <col min="3" max="3" width="15.7109375" customWidth="1"/>
    <col min="4" max="4" width="9.85546875" customWidth="1"/>
    <col min="5" max="5" width="12.28515625" customWidth="1"/>
    <col min="6" max="6" width="13.42578125" customWidth="1"/>
    <col min="7" max="7" width="14.28515625" customWidth="1"/>
    <col min="8" max="8" width="12.5703125" customWidth="1"/>
    <col min="9" max="9" width="16.5703125" customWidth="1"/>
    <col min="10" max="10" width="13.5703125" customWidth="1"/>
    <col min="12" max="12" width="14.5703125" customWidth="1"/>
    <col min="13" max="13" width="13.140625" customWidth="1"/>
  </cols>
  <sheetData>
    <row r="1" spans="1:13" s="12" customFormat="1" ht="43.5">
      <c r="A1" s="13" t="s">
        <v>6</v>
      </c>
      <c r="B1" s="13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14" t="s">
        <v>18</v>
      </c>
    </row>
    <row r="2" spans="1:13" ht="21" customHeight="1">
      <c r="A2" s="10" t="s">
        <v>0</v>
      </c>
      <c r="B2" s="10" t="s">
        <v>4</v>
      </c>
      <c r="C2" s="11">
        <v>25716</v>
      </c>
      <c r="D2" s="11" t="s">
        <v>2</v>
      </c>
      <c r="E2" s="11">
        <v>19</v>
      </c>
      <c r="F2" s="11">
        <v>1</v>
      </c>
      <c r="G2" s="11">
        <v>23</v>
      </c>
      <c r="H2" s="11">
        <v>3</v>
      </c>
      <c r="I2" s="11">
        <v>1</v>
      </c>
      <c r="J2" s="11" t="s">
        <v>2</v>
      </c>
      <c r="K2" s="11">
        <v>1</v>
      </c>
      <c r="L2" s="11" t="s">
        <v>2</v>
      </c>
      <c r="M2" s="11">
        <v>25764</v>
      </c>
    </row>
    <row r="3" spans="1:13">
      <c r="A3" s="21" t="s">
        <v>19</v>
      </c>
      <c r="B3" s="21" t="s">
        <v>4</v>
      </c>
      <c r="C3" s="22">
        <v>8521</v>
      </c>
      <c r="D3" s="22" t="s">
        <v>2</v>
      </c>
      <c r="E3" s="22">
        <v>7</v>
      </c>
      <c r="F3" s="22" t="s">
        <v>2</v>
      </c>
      <c r="G3" s="22">
        <v>1</v>
      </c>
      <c r="H3" s="22">
        <v>1</v>
      </c>
      <c r="I3" s="22" t="s">
        <v>2</v>
      </c>
      <c r="J3" s="22" t="s">
        <v>2</v>
      </c>
      <c r="K3" s="22" t="s">
        <v>2</v>
      </c>
      <c r="L3" s="22" t="s">
        <v>2</v>
      </c>
      <c r="M3" s="22">
        <v>8530</v>
      </c>
    </row>
    <row r="4" spans="1:13">
      <c r="A4" s="27" t="s">
        <v>20</v>
      </c>
      <c r="B4" s="27" t="s">
        <v>4</v>
      </c>
      <c r="C4" s="28">
        <v>11946</v>
      </c>
      <c r="D4" s="28" t="s">
        <v>2</v>
      </c>
      <c r="E4" s="28">
        <v>12</v>
      </c>
      <c r="F4" s="28" t="s">
        <v>2</v>
      </c>
      <c r="G4" s="28">
        <v>8</v>
      </c>
      <c r="H4" s="28">
        <v>1</v>
      </c>
      <c r="I4" s="28" t="s">
        <v>2</v>
      </c>
      <c r="J4" s="28" t="s">
        <v>2</v>
      </c>
      <c r="K4" s="28" t="s">
        <v>2</v>
      </c>
      <c r="L4" s="28" t="s">
        <v>2</v>
      </c>
      <c r="M4" s="28">
        <v>11967</v>
      </c>
    </row>
    <row r="5" spans="1:13">
      <c r="A5" s="37" t="s">
        <v>21</v>
      </c>
      <c r="B5" s="37" t="s">
        <v>4</v>
      </c>
      <c r="C5" s="38">
        <v>6550</v>
      </c>
      <c r="D5" s="38" t="s">
        <v>2</v>
      </c>
      <c r="E5" s="38">
        <v>3</v>
      </c>
      <c r="F5" s="38" t="s">
        <v>2</v>
      </c>
      <c r="G5" s="38" t="s">
        <v>2</v>
      </c>
      <c r="H5" s="38" t="s">
        <v>2</v>
      </c>
      <c r="I5" s="38" t="s">
        <v>2</v>
      </c>
      <c r="J5" s="38" t="s">
        <v>2</v>
      </c>
      <c r="K5" s="38" t="s">
        <v>2</v>
      </c>
      <c r="L5" s="38" t="s">
        <v>2</v>
      </c>
      <c r="M5" s="38">
        <v>6553</v>
      </c>
    </row>
    <row r="8" spans="1:13">
      <c r="A8" s="9" t="s">
        <v>22</v>
      </c>
      <c r="B8" s="2" t="s">
        <v>23</v>
      </c>
      <c r="C8" s="8" t="s">
        <v>24</v>
      </c>
      <c r="D8" s="8" t="s">
        <v>25</v>
      </c>
      <c r="E8" s="8" t="s">
        <v>26</v>
      </c>
      <c r="F8" s="8" t="s">
        <v>43</v>
      </c>
      <c r="G8" s="8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F3" sqref="F3:F29"/>
    </sheetView>
  </sheetViews>
  <sheetFormatPr defaultRowHeight="15"/>
  <cols>
    <col min="1" max="1" width="11.7109375" customWidth="1"/>
    <col min="2" max="2" width="16.7109375" customWidth="1"/>
    <col min="3" max="3" width="20.28515625" customWidth="1"/>
    <col min="4" max="4" width="11.140625" customWidth="1"/>
    <col min="5" max="5" width="11.85546875" customWidth="1"/>
    <col min="6" max="6" width="10.5703125" customWidth="1"/>
    <col min="7" max="7" width="15" customWidth="1"/>
    <col min="8" max="8" width="11.42578125" customWidth="1"/>
    <col min="9" max="9" width="11" customWidth="1"/>
    <col min="10" max="10" width="13.140625" customWidth="1"/>
    <col min="11" max="11" width="12.7109375" customWidth="1"/>
    <col min="12" max="12" width="16.28515625" customWidth="1"/>
    <col min="13" max="13" width="11.42578125" customWidth="1"/>
    <col min="14" max="14" width="12.28515625" customWidth="1"/>
  </cols>
  <sheetData>
    <row r="1" spans="1:14" s="45" customFormat="1" ht="35.450000000000003" customHeight="1">
      <c r="A1" s="67" t="s">
        <v>48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s="8" customFormat="1">
      <c r="A2" s="8" t="s">
        <v>27</v>
      </c>
      <c r="B2" s="8" t="s">
        <v>28</v>
      </c>
      <c r="C2" s="8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 t="s">
        <v>39</v>
      </c>
      <c r="N2" s="8" t="s">
        <v>40</v>
      </c>
    </row>
    <row r="3" spans="1:14">
      <c r="A3">
        <v>1990</v>
      </c>
      <c r="B3">
        <v>1.0150999999999999</v>
      </c>
      <c r="C3">
        <v>0.53580000000000005</v>
      </c>
      <c r="D3">
        <v>14.899100000000001</v>
      </c>
      <c r="E3">
        <v>2.2044999999999999</v>
      </c>
      <c r="F3">
        <v>5.0299999999999997E-2</v>
      </c>
      <c r="G3">
        <v>3.5499999999999997E-2</v>
      </c>
      <c r="H3">
        <v>2.7699999999999999E-2</v>
      </c>
      <c r="I3">
        <v>7.4999999999999997E-3</v>
      </c>
      <c r="J3">
        <v>2.9999999999999997E-4</v>
      </c>
      <c r="K3">
        <v>1.7899999999999999E-2</v>
      </c>
      <c r="L3">
        <v>3.27E-2</v>
      </c>
      <c r="M3">
        <v>2.5499999999999998E-2</v>
      </c>
      <c r="N3">
        <v>6.8999999999999999E-3</v>
      </c>
    </row>
    <row r="4" spans="1:14">
      <c r="A4">
        <v>1991</v>
      </c>
      <c r="B4">
        <v>1.0441</v>
      </c>
      <c r="C4">
        <v>0.50870000000000004</v>
      </c>
      <c r="D4">
        <v>14.273400000000001</v>
      </c>
      <c r="E4">
        <v>2.3290000000000002</v>
      </c>
      <c r="F4">
        <v>4.0099999999999997E-2</v>
      </c>
      <c r="G4">
        <v>2.7900000000000001E-2</v>
      </c>
      <c r="H4">
        <v>2.1700000000000001E-2</v>
      </c>
      <c r="I4">
        <v>6.0000000000000001E-3</v>
      </c>
      <c r="J4">
        <v>2.4000000000000001E-4</v>
      </c>
      <c r="K4">
        <v>1.7899999999999999E-2</v>
      </c>
      <c r="L4">
        <v>2.5700000000000001E-2</v>
      </c>
      <c r="M4">
        <v>0.02</v>
      </c>
      <c r="N4">
        <v>5.4999999999999997E-3</v>
      </c>
    </row>
    <row r="5" spans="1:14">
      <c r="A5">
        <v>1992</v>
      </c>
      <c r="B5">
        <v>1.0034000000000001</v>
      </c>
      <c r="C5">
        <v>0.49349999999999999</v>
      </c>
      <c r="D5">
        <v>13.690099999999999</v>
      </c>
      <c r="E5">
        <v>2.2612000000000001</v>
      </c>
      <c r="F5">
        <v>3.95E-2</v>
      </c>
      <c r="G5">
        <v>2.63E-2</v>
      </c>
      <c r="H5">
        <v>2.0400000000000001E-2</v>
      </c>
      <c r="I5">
        <v>5.5999999999999999E-3</v>
      </c>
      <c r="J5">
        <v>2.3000000000000001E-4</v>
      </c>
      <c r="K5">
        <v>1.7899999999999999E-2</v>
      </c>
      <c r="L5">
        <v>2.4199999999999999E-2</v>
      </c>
      <c r="M5">
        <v>1.8800000000000001E-2</v>
      </c>
      <c r="N5">
        <v>5.1999999999999998E-3</v>
      </c>
    </row>
    <row r="6" spans="1:14">
      <c r="A6">
        <v>1993</v>
      </c>
      <c r="B6">
        <v>0.96230000000000004</v>
      </c>
      <c r="C6">
        <v>0.48120000000000002</v>
      </c>
      <c r="D6">
        <v>13.1883</v>
      </c>
      <c r="E6">
        <v>2.2046999999999999</v>
      </c>
      <c r="F6">
        <v>3.7100000000000001E-2</v>
      </c>
      <c r="G6">
        <v>2.5000000000000001E-2</v>
      </c>
      <c r="H6">
        <v>1.95E-2</v>
      </c>
      <c r="I6">
        <v>5.3E-3</v>
      </c>
      <c r="J6">
        <v>2.2000000000000001E-4</v>
      </c>
      <c r="K6">
        <v>1.7899999999999999E-2</v>
      </c>
      <c r="L6">
        <v>2.3E-2</v>
      </c>
      <c r="M6">
        <v>1.7899999999999999E-2</v>
      </c>
      <c r="N6">
        <v>4.8999999999999998E-3</v>
      </c>
    </row>
    <row r="7" spans="1:14">
      <c r="A7">
        <v>1994</v>
      </c>
      <c r="B7">
        <v>0.84640000000000004</v>
      </c>
      <c r="C7">
        <v>0.46560000000000001</v>
      </c>
      <c r="D7">
        <v>10.680400000000001</v>
      </c>
      <c r="E7">
        <v>1.9368000000000001</v>
      </c>
      <c r="F7">
        <v>3.5900000000000001E-2</v>
      </c>
      <c r="G7">
        <v>2.06E-2</v>
      </c>
      <c r="H7">
        <v>1.6E-2</v>
      </c>
      <c r="I7">
        <v>4.3E-3</v>
      </c>
      <c r="J7">
        <v>2.1000000000000001E-4</v>
      </c>
      <c r="K7">
        <v>1.7899999999999999E-2</v>
      </c>
      <c r="L7">
        <v>1.9E-2</v>
      </c>
      <c r="M7">
        <v>1.4800000000000001E-2</v>
      </c>
      <c r="N7">
        <v>4.0000000000000001E-3</v>
      </c>
    </row>
    <row r="8" spans="1:14">
      <c r="A8">
        <v>1995</v>
      </c>
      <c r="B8">
        <v>0.81159999999999999</v>
      </c>
      <c r="C8">
        <v>0.42249999999999999</v>
      </c>
      <c r="D8">
        <v>10.136799999999999</v>
      </c>
      <c r="E8">
        <v>1.8393999999999999</v>
      </c>
      <c r="F8">
        <v>3.4000000000000002E-2</v>
      </c>
      <c r="G8">
        <v>1.7000000000000001E-2</v>
      </c>
      <c r="H8">
        <v>1.32E-2</v>
      </c>
      <c r="I8">
        <v>3.5999999999999999E-3</v>
      </c>
      <c r="J8">
        <v>2.0000000000000001E-4</v>
      </c>
      <c r="K8">
        <v>1.7899999999999999E-2</v>
      </c>
      <c r="L8">
        <v>1.5699999999999999E-2</v>
      </c>
      <c r="M8">
        <v>1.2200000000000001E-2</v>
      </c>
      <c r="N8">
        <v>3.3E-3</v>
      </c>
    </row>
    <row r="9" spans="1:14">
      <c r="A9">
        <v>1996</v>
      </c>
      <c r="B9">
        <v>0.59499999999999997</v>
      </c>
      <c r="C9">
        <v>0.14349999999999999</v>
      </c>
      <c r="D9">
        <v>6.9985999999999997</v>
      </c>
      <c r="E9">
        <v>1.2153</v>
      </c>
      <c r="F9">
        <v>3.2899999999999999E-2</v>
      </c>
      <c r="G9">
        <v>1.46E-2</v>
      </c>
      <c r="H9">
        <v>1.1299999999999999E-2</v>
      </c>
      <c r="I9">
        <v>3.0999999999999999E-3</v>
      </c>
      <c r="J9">
        <v>2.0000000000000001E-4</v>
      </c>
      <c r="K9">
        <v>1.7899999999999999E-2</v>
      </c>
      <c r="L9">
        <v>1.34E-2</v>
      </c>
      <c r="M9">
        <v>1.04E-2</v>
      </c>
      <c r="N9">
        <v>2.8E-3</v>
      </c>
    </row>
    <row r="10" spans="1:14">
      <c r="A10">
        <v>1997</v>
      </c>
      <c r="B10">
        <v>0.56010000000000004</v>
      </c>
      <c r="C10">
        <v>0.14080000000000001</v>
      </c>
      <c r="D10">
        <v>6.6299000000000001</v>
      </c>
      <c r="E10">
        <v>1.1468</v>
      </c>
      <c r="F10">
        <v>3.09E-2</v>
      </c>
      <c r="G10">
        <v>1.37E-2</v>
      </c>
      <c r="H10">
        <v>1.06E-2</v>
      </c>
      <c r="I10">
        <v>2.8999999999999998E-3</v>
      </c>
      <c r="J10">
        <v>1.8000000000000001E-4</v>
      </c>
      <c r="K10">
        <v>1.7899999999999999E-2</v>
      </c>
      <c r="L10">
        <v>1.26E-2</v>
      </c>
      <c r="M10">
        <v>9.7999999999999997E-3</v>
      </c>
      <c r="N10">
        <v>2.5999999999999999E-3</v>
      </c>
    </row>
    <row r="11" spans="1:14">
      <c r="A11">
        <v>1998</v>
      </c>
      <c r="B11">
        <v>0.47649999999999998</v>
      </c>
      <c r="C11">
        <v>8.1699999999999995E-2</v>
      </c>
      <c r="D11">
        <v>6.3216999999999999</v>
      </c>
      <c r="E11">
        <v>1.0902000000000001</v>
      </c>
      <c r="F11">
        <v>2.9700000000000001E-2</v>
      </c>
      <c r="G11">
        <v>1.21E-2</v>
      </c>
      <c r="H11">
        <v>9.4000000000000004E-3</v>
      </c>
      <c r="I11">
        <v>2.5000000000000001E-3</v>
      </c>
      <c r="J11">
        <v>1.8000000000000001E-4</v>
      </c>
      <c r="K11">
        <v>1.7899999999999999E-2</v>
      </c>
      <c r="L11">
        <v>1.12E-2</v>
      </c>
      <c r="M11">
        <v>8.6999999999999994E-3</v>
      </c>
      <c r="N11">
        <v>2.3E-3</v>
      </c>
    </row>
    <row r="12" spans="1:14">
      <c r="A12">
        <v>1999</v>
      </c>
      <c r="B12">
        <v>0.40050000000000002</v>
      </c>
      <c r="C12">
        <v>6.6600000000000006E-2</v>
      </c>
      <c r="D12">
        <v>6.0579999999999998</v>
      </c>
      <c r="E12">
        <v>1.0429999999999999</v>
      </c>
      <c r="F12">
        <v>2.87E-2</v>
      </c>
      <c r="G12">
        <v>1.01E-2</v>
      </c>
      <c r="H12">
        <v>7.7999999999999996E-3</v>
      </c>
      <c r="I12">
        <v>2.0999999999999999E-3</v>
      </c>
      <c r="J12">
        <v>1.7000000000000001E-4</v>
      </c>
      <c r="K12">
        <v>1.7899999999999999E-2</v>
      </c>
      <c r="L12">
        <v>9.2999999999999992E-3</v>
      </c>
      <c r="M12">
        <v>7.1999999999999998E-3</v>
      </c>
      <c r="N12">
        <v>2E-3</v>
      </c>
    </row>
    <row r="13" spans="1:14">
      <c r="A13">
        <v>2000</v>
      </c>
      <c r="B13">
        <v>0.3664</v>
      </c>
      <c r="C13">
        <v>6.83E-2</v>
      </c>
      <c r="D13">
        <v>5.9614000000000003</v>
      </c>
      <c r="E13">
        <v>1.0270999999999999</v>
      </c>
      <c r="F13">
        <v>2.53E-2</v>
      </c>
      <c r="G13">
        <v>1.03E-2</v>
      </c>
      <c r="H13">
        <v>8.0000000000000002E-3</v>
      </c>
      <c r="I13">
        <v>2.0999999999999999E-3</v>
      </c>
      <c r="J13">
        <v>1.4999999999999999E-4</v>
      </c>
      <c r="K13">
        <v>1.7899999999999999E-2</v>
      </c>
      <c r="L13">
        <v>9.4999999999999998E-3</v>
      </c>
      <c r="M13">
        <v>7.4000000000000003E-3</v>
      </c>
      <c r="N13">
        <v>2E-3</v>
      </c>
    </row>
    <row r="14" spans="1:14">
      <c r="A14">
        <v>2001</v>
      </c>
      <c r="B14">
        <v>0.20960000000000001</v>
      </c>
      <c r="C14">
        <v>7.0999999999999994E-2</v>
      </c>
      <c r="D14">
        <v>5.2896999999999998</v>
      </c>
      <c r="E14">
        <v>0.63</v>
      </c>
      <c r="F14">
        <v>2.24E-2</v>
      </c>
      <c r="G14">
        <v>8.8000000000000005E-3</v>
      </c>
      <c r="H14">
        <v>6.7999999999999996E-3</v>
      </c>
      <c r="I14">
        <v>1.8E-3</v>
      </c>
      <c r="J14">
        <v>1.2999999999999999E-4</v>
      </c>
      <c r="K14">
        <v>1.7899999999999999E-2</v>
      </c>
      <c r="L14">
        <v>8.0999999999999996E-3</v>
      </c>
      <c r="M14">
        <v>6.3E-3</v>
      </c>
      <c r="N14">
        <v>1.6999999999999999E-3</v>
      </c>
    </row>
    <row r="15" spans="1:14">
      <c r="A15">
        <v>2002</v>
      </c>
      <c r="B15">
        <v>0.19320000000000001</v>
      </c>
      <c r="C15">
        <v>7.2800000000000004E-2</v>
      </c>
      <c r="D15">
        <v>4.9832000000000001</v>
      </c>
      <c r="E15">
        <v>0.56100000000000005</v>
      </c>
      <c r="F15">
        <v>1.89E-2</v>
      </c>
      <c r="G15">
        <v>7.7000000000000002E-3</v>
      </c>
      <c r="H15">
        <v>6.0000000000000001E-3</v>
      </c>
      <c r="I15">
        <v>1.6000000000000001E-3</v>
      </c>
      <c r="J15">
        <v>1.1E-4</v>
      </c>
      <c r="K15">
        <v>1.7899999999999999E-2</v>
      </c>
      <c r="L15">
        <v>7.1000000000000004E-3</v>
      </c>
      <c r="M15">
        <v>5.4999999999999997E-3</v>
      </c>
      <c r="N15">
        <v>1.5E-3</v>
      </c>
    </row>
    <row r="16" spans="1:14">
      <c r="A16">
        <v>2003</v>
      </c>
      <c r="B16">
        <v>0.17960000000000001</v>
      </c>
      <c r="C16">
        <v>7.46E-2</v>
      </c>
      <c r="D16">
        <v>4.8139000000000003</v>
      </c>
      <c r="E16">
        <v>0.4914</v>
      </c>
      <c r="F16">
        <v>1.5299999999999999E-2</v>
      </c>
      <c r="G16">
        <v>7.4999999999999997E-3</v>
      </c>
      <c r="H16">
        <v>5.7999999999999996E-3</v>
      </c>
      <c r="I16">
        <v>1.6000000000000001E-3</v>
      </c>
      <c r="J16">
        <v>9.0000000000000006E-5</v>
      </c>
      <c r="K16">
        <v>1.7899999999999999E-2</v>
      </c>
      <c r="L16">
        <v>6.8999999999999999E-3</v>
      </c>
      <c r="M16">
        <v>5.4000000000000003E-3</v>
      </c>
      <c r="N16">
        <v>1.5E-3</v>
      </c>
    </row>
    <row r="17" spans="1:14">
      <c r="A17">
        <v>2004</v>
      </c>
      <c r="B17">
        <v>0.16339999999999999</v>
      </c>
      <c r="C17">
        <v>6.2899999999999998E-2</v>
      </c>
      <c r="D17">
        <v>4.4444999999999997</v>
      </c>
      <c r="E17">
        <v>0.25240000000000001</v>
      </c>
      <c r="F17">
        <v>1.15E-2</v>
      </c>
      <c r="G17">
        <v>7.7000000000000002E-3</v>
      </c>
      <c r="H17">
        <v>6.0000000000000001E-3</v>
      </c>
      <c r="I17">
        <v>1.6000000000000001E-3</v>
      </c>
      <c r="J17">
        <v>6.9999999999999994E-5</v>
      </c>
      <c r="K17">
        <v>1.7899999999999999E-2</v>
      </c>
      <c r="L17">
        <v>7.1000000000000004E-3</v>
      </c>
      <c r="M17">
        <v>5.4999999999999997E-3</v>
      </c>
      <c r="N17">
        <v>1.5E-3</v>
      </c>
    </row>
    <row r="18" spans="1:14">
      <c r="A18">
        <v>2005</v>
      </c>
      <c r="B18">
        <v>0.157</v>
      </c>
      <c r="C18">
        <v>6.4600000000000005E-2</v>
      </c>
      <c r="D18">
        <v>4.2324999999999999</v>
      </c>
      <c r="E18">
        <v>0.19839999999999999</v>
      </c>
      <c r="F18">
        <v>8.9999999999999993E-3</v>
      </c>
      <c r="G18">
        <v>7.7000000000000002E-3</v>
      </c>
      <c r="H18">
        <v>6.0000000000000001E-3</v>
      </c>
      <c r="I18">
        <v>1.6000000000000001E-3</v>
      </c>
      <c r="J18">
        <v>5.0000000000000002E-5</v>
      </c>
      <c r="K18">
        <v>1.7899999999999999E-2</v>
      </c>
      <c r="L18">
        <v>7.1000000000000004E-3</v>
      </c>
      <c r="M18">
        <v>5.4999999999999997E-3</v>
      </c>
      <c r="N18">
        <v>1.5E-3</v>
      </c>
    </row>
    <row r="19" spans="1:14">
      <c r="A19">
        <v>2006</v>
      </c>
      <c r="B19">
        <v>0.12130000000000001</v>
      </c>
      <c r="C19">
        <v>6.6299999999999998E-2</v>
      </c>
      <c r="D19">
        <v>3.1570999999999998</v>
      </c>
      <c r="E19">
        <v>0.18770000000000001</v>
      </c>
      <c r="F19">
        <v>7.7999999999999996E-3</v>
      </c>
      <c r="G19">
        <v>7.7000000000000002E-3</v>
      </c>
      <c r="H19">
        <v>6.0000000000000001E-3</v>
      </c>
      <c r="I19">
        <v>1.6000000000000001E-3</v>
      </c>
      <c r="J19">
        <v>5.0000000000000002E-5</v>
      </c>
      <c r="K19">
        <v>1.7899999999999999E-2</v>
      </c>
      <c r="L19">
        <v>7.1000000000000004E-3</v>
      </c>
      <c r="M19">
        <v>5.4999999999999997E-3</v>
      </c>
      <c r="N19">
        <v>1.5E-3</v>
      </c>
    </row>
    <row r="20" spans="1:14">
      <c r="A20">
        <v>2007</v>
      </c>
      <c r="B20">
        <v>0.11550000000000001</v>
      </c>
      <c r="C20">
        <v>6.6900000000000001E-2</v>
      </c>
      <c r="D20">
        <v>2.9546000000000001</v>
      </c>
      <c r="E20">
        <v>0.1515</v>
      </c>
      <c r="F20">
        <v>6.7999999999999996E-3</v>
      </c>
      <c r="G20">
        <v>7.7000000000000002E-3</v>
      </c>
      <c r="H20">
        <v>6.0000000000000001E-3</v>
      </c>
      <c r="I20">
        <v>1.6000000000000001E-3</v>
      </c>
      <c r="J20">
        <v>4.0000000000000003E-5</v>
      </c>
      <c r="K20">
        <v>1.7899999999999999E-2</v>
      </c>
      <c r="L20">
        <v>7.1000000000000004E-3</v>
      </c>
      <c r="M20">
        <v>5.4999999999999997E-3</v>
      </c>
      <c r="N20">
        <v>1.5E-3</v>
      </c>
    </row>
    <row r="21" spans="1:14">
      <c r="A21">
        <v>2008</v>
      </c>
      <c r="B21">
        <v>0.1129</v>
      </c>
      <c r="C21">
        <v>7.2099999999999997E-2</v>
      </c>
      <c r="D21">
        <v>2.9184000000000001</v>
      </c>
      <c r="E21">
        <v>0.14050000000000001</v>
      </c>
      <c r="F21">
        <v>6.0000000000000001E-3</v>
      </c>
      <c r="G21">
        <v>7.7000000000000002E-3</v>
      </c>
      <c r="H21">
        <v>6.0000000000000001E-3</v>
      </c>
      <c r="I21">
        <v>1.6000000000000001E-3</v>
      </c>
      <c r="J21">
        <v>4.0000000000000003E-5</v>
      </c>
      <c r="K21">
        <v>1.7899999999999999E-2</v>
      </c>
      <c r="L21">
        <v>7.1000000000000004E-3</v>
      </c>
      <c r="M21">
        <v>5.4999999999999997E-3</v>
      </c>
      <c r="N21">
        <v>1.5E-3</v>
      </c>
    </row>
    <row r="22" spans="1:14">
      <c r="A22">
        <v>2009</v>
      </c>
      <c r="B22">
        <v>0.1095</v>
      </c>
      <c r="C22">
        <v>6.0100000000000001E-2</v>
      </c>
      <c r="D22">
        <v>2.8868</v>
      </c>
      <c r="E22">
        <v>0.13</v>
      </c>
      <c r="F22">
        <v>5.5999999999999999E-3</v>
      </c>
      <c r="G22">
        <v>7.7000000000000002E-3</v>
      </c>
      <c r="H22">
        <v>6.0000000000000001E-3</v>
      </c>
      <c r="I22">
        <v>1.6000000000000001E-3</v>
      </c>
      <c r="J22">
        <v>3.0000000000000001E-5</v>
      </c>
      <c r="K22">
        <v>1.7999999999999999E-2</v>
      </c>
      <c r="L22">
        <v>7.1000000000000004E-3</v>
      </c>
      <c r="M22">
        <v>5.4999999999999997E-3</v>
      </c>
      <c r="N22">
        <v>1.5E-3</v>
      </c>
    </row>
    <row r="23" spans="1:14">
      <c r="A23">
        <v>2010</v>
      </c>
      <c r="B23">
        <v>0.1084</v>
      </c>
      <c r="C23">
        <v>6.1699999999999998E-2</v>
      </c>
      <c r="D23">
        <v>2.8656000000000001</v>
      </c>
      <c r="E23">
        <v>0.1205</v>
      </c>
      <c r="F23">
        <v>5.4999999999999997E-3</v>
      </c>
      <c r="G23">
        <v>7.7000000000000002E-3</v>
      </c>
      <c r="H23">
        <v>6.0000000000000001E-3</v>
      </c>
      <c r="I23">
        <v>1.6000000000000001E-3</v>
      </c>
      <c r="J23">
        <v>3.0000000000000001E-5</v>
      </c>
      <c r="K23">
        <v>1.7999999999999999E-2</v>
      </c>
      <c r="L23">
        <v>7.1000000000000004E-3</v>
      </c>
      <c r="M23">
        <v>5.4999999999999997E-3</v>
      </c>
      <c r="N23">
        <v>1.5E-3</v>
      </c>
    </row>
    <row r="24" spans="1:14">
      <c r="A24">
        <v>2011</v>
      </c>
      <c r="B24">
        <v>0.1082</v>
      </c>
      <c r="C24">
        <v>6.3299999999999995E-2</v>
      </c>
      <c r="D24">
        <v>2.8637999999999999</v>
      </c>
      <c r="E24">
        <v>0.1203</v>
      </c>
      <c r="F24">
        <v>5.4999999999999997E-3</v>
      </c>
      <c r="G24">
        <v>7.6E-3</v>
      </c>
      <c r="H24">
        <v>6.0000000000000001E-3</v>
      </c>
      <c r="I24">
        <v>1.6000000000000001E-3</v>
      </c>
      <c r="J24">
        <v>3.0000000000000001E-5</v>
      </c>
      <c r="K24">
        <v>1.7999999999999999E-2</v>
      </c>
      <c r="L24">
        <v>7.0000000000000001E-3</v>
      </c>
      <c r="M24">
        <v>5.4999999999999997E-3</v>
      </c>
      <c r="N24">
        <v>1.5E-3</v>
      </c>
    </row>
    <row r="25" spans="1:14">
      <c r="A25">
        <v>2012</v>
      </c>
      <c r="B25">
        <v>0.1094</v>
      </c>
      <c r="C25">
        <v>6.5199999999999994E-2</v>
      </c>
      <c r="D25">
        <v>2.8624999999999998</v>
      </c>
      <c r="E25">
        <v>0.1201</v>
      </c>
      <c r="F25">
        <v>4.8999999999999998E-3</v>
      </c>
      <c r="G25">
        <v>7.6E-3</v>
      </c>
      <c r="H25">
        <v>6.0000000000000001E-3</v>
      </c>
      <c r="I25">
        <v>1.6000000000000001E-3</v>
      </c>
      <c r="J25">
        <v>3.0000000000000001E-5</v>
      </c>
      <c r="K25">
        <v>1.7999999999999999E-2</v>
      </c>
      <c r="L25">
        <v>7.0000000000000001E-3</v>
      </c>
      <c r="M25">
        <v>5.4999999999999997E-3</v>
      </c>
      <c r="N25">
        <v>1.5E-3</v>
      </c>
    </row>
    <row r="26" spans="1:14">
      <c r="A26">
        <v>2013</v>
      </c>
      <c r="B26">
        <v>0.11</v>
      </c>
      <c r="C26">
        <v>6.3799999999999996E-2</v>
      </c>
      <c r="D26">
        <v>2.8639000000000001</v>
      </c>
      <c r="E26">
        <v>0.1202</v>
      </c>
      <c r="F26">
        <v>4.7999999999999996E-3</v>
      </c>
      <c r="G26">
        <v>7.6E-3</v>
      </c>
      <c r="H26">
        <v>6.0000000000000001E-3</v>
      </c>
      <c r="I26">
        <v>1.6000000000000001E-3</v>
      </c>
      <c r="J26">
        <v>3.0000000000000001E-5</v>
      </c>
      <c r="K26">
        <v>1.7999999999999999E-2</v>
      </c>
      <c r="L26">
        <v>7.0000000000000001E-3</v>
      </c>
      <c r="M26">
        <v>5.4999999999999997E-3</v>
      </c>
      <c r="N26">
        <v>1.5E-3</v>
      </c>
    </row>
    <row r="27" spans="1:14">
      <c r="A27">
        <v>2014</v>
      </c>
      <c r="B27">
        <v>0.1096</v>
      </c>
      <c r="C27">
        <v>6.2799999999999995E-2</v>
      </c>
      <c r="D27">
        <v>2.8647999999999998</v>
      </c>
      <c r="E27">
        <v>0.1202</v>
      </c>
      <c r="F27">
        <v>4.7000000000000002E-3</v>
      </c>
      <c r="G27">
        <v>7.6E-3</v>
      </c>
      <c r="H27">
        <v>6.0000000000000001E-3</v>
      </c>
      <c r="I27">
        <v>1.6000000000000001E-3</v>
      </c>
      <c r="J27">
        <v>3.0000000000000001E-5</v>
      </c>
      <c r="K27">
        <v>1.7999999999999999E-2</v>
      </c>
      <c r="L27">
        <v>7.0000000000000001E-3</v>
      </c>
      <c r="M27">
        <v>5.4999999999999997E-3</v>
      </c>
      <c r="N27">
        <v>1.5E-3</v>
      </c>
    </row>
    <row r="28" spans="1:14">
      <c r="A28">
        <v>2015</v>
      </c>
      <c r="B28">
        <v>0.1086</v>
      </c>
      <c r="C28">
        <v>6.1100000000000002E-2</v>
      </c>
      <c r="D28">
        <v>2.8652000000000002</v>
      </c>
      <c r="E28">
        <v>0.1202</v>
      </c>
      <c r="F28">
        <v>4.4000000000000003E-3</v>
      </c>
      <c r="G28">
        <v>7.6E-3</v>
      </c>
      <c r="H28">
        <v>6.0000000000000001E-3</v>
      </c>
      <c r="I28">
        <v>1.6000000000000001E-3</v>
      </c>
      <c r="J28">
        <v>3.0000000000000001E-5</v>
      </c>
      <c r="K28">
        <v>1.7999999999999999E-2</v>
      </c>
      <c r="L28">
        <v>7.0000000000000001E-3</v>
      </c>
      <c r="M28">
        <v>5.4999999999999997E-3</v>
      </c>
      <c r="N28">
        <v>1.5E-3</v>
      </c>
    </row>
    <row r="29" spans="1:14">
      <c r="A29">
        <v>2016</v>
      </c>
      <c r="B29">
        <v>0.1069</v>
      </c>
      <c r="C29">
        <v>6.0999999999999999E-2</v>
      </c>
      <c r="D29">
        <v>2.8647</v>
      </c>
      <c r="E29">
        <v>0.1202</v>
      </c>
      <c r="F29">
        <v>4.1999999999999997E-3</v>
      </c>
      <c r="G29">
        <v>7.6E-3</v>
      </c>
      <c r="H29">
        <v>6.0000000000000001E-3</v>
      </c>
      <c r="I29">
        <v>1.6000000000000001E-3</v>
      </c>
      <c r="J29">
        <v>2.0000000000000002E-5</v>
      </c>
      <c r="K29">
        <v>1.7999999999999999E-2</v>
      </c>
      <c r="L29">
        <v>7.0000000000000001E-3</v>
      </c>
      <c r="M29">
        <v>5.4999999999999997E-3</v>
      </c>
      <c r="N29">
        <v>1.5E-3</v>
      </c>
    </row>
    <row r="30" spans="1:14">
      <c r="A30">
        <v>2017</v>
      </c>
      <c r="B30">
        <v>0.1086</v>
      </c>
      <c r="C30">
        <v>6.0999999999999999E-2</v>
      </c>
      <c r="D30">
        <v>2.8633000000000002</v>
      </c>
      <c r="E30">
        <v>0.1201</v>
      </c>
      <c r="F30">
        <v>4.1999999999999997E-3</v>
      </c>
      <c r="G30">
        <v>7.6E-3</v>
      </c>
      <c r="H30">
        <v>6.0000000000000001E-3</v>
      </c>
      <c r="I30">
        <v>1.6000000000000001E-3</v>
      </c>
      <c r="J30">
        <v>2.0000000000000002E-5</v>
      </c>
      <c r="K30">
        <v>1.7999999999999999E-2</v>
      </c>
      <c r="L30">
        <v>7.0000000000000001E-3</v>
      </c>
      <c r="M30">
        <v>5.4999999999999997E-3</v>
      </c>
      <c r="N30">
        <v>1.5E-3</v>
      </c>
    </row>
    <row r="31" spans="1:14">
      <c r="A31">
        <v>2018</v>
      </c>
      <c r="B31">
        <v>0.10780000000000001</v>
      </c>
      <c r="C31">
        <v>6.0400000000000002E-2</v>
      </c>
      <c r="D31">
        <v>2.8611</v>
      </c>
      <c r="E31">
        <v>0.12</v>
      </c>
      <c r="F31">
        <v>4.1999999999999997E-3</v>
      </c>
      <c r="G31">
        <v>7.6E-3</v>
      </c>
      <c r="H31">
        <v>6.0000000000000001E-3</v>
      </c>
      <c r="I31">
        <v>1.6000000000000001E-3</v>
      </c>
      <c r="J31">
        <v>2.0000000000000002E-5</v>
      </c>
      <c r="K31">
        <v>1.7999999999999999E-2</v>
      </c>
      <c r="L31">
        <v>7.0000000000000001E-3</v>
      </c>
      <c r="M31">
        <v>5.4999999999999997E-3</v>
      </c>
      <c r="N31">
        <v>1.5E-3</v>
      </c>
    </row>
    <row r="32" spans="1:14">
      <c r="A32">
        <v>2019</v>
      </c>
      <c r="B32">
        <v>0.1074</v>
      </c>
      <c r="C32">
        <v>5.9799999999999999E-2</v>
      </c>
      <c r="D32">
        <v>2.8582000000000001</v>
      </c>
      <c r="E32">
        <v>0.11990000000000001</v>
      </c>
      <c r="F32">
        <v>4.1999999999999997E-3</v>
      </c>
      <c r="G32">
        <v>7.6E-3</v>
      </c>
      <c r="H32">
        <v>6.0000000000000001E-3</v>
      </c>
      <c r="I32">
        <v>1.6000000000000001E-3</v>
      </c>
      <c r="J32">
        <v>2.0000000000000002E-5</v>
      </c>
      <c r="K32">
        <v>1.7999999999999999E-2</v>
      </c>
      <c r="L32">
        <v>7.0000000000000001E-3</v>
      </c>
      <c r="M32">
        <v>5.4999999999999997E-3</v>
      </c>
      <c r="N32">
        <v>1.5E-3</v>
      </c>
    </row>
    <row r="33" spans="1:14">
      <c r="A33">
        <v>2020</v>
      </c>
      <c r="B33">
        <v>0.1065</v>
      </c>
      <c r="C33">
        <v>5.9299999999999999E-2</v>
      </c>
      <c r="D33">
        <v>2.8546999999999998</v>
      </c>
      <c r="E33">
        <v>0.1198</v>
      </c>
      <c r="F33">
        <v>4.1999999999999997E-3</v>
      </c>
      <c r="G33">
        <v>7.6E-3</v>
      </c>
      <c r="H33">
        <v>6.0000000000000001E-3</v>
      </c>
      <c r="I33">
        <v>1.6000000000000001E-3</v>
      </c>
      <c r="J33">
        <v>2.0000000000000002E-5</v>
      </c>
      <c r="K33">
        <v>1.7999999999999999E-2</v>
      </c>
      <c r="L33">
        <v>7.0000000000000001E-3</v>
      </c>
      <c r="M33">
        <v>5.4999999999999997E-3</v>
      </c>
      <c r="N33">
        <v>1.5E-3</v>
      </c>
    </row>
    <row r="34" spans="1:14" ht="25.9" customHeight="1">
      <c r="A34" s="68" t="s">
        <v>49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</sheetData>
  <mergeCells count="2">
    <mergeCell ref="A1:N1"/>
    <mergeCell ref="A34:N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/>
  <sheetData>
    <row r="1" spans="1:6">
      <c r="A1" s="68" t="s">
        <v>53</v>
      </c>
      <c r="B1" s="68"/>
      <c r="C1" s="68"/>
      <c r="D1" s="68"/>
      <c r="E1" s="68"/>
      <c r="F1" s="68"/>
    </row>
    <row r="2" spans="1:6">
      <c r="A2" t="s">
        <v>54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:B3"/>
    </sheetView>
  </sheetViews>
  <sheetFormatPr defaultRowHeight="15"/>
  <cols>
    <col min="1" max="1" width="21" customWidth="1"/>
  </cols>
  <sheetData>
    <row r="1" spans="1:13">
      <c r="A1" s="68" t="s">
        <v>50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>
      <c r="A2" t="s">
        <v>51</v>
      </c>
      <c r="B2">
        <f>453.592</f>
        <v>453.59199999999998</v>
      </c>
    </row>
    <row r="3" spans="1:13">
      <c r="A3" t="s">
        <v>52</v>
      </c>
      <c r="B3">
        <f>2204.62</f>
        <v>2204.62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Cars</vt:lpstr>
      <vt:lpstr>Light Trucks</vt:lpstr>
      <vt:lpstr>Heavy Trucks</vt:lpstr>
      <vt:lpstr>Motorcycles</vt:lpstr>
      <vt:lpstr>CarGasModel</vt:lpstr>
      <vt:lpstr>GasDieselConsumption</vt:lpstr>
      <vt:lpstr>Conversion Factors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Plewe, Andrew</dc:creator>
  <cp:lastModifiedBy>Plewe, Andrew</cp:lastModifiedBy>
  <cp:lastPrinted>2018-02-13T19:48:06Z</cp:lastPrinted>
  <dcterms:created xsi:type="dcterms:W3CDTF">2018-01-29T17:15:42Z</dcterms:created>
  <dcterms:modified xsi:type="dcterms:W3CDTF">2018-02-13T19:49:28Z</dcterms:modified>
</cp:coreProperties>
</file>