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School Stuff\Junior Save Folder\Spring\5440\Prelim 1\Question 1\"/>
    </mc:Choice>
  </mc:AlternateContent>
  <xr:revisionPtr revIDLastSave="0" documentId="13_ncr:1_{4EF7B6BB-B89D-4B16-BC5E-458351601976}" xr6:coauthVersionLast="45" xr6:coauthVersionMax="45" xr10:uidLastSave="{00000000-0000-0000-0000-000000000000}"/>
  <bookViews>
    <workbookView xWindow="-28920" yWindow="-120" windowWidth="29040" windowHeight="15840" activeTab="1" xr2:uid="{C3B301BF-8F4D-4BE0-BFEA-8540E8EEE4F8}"/>
  </bookViews>
  <sheets>
    <sheet name="1 Part A" sheetId="1" r:id="rId1"/>
    <sheet name="1 Part CD" sheetId="3" r:id="rId2"/>
  </sheets>
  <definedNames>
    <definedName name="solver_adj" localSheetId="1" hidden="1">'1 Part CD'!$B$12,'1 Part CD'!$B$13</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'1 Part CD'!$B$14</definedName>
    <definedName name="solver_pre" localSheetId="1" hidden="1">0.0000001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3" i="3" l="1"/>
  <c r="L22" i="3"/>
  <c r="K23" i="3"/>
  <c r="K22" i="3"/>
  <c r="L18" i="3" l="1"/>
  <c r="L14" i="3"/>
  <c r="L13" i="3"/>
  <c r="L15" i="3" s="1"/>
  <c r="H3" i="1"/>
  <c r="H4" i="1"/>
  <c r="H5" i="1"/>
  <c r="H6" i="1"/>
  <c r="H7" i="1"/>
  <c r="H8" i="1"/>
  <c r="H9" i="1"/>
  <c r="I13" i="1"/>
  <c r="G4" i="1"/>
  <c r="G5" i="1"/>
  <c r="G6" i="1"/>
  <c r="G7" i="1"/>
  <c r="G8" i="1"/>
  <c r="G9" i="1"/>
  <c r="G3" i="1"/>
  <c r="F13" i="1"/>
  <c r="L16" i="3" l="1"/>
  <c r="L17" i="3" s="1"/>
  <c r="H13" i="1"/>
  <c r="C13" i="1"/>
  <c r="B4" i="1"/>
  <c r="D7" i="3" l="1"/>
  <c r="E7" i="3" s="1"/>
  <c r="D8" i="3"/>
  <c r="E8" i="3" s="1"/>
  <c r="D2" i="3"/>
  <c r="E2" i="3" s="1"/>
  <c r="D3" i="3"/>
  <c r="E3" i="3" s="1"/>
  <c r="D4" i="3"/>
  <c r="E4" i="3" s="1"/>
  <c r="D5" i="3"/>
  <c r="E5" i="3" s="1"/>
  <c r="D6" i="3"/>
  <c r="E6" i="3" s="1"/>
  <c r="B14" i="3"/>
</calcChain>
</file>

<file path=xl/sharedStrings.xml><?xml version="1.0" encoding="utf-8"?>
<sst xmlns="http://schemas.openxmlformats.org/spreadsheetml/2006/main" count="38" uniqueCount="35">
  <si>
    <t>IPTG (mM)</t>
  </si>
  <si>
    <t>&lt;n&gt; (mRNA/cell)</t>
  </si>
  <si>
    <t>low (mRNA/cell)</t>
  </si>
  <si>
    <t>high (mRNA/cell)</t>
  </si>
  <si>
    <t>OD600</t>
  </si>
  <si>
    <t>Equivilent(Cells/ml)</t>
  </si>
  <si>
    <t>V (sample volume)(ml)</t>
  </si>
  <si>
    <t>Nc*V (# of cells)</t>
  </si>
  <si>
    <t>http://ecmdb.ca/e_coli_stats</t>
  </si>
  <si>
    <t>Beta (gDW)</t>
  </si>
  <si>
    <t>E Coli Cell dry Mass (gdw/cell) from &gt;</t>
  </si>
  <si>
    <t>&lt;n&gt; (nmol)</t>
  </si>
  <si>
    <t>Value</t>
  </si>
  <si>
    <t>&lt;n&gt;/Beta (nmol/gdw)</t>
  </si>
  <si>
    <t>IPTG (nmol)</t>
  </si>
  <si>
    <t>From this plot</t>
  </si>
  <si>
    <t>Max(m*) (nmol/gdw)</t>
  </si>
  <si>
    <t>Min(m*) (nmol/gdw)</t>
  </si>
  <si>
    <t>Property and units</t>
  </si>
  <si>
    <t>Gain (nmol/gdw)</t>
  </si>
  <si>
    <t>W1/(1+W1) (background production) (unitless)</t>
  </si>
  <si>
    <t>W1 (unitless)</t>
  </si>
  <si>
    <t>Solving above entry for W1</t>
  </si>
  <si>
    <t>kd (nM)</t>
  </si>
  <si>
    <t>LSQRS</t>
  </si>
  <si>
    <t>Parameters from LSQRS</t>
  </si>
  <si>
    <t>W2 (unitless)</t>
  </si>
  <si>
    <t>n (unitles)</t>
  </si>
  <si>
    <t>When I = K, m* = Gain*[(w1+(0.5)w2)/(1+w1+(0.5)w2)]. Therefore, K = max(I) (Because W2 must be large relative to 1,W1) (Because (W1+W2)/(1+W1+W2) = 1 as u(large I) = 1 )</t>
  </si>
  <si>
    <t>Squared Error *10^19</t>
  </si>
  <si>
    <t>(From Least Squares Fit)</t>
  </si>
  <si>
    <t>Max(m*) = Gain*u(I=large) = Gain*1 = Gain</t>
  </si>
  <si>
    <t>Min(m*) = Gain*u(I=0) = Gain* (W1/(1+W1) Therefore, W1/(1+W1) = Min(m*) / Gain</t>
  </si>
  <si>
    <t>Source (For better explanations please see written work)</t>
  </si>
  <si>
    <t>Sum of Squared Error*10^19 column for Solver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</si>
</sst>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horizont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'1 Part CD'!$C$1</c:f>
              <c:strCache>
                <c:ptCount val="1"/>
                <c:pt idx="0">
                  <c:v>&lt;n&gt;/Beta (nmol/gdw)</c:v>
                </c:pt>
              </c:strCache>
            </c:strRef>
          </c:tx>
          <c:spPr>
            <a:ln w="25400" cap="rnd">
              <a:noFill/>
              <a:round/>
            </a:ln>
            <a:effectLst/>
          </c:spPr>
          <c:marker>
            <c:symbol val="circle"/>
            <c:size val="5"/>
            <c:spPr>
              <a:solidFill>
                <a:schemeClr val="accent1"/>
              </a:solidFill>
              <a:ln w="9525">
                <a:solidFill>
                  <a:schemeClr val="accent1"/>
                </a:solidFill>
              </a:ln>
              <a:effectLst/>
            </c:spPr>
          </c:marker>
          <c:xVal>
            <c:numRef>
              <c:f>'1 Part CD'!$B$3:$B$8</c:f>
              <c:numCache>
                <c:formatCode>General</c:formatCode>
                <c:ptCount val="6"/>
                <c:pt idx="0">
                  <c:v>5.0000000000000003E-10</c:v>
                </c:pt>
                <c:pt idx="1">
                  <c:v>5.0000000000000001E-9</c:v>
                </c:pt>
                <c:pt idx="2">
                  <c:v>1.2E-8</c:v>
                </c:pt>
                <c:pt idx="3">
                  <c:v>5.2999999999999998E-8</c:v>
                </c:pt>
                <c:pt idx="4">
                  <c:v>2.16E-7</c:v>
                </c:pt>
                <c:pt idx="5">
                  <c:v>9.9999999999999995E-7</c:v>
                </c:pt>
              </c:numCache>
            </c:numRef>
          </c:xVal>
          <c:yVal>
            <c:numRef>
              <c:f>'1 Part CD'!$C$3:$C$8</c:f>
              <c:numCache>
                <c:formatCode>General</c:formatCode>
                <c:ptCount val="6"/>
                <c:pt idx="0">
                  <c:v>1.1624045167718365E-8</c:v>
                </c:pt>
                <c:pt idx="1">
                  <c:v>2.2694564375069186E-8</c:v>
                </c:pt>
                <c:pt idx="2">
                  <c:v>3.7086239344625253E-8</c:v>
                </c:pt>
                <c:pt idx="3">
                  <c:v>4.7603232591608541E-8</c:v>
                </c:pt>
                <c:pt idx="4">
                  <c:v>5.1477914314181327E-8</c:v>
                </c:pt>
                <c:pt idx="5">
                  <c:v>5.1477914314181327E-8</c:v>
                </c:pt>
              </c:numCache>
            </c:numRef>
          </c:yVal>
          <c:smooth val="0"/>
          <c:extLst>
            <c:ext xmlns:c16="http://schemas.microsoft.com/office/drawing/2014/chart" uri="{C3380CC4-5D6E-409C-BE32-E72D297353CC}">
              <c16:uniqueId val="{00000000-C13B-47EC-8506-003659BC91FD}"/>
            </c:ext>
          </c:extLst>
        </c:ser>
        <c:ser>
          <c:idx val="1"/>
          <c:order val="1"/>
          <c:tx>
            <c:strRef>
              <c:f>'1 Part CD'!$D$1</c:f>
              <c:strCache>
                <c:ptCount val="1"/>
                <c:pt idx="0">
                  <c:v>LSQRS</c:v>
                </c:pt>
              </c:strCache>
            </c:strRef>
          </c:tx>
          <c:spPr>
            <a:ln w="25400" cap="rnd">
              <a:solidFill>
                <a:schemeClr val="accent2"/>
              </a:solidFill>
              <a:prstDash val="sysDot"/>
              <a:round/>
            </a:ln>
            <a:effectLst/>
          </c:spPr>
          <c:marker>
            <c:symbol val="none"/>
          </c:marker>
          <c:xVal>
            <c:numRef>
              <c:f>'1 Part CD'!$B$3:$B$8</c:f>
              <c:numCache>
                <c:formatCode>General</c:formatCode>
                <c:ptCount val="6"/>
                <c:pt idx="0">
                  <c:v>5.0000000000000003E-10</c:v>
                </c:pt>
                <c:pt idx="1">
                  <c:v>5.0000000000000001E-9</c:v>
                </c:pt>
                <c:pt idx="2">
                  <c:v>1.2E-8</c:v>
                </c:pt>
                <c:pt idx="3">
                  <c:v>5.2999999999999998E-8</c:v>
                </c:pt>
                <c:pt idx="4">
                  <c:v>2.16E-7</c:v>
                </c:pt>
                <c:pt idx="5">
                  <c:v>9.9999999999999995E-7</c:v>
                </c:pt>
              </c:numCache>
            </c:numRef>
          </c:xVal>
          <c:yVal>
            <c:numRef>
              <c:f>'1 Part CD'!$D$3:$D$8</c:f>
              <c:numCache>
                <c:formatCode>General</c:formatCode>
                <c:ptCount val="6"/>
                <c:pt idx="0">
                  <c:v>1.1123845552640983E-8</c:v>
                </c:pt>
                <c:pt idx="1">
                  <c:v>2.3379946404756002E-8</c:v>
                </c:pt>
                <c:pt idx="2">
                  <c:v>3.6172013156133645E-8</c:v>
                </c:pt>
                <c:pt idx="3">
                  <c:v>4.8920032114617052E-8</c:v>
                </c:pt>
                <c:pt idx="4">
                  <c:v>5.1111703515140976E-8</c:v>
                </c:pt>
                <c:pt idx="5">
                  <c:v>5.1409056374165937E-8</c:v>
                </c:pt>
              </c:numCache>
            </c:numRef>
          </c:yVal>
          <c:smooth val="0"/>
          <c:extLst>
            <c:ext xmlns:c16="http://schemas.microsoft.com/office/drawing/2014/chart" uri="{C3380CC4-5D6E-409C-BE32-E72D297353CC}">
              <c16:uniqueId val="{00000004-C13B-47EC-8506-003659BC91FD}"/>
            </c:ext>
          </c:extLst>
        </c:ser>
        <c:dLbls>
          <c:showLegendKey val="0"/>
          <c:showVal val="0"/>
          <c:showCatName val="0"/>
          <c:showSerName val="0"/>
          <c:showPercent val="0"/>
          <c:showBubbleSize val="0"/>
        </c:dLbls>
        <c:axId val="1915651551"/>
        <c:axId val="1919482879"/>
      </c:scatterChart>
      <c:valAx>
        <c:axId val="1915651551"/>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Log10 scale of IPTG(nM)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482879"/>
        <c:crosses val="autoZero"/>
        <c:crossBetween val="midCat"/>
      </c:valAx>
      <c:valAx>
        <c:axId val="191948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&lt;n&gt; (nmol/gdw)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651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695325</xdr:colOff>
      <xdr:row>9</xdr:row>
      <xdr:rowOff>161925</xdr:rowOff>
    </xdr:from>
    <xdr:to>
      <xdr:col>9</xdr:col>
      <xdr:colOff>190500</xdr:colOff>
      <xdr:row>30</xdr:row>
      <xdr:rowOff>57150</xdr:rowOff>
    </xdr:to>
    <xdr:graphicFrame macro="">
      <xdr:nvGraphicFramePr>
        <xdr:cNvPr id="4" name="Chart 3">
          <a:extLst>
            <a:ext uri="{FF2B5EF4-FFF2-40B4-BE49-F238E27FC236}">
              <a16:creationId xmlns:a16="http://schemas.microsoft.com/office/drawing/2014/main" id="{04C6E142-48EB-43E2-B534-D5C0A1FCA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15</xdr:row>
      <xdr:rowOff>57150</xdr:rowOff>
    </xdr:from>
    <xdr:to>
      <xdr:col>1</xdr:col>
      <xdr:colOff>628650</xdr:colOff>
      <xdr:row>25</xdr:row>
      <xdr:rowOff>142875</xdr:rowOff>
    </xdr:to>
    <xdr:sp macro="" textlink="">
      <xdr:nvSpPr>
        <xdr:cNvPr id="6" name="TextBox 5">
          <a:extLst>
            <a:ext uri="{FF2B5EF4-FFF2-40B4-BE49-F238E27FC236}">
              <a16:creationId xmlns:a16="http://schemas.microsoft.com/office/drawing/2014/main" id="{7CA0C037-EE01-4FC7-BCF6-7FC259194AD1}"/>
            </a:ext>
          </a:extLst>
        </xdr:cNvPr>
        <xdr:cNvSpPr txBox="1"/>
      </xdr:nvSpPr>
      <xdr:spPr>
        <a:xfrm>
          <a:off x="38100" y="6343650"/>
          <a:ext cx="3019425"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 n and W2 are the parameters of my fit. In terms of how</a:t>
          </a:r>
          <a:r>
            <a:rPr lang="en-US" sz="1100" baseline="0"/>
            <a:t> the curve behaves relative to the change in the various variables:</a:t>
          </a:r>
          <a:r>
            <a:rPr lang="en-US" sz="1100"/>
            <a:t> n changes how steep the curve is and W2</a:t>
          </a:r>
          <a:r>
            <a:rPr lang="en-US" sz="1100" baseline="0"/>
            <a:t> changes the concavity of the curve and the steepness. W1 changes the y value of the base of the curve and slightly pulls the other data points with it. Gain is just an overall multiplier so it just shifts the entire curve up or down.</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ecmdb.ca/e_coli_sta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87CF0-7032-4498-A816-5C01F69C2136}">
  <dimension ref="B2:I13"/>
  <sheetViews>
    <sheetView workbookViewId="0">
      <selection activeCell="F21" sqref="F21"/>
    </sheetView>
  </sheetViews>
  <sheetFormatPr defaultRowHeight="15" x14ac:dyDescent="0.25"/>
  <cols>
    <col min="2" max="2" width="22.28515625" bestFit="1" customWidth="1"/>
    <col min="3" max="3" width="19.140625" bestFit="1" customWidth="1"/>
    <col min="4" max="4" width="21.85546875" bestFit="1" customWidth="1"/>
    <col min="5" max="5" width="16.42578125" bestFit="1" customWidth="1"/>
    <col min="6" max="6" width="34.42578125" bestFit="1" customWidth="1"/>
    <col min="7" max="7" width="31.85546875" bestFit="1" customWidth="1"/>
    <col min="8" max="8" width="20.5703125" bestFit="1" customWidth="1"/>
    <col min="9" max="9" width="17.42578125" bestFit="1" customWidth="1"/>
    <col min="10" max="10" width="11" bestFit="1" customWidth="1"/>
  </cols>
  <sheetData>
    <row r="2" spans="2:9" x14ac:dyDescent="0.25">
      <c r="B2" t="s">
        <v>0</v>
      </c>
      <c r="C2" t="s">
        <v>1</v>
      </c>
      <c r="D2" t="s">
        <v>2</v>
      </c>
      <c r="E2" t="s">
        <v>3</v>
      </c>
      <c r="G2" t="s">
        <v>11</v>
      </c>
      <c r="H2" t="s">
        <v>13</v>
      </c>
    </row>
    <row r="3" spans="2:9" x14ac:dyDescent="0.25">
      <c r="B3">
        <v>0</v>
      </c>
      <c r="C3">
        <v>19</v>
      </c>
      <c r="D3">
        <v>18</v>
      </c>
      <c r="E3">
        <v>20</v>
      </c>
      <c r="G3">
        <f>C3/(6.022*10^14)</f>
        <v>3.1550979740949851E-14</v>
      </c>
      <c r="H3">
        <f>G3/$I$13</f>
        <v>1.0516993246983282E-8</v>
      </c>
    </row>
    <row r="4" spans="2:9" x14ac:dyDescent="0.25">
      <c r="B4">
        <f>5*10^-4</f>
        <v>5.0000000000000001E-4</v>
      </c>
      <c r="C4">
        <v>21</v>
      </c>
      <c r="D4">
        <v>17</v>
      </c>
      <c r="E4">
        <v>26</v>
      </c>
      <c r="G4">
        <f t="shared" ref="G4:G9" si="0">C4/(6.022*10^14)</f>
        <v>3.4872135503155101E-14</v>
      </c>
      <c r="H4">
        <f t="shared" ref="H4:H9" si="1">G4/$I$13</f>
        <v>1.1624045167718365E-8</v>
      </c>
    </row>
    <row r="5" spans="2:9" x14ac:dyDescent="0.25">
      <c r="B5">
        <v>5.0000000000000001E-3</v>
      </c>
      <c r="C5">
        <v>41</v>
      </c>
      <c r="D5">
        <v>37</v>
      </c>
      <c r="E5">
        <v>44</v>
      </c>
      <c r="G5">
        <f t="shared" si="0"/>
        <v>6.808369312520757E-14</v>
      </c>
      <c r="H5">
        <f t="shared" si="1"/>
        <v>2.2694564375069186E-8</v>
      </c>
    </row>
    <row r="6" spans="2:9" x14ac:dyDescent="0.25">
      <c r="B6">
        <v>1.2E-2</v>
      </c>
      <c r="C6">
        <v>67</v>
      </c>
      <c r="D6">
        <v>65</v>
      </c>
      <c r="E6">
        <v>69</v>
      </c>
      <c r="G6">
        <f t="shared" si="0"/>
        <v>1.1125871803387578E-13</v>
      </c>
      <c r="H6">
        <f t="shared" si="1"/>
        <v>3.7086239344625253E-8</v>
      </c>
    </row>
    <row r="7" spans="2:9" x14ac:dyDescent="0.25">
      <c r="B7">
        <v>5.2999999999999999E-2</v>
      </c>
      <c r="C7">
        <v>86</v>
      </c>
      <c r="D7">
        <v>84</v>
      </c>
      <c r="E7">
        <v>88</v>
      </c>
      <c r="G7">
        <f t="shared" si="0"/>
        <v>1.4280969777482564E-13</v>
      </c>
      <c r="H7">
        <f t="shared" si="1"/>
        <v>4.7603232591608541E-8</v>
      </c>
    </row>
    <row r="8" spans="2:9" x14ac:dyDescent="0.25">
      <c r="B8">
        <v>0.216</v>
      </c>
      <c r="C8">
        <v>93</v>
      </c>
      <c r="D8">
        <v>91</v>
      </c>
      <c r="E8">
        <v>95</v>
      </c>
      <c r="G8">
        <f t="shared" si="0"/>
        <v>1.5443374294254401E-13</v>
      </c>
      <c r="H8">
        <f t="shared" si="1"/>
        <v>5.1477914314181327E-8</v>
      </c>
    </row>
    <row r="9" spans="2:9" x14ac:dyDescent="0.25">
      <c r="B9">
        <v>1</v>
      </c>
      <c r="C9">
        <v>93</v>
      </c>
      <c r="D9">
        <v>92</v>
      </c>
      <c r="E9">
        <v>94</v>
      </c>
      <c r="G9">
        <f t="shared" si="0"/>
        <v>1.5443374294254401E-13</v>
      </c>
      <c r="H9">
        <f t="shared" si="1"/>
        <v>5.1477914314181327E-8</v>
      </c>
    </row>
    <row r="12" spans="2:9" x14ac:dyDescent="0.25">
      <c r="B12" t="s">
        <v>4</v>
      </c>
      <c r="C12" t="s">
        <v>5</v>
      </c>
      <c r="D12" t="s">
        <v>6</v>
      </c>
      <c r="F12" t="s">
        <v>10</v>
      </c>
      <c r="G12" s="1" t="s">
        <v>8</v>
      </c>
      <c r="H12" t="s">
        <v>7</v>
      </c>
      <c r="I12" t="s">
        <v>9</v>
      </c>
    </row>
    <row r="13" spans="2:9" x14ac:dyDescent="0.25">
      <c r="B13">
        <v>0.1</v>
      </c>
      <c r="C13">
        <f>$B$13*10^8</f>
        <v>10000000</v>
      </c>
      <c r="D13">
        <v>1</v>
      </c>
      <c r="F13">
        <f>3*10^-13</f>
        <v>3.0000000000000003E-13</v>
      </c>
      <c r="H13">
        <f>$C$13*$D$13</f>
        <v>10000000</v>
      </c>
      <c r="I13">
        <f>$F$13*$H$13</f>
        <v>3.0000000000000005E-6</v>
      </c>
    </row>
  </sheetData>
  <hyperlinks>
    <hyperlink ref="G12" r:id="rId1" xr:uid="{7D3FAFC0-EC80-4584-B80E-A65E4E0346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CDB-9460-4E80-A27B-94B113E7E07B}">
  <dimension ref="A1:M23"/>
  <sheetViews>
    <sheetView tabSelected="1" workbookViewId="0">
      <selection activeCell="C12" sqref="C12"/>
    </sheetView>
  </sheetViews>
  <sheetFormatPr defaultRowHeight="15" x14ac:dyDescent="0.25"/>
  <cols>
    <col min="1" max="1" width="42.7109375" bestFit="1" customWidth="1"/>
    <col min="2" max="2" width="12.7109375" bestFit="1" customWidth="1"/>
    <col min="3" max="4" width="20.28515625" bestFit="1" customWidth="1"/>
    <col min="5" max="6" width="19.7109375" bestFit="1" customWidth="1"/>
    <col min="11" max="11" width="43.28515625" bestFit="1" customWidth="1"/>
    <col min="12" max="12" width="12" bestFit="1" customWidth="1"/>
    <col min="13" max="13" width="157.7109375" bestFit="1" customWidth="1"/>
    <col min="21" max="21" width="13.42578125" bestFit="1" customWidth="1"/>
    <col min="22" max="22" width="43.28515625" bestFit="1" customWidth="1"/>
    <col min="23" max="23" width="12" bestFit="1" customWidth="1"/>
    <col min="24" max="24" width="109.85546875" bestFit="1" customWidth="1"/>
  </cols>
  <sheetData>
    <row r="1" spans="1:13" x14ac:dyDescent="0.25">
      <c r="B1" t="s">
        <v>14</v>
      </c>
      <c r="C1" t="s">
        <v>13</v>
      </c>
      <c r="D1" t="s">
        <v>24</v>
      </c>
      <c r="E1" t="s">
        <v>29</v>
      </c>
    </row>
    <row r="2" spans="1:13" x14ac:dyDescent="0.25">
      <c r="B2">
        <v>0</v>
      </c>
      <c r="C2">
        <v>1.0516993246983282E-8</v>
      </c>
      <c r="D2">
        <f>$L$15*(($L$17+$B$13*((B2^$B$12)/(B2^$B$12+$L$18^$B$12)))/(1+($L$17+$B$13*((B2^$B$12)/(B2^$B$12+$L$18^$B$12)))))</f>
        <v>1.0516993246983282E-8</v>
      </c>
      <c r="E2">
        <f>((D2-C2)^2)*10^19</f>
        <v>0</v>
      </c>
    </row>
    <row r="3" spans="1:13" x14ac:dyDescent="0.25">
      <c r="B3">
        <v>5.0000000000000003E-10</v>
      </c>
      <c r="C3">
        <v>1.1624045167718365E-8</v>
      </c>
      <c r="D3">
        <f t="shared" ref="D3:D8" si="0">$L$15*(($L$17+$B$13*((B3^$B$12)/(B3^$B$12+$L$18^$B$12)))/(1+($L$17+$B$13*((B3^$B$12)/(B3^$B$12+$L$18^$B$12)))))</f>
        <v>1.1123845552640983E-8</v>
      </c>
      <c r="E3">
        <f t="shared" ref="E3:E8" si="1">((D3-C3)^2)*10^19</f>
        <v>2.5019965492356104</v>
      </c>
    </row>
    <row r="4" spans="1:13" x14ac:dyDescent="0.25">
      <c r="B4">
        <v>5.0000000000000001E-9</v>
      </c>
      <c r="C4">
        <v>2.2694564375069186E-8</v>
      </c>
      <c r="D4">
        <f t="shared" si="0"/>
        <v>2.3379946404756002E-8</v>
      </c>
      <c r="E4">
        <f t="shared" si="1"/>
        <v>4.6974852661761934</v>
      </c>
    </row>
    <row r="5" spans="1:13" x14ac:dyDescent="0.25">
      <c r="B5">
        <v>1.2E-8</v>
      </c>
      <c r="C5">
        <v>3.7086239344625253E-8</v>
      </c>
      <c r="D5">
        <f t="shared" si="0"/>
        <v>3.6172013156133645E-8</v>
      </c>
      <c r="E5">
        <f t="shared" si="1"/>
        <v>8.3580952372389365</v>
      </c>
    </row>
    <row r="6" spans="1:13" x14ac:dyDescent="0.25">
      <c r="B6">
        <v>5.2999999999999998E-8</v>
      </c>
      <c r="C6">
        <v>4.7603232591608541E-8</v>
      </c>
      <c r="D6">
        <f t="shared" si="0"/>
        <v>4.8920032114617052E-8</v>
      </c>
      <c r="E6">
        <f t="shared" si="1"/>
        <v>17.339609837954402</v>
      </c>
    </row>
    <row r="7" spans="1:13" x14ac:dyDescent="0.25">
      <c r="B7">
        <v>2.16E-7</v>
      </c>
      <c r="C7">
        <v>5.1477914314181327E-8</v>
      </c>
      <c r="D7">
        <f t="shared" si="0"/>
        <v>5.1111703515140976E-8</v>
      </c>
      <c r="E7">
        <f t="shared" si="1"/>
        <v>1.3411034933377199</v>
      </c>
    </row>
    <row r="8" spans="1:13" x14ac:dyDescent="0.25">
      <c r="B8">
        <v>9.9999999999999995E-7</v>
      </c>
      <c r="C8">
        <v>5.1477914314181327E-8</v>
      </c>
      <c r="D8">
        <f t="shared" si="0"/>
        <v>5.1409056374165937E-8</v>
      </c>
      <c r="E8">
        <f t="shared" si="1"/>
        <v>4.7414159031630106E-2</v>
      </c>
    </row>
    <row r="11" spans="1:13" x14ac:dyDescent="0.25">
      <c r="A11" t="s">
        <v>25</v>
      </c>
    </row>
    <row r="12" spans="1:13" x14ac:dyDescent="0.25">
      <c r="A12" t="s">
        <v>27</v>
      </c>
      <c r="B12">
        <v>1.4836320249140442</v>
      </c>
      <c r="K12" t="s">
        <v>18</v>
      </c>
      <c r="L12" t="s">
        <v>12</v>
      </c>
      <c r="M12" t="s">
        <v>33</v>
      </c>
    </row>
    <row r="13" spans="1:13" x14ac:dyDescent="0.25">
      <c r="A13" t="s">
        <v>26</v>
      </c>
      <c r="B13">
        <v>1492.6783061278143</v>
      </c>
      <c r="K13" t="s">
        <v>16</v>
      </c>
      <c r="L13">
        <f>C8</f>
        <v>5.1477914314181327E-8</v>
      </c>
      <c r="M13" t="s">
        <v>15</v>
      </c>
    </row>
    <row r="14" spans="1:13" x14ac:dyDescent="0.25">
      <c r="A14" t="s">
        <v>34</v>
      </c>
      <c r="B14">
        <f>SUM(E3:E8)</f>
        <v>34.285704542974493</v>
      </c>
      <c r="K14" t="s">
        <v>17</v>
      </c>
      <c r="L14">
        <f>C2</f>
        <v>1.0516993246983282E-8</v>
      </c>
      <c r="M14" t="s">
        <v>15</v>
      </c>
    </row>
    <row r="15" spans="1:13" x14ac:dyDescent="0.25">
      <c r="K15" t="s">
        <v>19</v>
      </c>
      <c r="L15">
        <f>L13</f>
        <v>5.1477914314181327E-8</v>
      </c>
      <c r="M15" t="s">
        <v>31</v>
      </c>
    </row>
    <row r="16" spans="1:13" x14ac:dyDescent="0.25">
      <c r="K16" t="s">
        <v>20</v>
      </c>
      <c r="L16">
        <f>L14/L15</f>
        <v>0.20430107526881719</v>
      </c>
      <c r="M16" t="s">
        <v>32</v>
      </c>
    </row>
    <row r="17" spans="11:13" x14ac:dyDescent="0.25">
      <c r="K17" t="s">
        <v>21</v>
      </c>
      <c r="L17">
        <f>L16/(1-L16)</f>
        <v>0.25675675675675674</v>
      </c>
      <c r="M17" t="s">
        <v>22</v>
      </c>
    </row>
    <row r="18" spans="11:13" x14ac:dyDescent="0.25">
      <c r="K18" s="3" t="s">
        <v>23</v>
      </c>
      <c r="L18" s="3">
        <f>B8</f>
        <v>9.9999999999999995E-7</v>
      </c>
      <c r="M18" s="2" t="s">
        <v>28</v>
      </c>
    </row>
    <row r="19" spans="11:13" x14ac:dyDescent="0.25">
      <c r="K19" s="3"/>
      <c r="L19" s="3"/>
      <c r="M19" s="2"/>
    </row>
    <row r="22" spans="11:13" x14ac:dyDescent="0.25">
      <c r="K22" t="str">
        <f>A12</f>
        <v>n (unitles)</v>
      </c>
      <c r="L22">
        <f>B12</f>
        <v>1.4836320249140442</v>
      </c>
      <c r="M22" t="s">
        <v>30</v>
      </c>
    </row>
    <row r="23" spans="11:13" x14ac:dyDescent="0.25">
      <c r="K23" t="str">
        <f>A13</f>
        <v>W2 (unitless)</v>
      </c>
      <c r="L23">
        <f>B13</f>
        <v>1492.6783061278143</v>
      </c>
      <c r="M23" t="s">
        <v>30</v>
      </c>
    </row>
  </sheetData>
  <mergeCells count="3">
    <mergeCell ref="M18:M19"/>
    <mergeCell ref="K18:K19"/>
    <mergeCell ref="L18:L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 Part A</vt:lpstr>
      <vt:lpstr>1 Part CD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dc:creator>
  <cp:lastModifiedBy>Andrew S</cp:lastModifiedBy>
  <dcterms:created xsi:type="dcterms:W3CDTF">2020-05-08T18:02:08Z</dcterms:created>
  <dcterms:modified xsi:type="dcterms:W3CDTF">2020-05-11T15:21:40Z</dcterms:modified>
</cp:coreProperties>
</file>