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/>
  <c r="I33" i="1"/>
  <c r="I34" i="1"/>
  <c r="I32" i="1"/>
  <c r="J32" i="1" s="1"/>
  <c r="H32" i="1"/>
  <c r="H33" i="1"/>
  <c r="H34" i="1"/>
  <c r="H31" i="1"/>
  <c r="J31" i="1"/>
  <c r="K33" i="1"/>
  <c r="K34" i="1"/>
  <c r="K32" i="1"/>
  <c r="K31" i="1"/>
  <c r="L33" i="1" s="1"/>
  <c r="F32" i="1"/>
  <c r="F33" i="1"/>
  <c r="F34" i="1"/>
  <c r="F31" i="1"/>
  <c r="L34" i="1" l="1"/>
  <c r="L31" i="1"/>
  <c r="L32" i="1"/>
  <c r="D20" i="1"/>
  <c r="D12" i="1"/>
  <c r="E12" i="1" s="1"/>
  <c r="D13" i="1"/>
  <c r="E13" i="1" s="1"/>
  <c r="F13" i="1" l="1"/>
  <c r="I13" i="1"/>
  <c r="F12" i="1"/>
  <c r="F14" i="1" s="1"/>
  <c r="F15" i="1" s="1"/>
  <c r="F16" i="1" s="1"/>
  <c r="I12" i="1"/>
  <c r="I14" i="1" l="1"/>
  <c r="D18" i="1"/>
  <c r="D21" i="1"/>
  <c r="D19" i="1" l="1"/>
  <c r="D22" i="1" s="1"/>
  <c r="D23" i="1" s="1"/>
  <c r="D24" i="1" s="1"/>
  <c r="D25" i="1" l="1"/>
  <c r="D26" i="1" s="1"/>
  <c r="D31" i="1" l="1"/>
  <c r="D28" i="1"/>
  <c r="D34" i="1" s="1"/>
  <c r="D33" i="1"/>
  <c r="J34" i="1" l="1"/>
  <c r="J33" i="1"/>
  <c r="I31" i="1"/>
  <c r="D36" i="1"/>
  <c r="D35" i="1"/>
  <c r="D29" i="1"/>
</calcChain>
</file>

<file path=xl/sharedStrings.xml><?xml version="1.0" encoding="utf-8"?>
<sst xmlns="http://schemas.openxmlformats.org/spreadsheetml/2006/main" count="54" uniqueCount="54">
  <si>
    <t>Значение</t>
  </si>
  <si>
    <t>Исходные данные</t>
  </si>
  <si>
    <t>Показатель</t>
  </si>
  <si>
    <t>Часов в неделе</t>
  </si>
  <si>
    <t>Тарифная ставка 1 разряда, руб</t>
  </si>
  <si>
    <t>K, коэффициент премирования</t>
  </si>
  <si>
    <t>Ф1, Фонд и-п, ч</t>
  </si>
  <si>
    <t>Ф2, Фонд р п, ч</t>
  </si>
  <si>
    <t>Kt1 Коэффициент и-п</t>
  </si>
  <si>
    <t>Kt2 Коэффициент р п</t>
  </si>
  <si>
    <t>Месячная тарифная ставка, руб.</t>
  </si>
  <si>
    <t>Часовая тарифная ставка, руб.</t>
  </si>
  <si>
    <t>Итого</t>
  </si>
  <si>
    <t>Премия</t>
  </si>
  <si>
    <t>Основная заработная плата</t>
  </si>
  <si>
    <t>Заработная плата, руб.</t>
  </si>
  <si>
    <t>Нд, Норматив доп з.п.</t>
  </si>
  <si>
    <t>Нсоц, Норматив соц</t>
  </si>
  <si>
    <t>Нпз, Норматив прочих затрат</t>
  </si>
  <si>
    <t>Зд</t>
  </si>
  <si>
    <t>Зсоц</t>
  </si>
  <si>
    <t>Зпз</t>
  </si>
  <si>
    <t>Зм</t>
  </si>
  <si>
    <t>Цм, цена одного машино-часа, руб</t>
  </si>
  <si>
    <t>Ср</t>
  </si>
  <si>
    <t xml:space="preserve">Нрсз, Нормат расх сопров и адапт ПО </t>
  </si>
  <si>
    <t>Зса</t>
  </si>
  <si>
    <t>Сп</t>
  </si>
  <si>
    <t>Ур, Уровень рентабельности</t>
  </si>
  <si>
    <t>Зр</t>
  </si>
  <si>
    <t>на реализацию</t>
  </si>
  <si>
    <t>%НДС</t>
  </si>
  <si>
    <t>Цена копии</t>
  </si>
  <si>
    <t>Пед</t>
  </si>
  <si>
    <t>N, количество копий</t>
  </si>
  <si>
    <t>П1</t>
  </si>
  <si>
    <t>П2</t>
  </si>
  <si>
    <t>П3</t>
  </si>
  <si>
    <t>П4</t>
  </si>
  <si>
    <t>ЧДД</t>
  </si>
  <si>
    <t>Прибыль за год</t>
  </si>
  <si>
    <t>ЗП с премией</t>
  </si>
  <si>
    <t>Пр</t>
  </si>
  <si>
    <t>Альфа</t>
  </si>
  <si>
    <t xml:space="preserve">Норма дисконта </t>
  </si>
  <si>
    <t>Цп Прогноз отп цена</t>
  </si>
  <si>
    <t>ЧДД садов</t>
  </si>
  <si>
    <t>П садов</t>
  </si>
  <si>
    <t>З садов</t>
  </si>
  <si>
    <t>Альфа Садов</t>
  </si>
  <si>
    <t>ЧДД нарастающим итогом</t>
  </si>
  <si>
    <t>Диск результат</t>
  </si>
  <si>
    <t>Рентабельность Р</t>
  </si>
  <si>
    <t>ЧПср среднегодовая чп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</si>
</sst>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2095500</xdr:colOff>
          <xdr:row>3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topLeftCell="F19" zoomScale="85" zoomScaleNormal="85" workbookViewId="0">
      <selection activeCell="G38" sqref="G38"/>
    </sheetView>
  </sheetViews>
  <sheetFormatPr defaultRowHeight="15" x14ac:dyDescent="0.25"/>
  <cols>
    <col min="1" max="1" width="35.28515625" customWidth="1"/>
    <col min="3" max="3" width="28" customWidth="1"/>
    <col min="4" max="4" width="31.5703125" customWidth="1"/>
    <col min="5" max="5" width="29.28515625" customWidth="1"/>
    <col min="6" max="8" width="22" customWidth="1"/>
    <col min="9" max="10" width="14.85546875" customWidth="1"/>
    <col min="11" max="11" width="12.28515625" customWidth="1"/>
  </cols>
  <sheetData>
    <row r="1" spans="1:9" x14ac:dyDescent="0.25">
      <c r="A1" s="2" t="s">
        <v>1</v>
      </c>
      <c r="B1" s="2"/>
    </row>
    <row r="2" spans="1:9" x14ac:dyDescent="0.25">
      <c r="A2" t="s">
        <v>2</v>
      </c>
      <c r="B2" t="s">
        <v>0</v>
      </c>
    </row>
    <row r="3" spans="1:9" x14ac:dyDescent="0.25">
      <c r="A3" t="s">
        <v>3</v>
      </c>
      <c r="B3">
        <v>168</v>
      </c>
    </row>
    <row r="4" spans="1:9" x14ac:dyDescent="0.25">
      <c r="A4" t="s">
        <v>6</v>
      </c>
      <c r="B4">
        <v>400</v>
      </c>
    </row>
    <row r="5" spans="1:9" x14ac:dyDescent="0.25">
      <c r="A5" t="s">
        <v>7</v>
      </c>
      <c r="B5">
        <v>50</v>
      </c>
    </row>
    <row r="6" spans="1:9" x14ac:dyDescent="0.25">
      <c r="A6" t="s">
        <v>4</v>
      </c>
      <c r="B6">
        <v>120</v>
      </c>
    </row>
    <row r="7" spans="1:9" x14ac:dyDescent="0.25">
      <c r="A7" t="s">
        <v>5</v>
      </c>
      <c r="B7">
        <v>1.3</v>
      </c>
    </row>
    <row r="8" spans="1:9" x14ac:dyDescent="0.25">
      <c r="A8" t="s">
        <v>8</v>
      </c>
      <c r="B8">
        <v>2.48</v>
      </c>
    </row>
    <row r="9" spans="1:9" x14ac:dyDescent="0.25">
      <c r="A9" t="s">
        <v>9</v>
      </c>
      <c r="B9">
        <v>3.25</v>
      </c>
    </row>
    <row r="10" spans="1:9" x14ac:dyDescent="0.25">
      <c r="A10" t="s">
        <v>16</v>
      </c>
      <c r="B10">
        <v>0.15</v>
      </c>
    </row>
    <row r="11" spans="1:9" x14ac:dyDescent="0.25">
      <c r="A11" t="s">
        <v>17</v>
      </c>
      <c r="B11">
        <v>0.34599999999999997</v>
      </c>
      <c r="D11" t="s">
        <v>10</v>
      </c>
      <c r="E11" t="s">
        <v>11</v>
      </c>
      <c r="F11" t="s">
        <v>15</v>
      </c>
      <c r="I11" t="s">
        <v>41</v>
      </c>
    </row>
    <row r="12" spans="1:9" x14ac:dyDescent="0.25">
      <c r="A12" t="s">
        <v>18</v>
      </c>
      <c r="B12">
        <v>0.16</v>
      </c>
      <c r="C12">
        <v>1</v>
      </c>
      <c r="D12">
        <f>$B$6*B8</f>
        <v>297.60000000000002</v>
      </c>
      <c r="E12">
        <f>D12/$B$3</f>
        <v>1.7714285714285716</v>
      </c>
      <c r="F12">
        <f>E12*B4</f>
        <v>708.57142857142867</v>
      </c>
      <c r="I12">
        <f>E12*B4*$B$7</f>
        <v>921.14285714285734</v>
      </c>
    </row>
    <row r="13" spans="1:9" x14ac:dyDescent="0.25">
      <c r="A13" t="s">
        <v>23</v>
      </c>
      <c r="B13">
        <v>1.2</v>
      </c>
      <c r="C13">
        <v>2</v>
      </c>
      <c r="D13">
        <f>$B$6*B9</f>
        <v>390</v>
      </c>
      <c r="E13">
        <f>D13/$B$3</f>
        <v>2.3214285714285716</v>
      </c>
      <c r="F13">
        <f>E13*B5</f>
        <v>116.07142857142858</v>
      </c>
      <c r="I13">
        <f>E13*B5*$B$7</f>
        <v>150.89285714285717</v>
      </c>
    </row>
    <row r="14" spans="1:9" x14ac:dyDescent="0.25">
      <c r="A14" t="s">
        <v>25</v>
      </c>
      <c r="B14">
        <v>0.05</v>
      </c>
      <c r="C14" t="s">
        <v>12</v>
      </c>
      <c r="F14">
        <f>SUM(F12:F13)</f>
        <v>824.64285714285722</v>
      </c>
      <c r="I14">
        <f>I12+I13</f>
        <v>1072.0357142857144</v>
      </c>
    </row>
    <row r="15" spans="1:9" x14ac:dyDescent="0.25">
      <c r="A15" t="s">
        <v>28</v>
      </c>
      <c r="B15">
        <v>0.2</v>
      </c>
      <c r="C15" t="s">
        <v>13</v>
      </c>
      <c r="F15">
        <f>F14*($B$7-1)</f>
        <v>247.3928571428572</v>
      </c>
    </row>
    <row r="16" spans="1:9" ht="47.25" customHeight="1" x14ac:dyDescent="0.25">
      <c r="A16" t="s">
        <v>30</v>
      </c>
      <c r="B16">
        <v>0.1</v>
      </c>
      <c r="C16" s="1" t="s">
        <v>14</v>
      </c>
      <c r="F16">
        <f>SUM(F14:F15)</f>
        <v>1072.0357142857144</v>
      </c>
    </row>
    <row r="17" spans="1:14" x14ac:dyDescent="0.25">
      <c r="A17" t="s">
        <v>32</v>
      </c>
      <c r="B17">
        <v>50</v>
      </c>
    </row>
    <row r="18" spans="1:14" x14ac:dyDescent="0.25">
      <c r="A18" t="s">
        <v>31</v>
      </c>
      <c r="B18">
        <v>0.2</v>
      </c>
      <c r="C18" t="s">
        <v>19</v>
      </c>
      <c r="D18">
        <f>$F$16*B10</f>
        <v>160.80535714285716</v>
      </c>
    </row>
    <row r="19" spans="1:14" x14ac:dyDescent="0.25">
      <c r="A19" t="s">
        <v>34</v>
      </c>
      <c r="B19">
        <v>150</v>
      </c>
      <c r="C19" t="s">
        <v>20</v>
      </c>
      <c r="D19">
        <f>($F$16+D18)*$B$11</f>
        <v>426.56301071428578</v>
      </c>
    </row>
    <row r="20" spans="1:14" x14ac:dyDescent="0.25">
      <c r="A20" t="s">
        <v>44</v>
      </c>
      <c r="B20">
        <v>0.14000000000000001</v>
      </c>
      <c r="C20" t="s">
        <v>22</v>
      </c>
      <c r="D20">
        <f>($B$4+$B$5)*$B$13</f>
        <v>540</v>
      </c>
    </row>
    <row r="21" spans="1:14" x14ac:dyDescent="0.25">
      <c r="C21" t="s">
        <v>21</v>
      </c>
      <c r="D21">
        <f>$F$16*$B$12</f>
        <v>171.52571428571432</v>
      </c>
    </row>
    <row r="22" spans="1:14" x14ac:dyDescent="0.25">
      <c r="C22" t="s">
        <v>24</v>
      </c>
      <c r="D22">
        <f>SUM($D$18:$D$21)+$F$16</f>
        <v>2370.9297964285715</v>
      </c>
    </row>
    <row r="23" spans="1:14" ht="15.75" thickBot="1" x14ac:dyDescent="0.3">
      <c r="C23" t="s">
        <v>26</v>
      </c>
      <c r="D23">
        <f>D22*$B$14</f>
        <v>118.54648982142858</v>
      </c>
    </row>
    <row r="24" spans="1:14" ht="15.75" thickBot="1" x14ac:dyDescent="0.3">
      <c r="C24" s="3" t="s">
        <v>27</v>
      </c>
      <c r="D24" s="4">
        <f>D22+D23</f>
        <v>2489.4762862500002</v>
      </c>
    </row>
    <row r="25" spans="1:14" ht="15.75" thickBot="1" x14ac:dyDescent="0.3">
      <c r="C25" t="s">
        <v>42</v>
      </c>
      <c r="D25">
        <f>D24*$B$15</f>
        <v>497.89525725000004</v>
      </c>
    </row>
    <row r="26" spans="1:14" ht="15.75" thickBot="1" x14ac:dyDescent="0.3">
      <c r="C26" s="3" t="s">
        <v>45</v>
      </c>
      <c r="D26" s="4">
        <f>$D$24+$D$25</f>
        <v>2987.3715435000004</v>
      </c>
    </row>
    <row r="28" spans="1:14" x14ac:dyDescent="0.25">
      <c r="C28" t="s">
        <v>33</v>
      </c>
      <c r="D28">
        <f>$B$17-D26/B19</f>
        <v>30.084189709999997</v>
      </c>
    </row>
    <row r="29" spans="1:14" x14ac:dyDescent="0.25">
      <c r="D29">
        <f>D28*90</f>
        <v>2707.5770738999995</v>
      </c>
    </row>
    <row r="30" spans="1:14" x14ac:dyDescent="0.25">
      <c r="F30" t="s">
        <v>43</v>
      </c>
      <c r="G30" t="s">
        <v>49</v>
      </c>
      <c r="H30" t="s">
        <v>51</v>
      </c>
      <c r="I30" t="s">
        <v>39</v>
      </c>
      <c r="J30" t="s">
        <v>50</v>
      </c>
      <c r="K30" t="s">
        <v>46</v>
      </c>
      <c r="M30" t="s">
        <v>47</v>
      </c>
      <c r="N30" t="s">
        <v>48</v>
      </c>
    </row>
    <row r="31" spans="1:14" ht="18.75" x14ac:dyDescent="0.3">
      <c r="C31" t="s">
        <v>29</v>
      </c>
      <c r="D31">
        <f>D26*(1+$B$16)</f>
        <v>3286.1086978500007</v>
      </c>
      <c r="E31">
        <v>0</v>
      </c>
      <c r="F31">
        <f>(1+$B$20)^(-E31)</f>
        <v>1</v>
      </c>
      <c r="G31">
        <v>1</v>
      </c>
      <c r="H31">
        <f>D33*F31</f>
        <v>902.52569129999995</v>
      </c>
      <c r="I31">
        <f>(D33-D26)*F31</f>
        <v>-2084.8458522000005</v>
      </c>
      <c r="J31">
        <f>I31</f>
        <v>-2084.8458522000005</v>
      </c>
      <c r="K31">
        <f>(M31-N31)*G31</f>
        <v>-3548.49</v>
      </c>
      <c r="L31">
        <f>SUM(K31:K31)</f>
        <v>-3548.49</v>
      </c>
      <c r="M31" s="5">
        <v>1040</v>
      </c>
      <c r="N31" s="5">
        <v>4588.49</v>
      </c>
    </row>
    <row r="32" spans="1:14" ht="18.75" x14ac:dyDescent="0.3">
      <c r="D32" t="s">
        <v>40</v>
      </c>
      <c r="E32">
        <v>1</v>
      </c>
      <c r="F32">
        <f t="shared" ref="F32:F34" si="0">(1+$B$20)^(-E32)</f>
        <v>0.8771929824561403</v>
      </c>
      <c r="G32">
        <v>0.87</v>
      </c>
      <c r="H32">
        <f t="shared" ref="H32:H34" si="1">D34*F32</f>
        <v>1319.482004824561</v>
      </c>
      <c r="I32">
        <f>(D34)*F32</f>
        <v>1319.482004824561</v>
      </c>
      <c r="J32">
        <f>SUM(I31:I32)</f>
        <v>-765.36384737543949</v>
      </c>
      <c r="K32">
        <f>(M32)*G32</f>
        <v>1809.6</v>
      </c>
      <c r="L32">
        <f>SUM(K31:K32)</f>
        <v>-1738.8899999999999</v>
      </c>
      <c r="M32" s="5">
        <v>2080</v>
      </c>
      <c r="N32" s="5"/>
    </row>
    <row r="33" spans="1:14" ht="18.75" x14ac:dyDescent="0.3">
      <c r="A33">
        <v>2017</v>
      </c>
      <c r="B33" t="s">
        <v>35</v>
      </c>
      <c r="C33">
        <v>30</v>
      </c>
      <c r="D33">
        <f>$D$28*C33</f>
        <v>902.52569129999995</v>
      </c>
      <c r="E33">
        <v>2</v>
      </c>
      <c r="F33">
        <f t="shared" si="0"/>
        <v>0.76946752847029842</v>
      </c>
      <c r="G33">
        <v>0.76</v>
      </c>
      <c r="H33">
        <f t="shared" si="1"/>
        <v>925.95228408741127</v>
      </c>
      <c r="I33">
        <f t="shared" ref="I33:I34" si="2">(D35)*F33</f>
        <v>925.95228408741127</v>
      </c>
      <c r="J33">
        <f>SUM(I31:I33)</f>
        <v>160.58843671197178</v>
      </c>
      <c r="K33">
        <f>(M33)*G33</f>
        <v>2371.1999999999998</v>
      </c>
      <c r="L33">
        <f>SUM(K31:K33)</f>
        <v>632.30999999999995</v>
      </c>
      <c r="M33" s="5">
        <v>3120</v>
      </c>
      <c r="N33" s="5"/>
    </row>
    <row r="34" spans="1:14" ht="18.75" x14ac:dyDescent="0.3">
      <c r="A34">
        <v>2018</v>
      </c>
      <c r="B34" t="s">
        <v>36</v>
      </c>
      <c r="C34">
        <v>50</v>
      </c>
      <c r="D34">
        <f t="shared" ref="D34:D36" si="3">$D$28*C34</f>
        <v>1504.2094854999998</v>
      </c>
      <c r="E34">
        <v>3</v>
      </c>
      <c r="F34">
        <f t="shared" si="0"/>
        <v>0.67497151620201612</v>
      </c>
      <c r="G34">
        <v>0.67</v>
      </c>
      <c r="H34">
        <f t="shared" si="1"/>
        <v>609.17913426803375</v>
      </c>
      <c r="I34">
        <f t="shared" si="2"/>
        <v>609.17913426803375</v>
      </c>
      <c r="J34">
        <f>SUM(I31:I34)</f>
        <v>769.76757098000553</v>
      </c>
      <c r="K34">
        <f>(M34)*G34</f>
        <v>2787.2000000000003</v>
      </c>
      <c r="L34">
        <f>SUM(K31:K34)</f>
        <v>3419.51</v>
      </c>
      <c r="M34" s="5">
        <v>4160</v>
      </c>
      <c r="N34" s="5"/>
    </row>
    <row r="35" spans="1:14" x14ac:dyDescent="0.25">
      <c r="A35">
        <v>2019</v>
      </c>
      <c r="B35" t="s">
        <v>37</v>
      </c>
      <c r="C35">
        <v>40</v>
      </c>
      <c r="D35">
        <f t="shared" si="3"/>
        <v>1203.3675883999999</v>
      </c>
    </row>
    <row r="36" spans="1:14" x14ac:dyDescent="0.25">
      <c r="A36">
        <v>2020</v>
      </c>
      <c r="B36" t="s">
        <v>38</v>
      </c>
      <c r="C36">
        <v>30</v>
      </c>
      <c r="D36">
        <f t="shared" si="3"/>
        <v>902.52569129999995</v>
      </c>
    </row>
    <row r="37" spans="1:14" x14ac:dyDescent="0.25">
      <c r="F37" t="s">
        <v>53</v>
      </c>
      <c r="G37">
        <f>SUM(D33:D36)/4</f>
        <v>1128.1571141249999</v>
      </c>
    </row>
    <row r="38" spans="1:14" x14ac:dyDescent="0.25">
      <c r="F38" t="s">
        <v>52</v>
      </c>
      <c r="G38">
        <f>G37/$D$26*100</f>
        <v>37.764205010912455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2095500</xdr:colOff>
                <xdr:row>3</xdr:row>
                <xdr:rowOff>171450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2017-05-17T11:09:10Z</dcterms:modified>
</cp:coreProperties>
</file>