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<sst xmlns="http://schemas.openxmlformats.org/spreadsheetml/2006/main" count="261" uniqueCount="116">
  <si>
    <t xml:space="preserve">Stage 1a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</si>
  <si>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</si>
  <si>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</si>
  <si>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</si>
  <si>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</si>
  <si>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</si>
  <si>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</si>
  <si>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1 L / C</t>
  </si>
  <si>
    <t xml:space="preserve">1 L / P</t>
  </si>
  <si>
    <t xml:space="preserve">1 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</si>
  <si>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</si>
  <si>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</si>
  <si>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</si>
  <si>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</si>
  <si>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</si>
  <si>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</si>
  <si>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</si>
  <si>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</si>
  <si>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</si>
  <si>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</si>
  <si>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</si>
  <si>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</si>
  <si>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</si>
  <si>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</t>
  </si>
  <si>
    <t xml:space="preserve">Investigate classification methods: MLP, CNN, RFC, KNN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</si>
  <si>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</si>
  <si>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</si>
  <si>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</si>
  <si>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</si>
  <si>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</si>
  <si>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</t>
  </si>
  <si>
    <t xml:space="preserve">2a</t>
  </si>
  <si>
    <t xml:space="preserve">Investigate approaches to combine a user data set with solar data to reveal postcode.</t>
  </si>
  <si>
    <t xml:space="preserve">2b</t>
  </si>
  <si>
    <t xml:space="preserve">Explore whether solar data has an impact on stage 1 analysis.</t>
  </si>
  <si>
    <t xml:space="preserve">Stage 3</t>
  </si>
  <si>
    <t xml:space="preserve">Obfuscation methods</t>
  </si>
  <si>
    <t xml:space="preserve">Stage 3 investigates methods to increase privacy and reduce the effectiveness of stage 1 and 2</t>
  </si>
  <si>
    <t xml:space="preserve">3a</t>
  </si>
  <si>
    <t xml:space="preserve">Multiple PKs efficiency</t>
  </si>
  <si>
    <t xml:space="preserve">1 to n at reasonable intervals</t>
  </si>
  <si>
    <t xml:space="preserve">3b</t>
  </si>
  <si>
    <t xml:space="preserve">Multiple customers per ledger efficiency</t>
  </si>
  <si>
    <t xml:space="preserve">3c</t>
  </si>
  <si>
    <t xml:space="preserve">Timestamp obfuscation: random transaction delays and combinations</t>
  </si>
  <si>
    <t xml:space="preserve">3d</t>
  </si>
  <si>
    <t xml:space="preserve">Combinations of a-c</t>
  </si>
  <si>
    <t xml:space="preserve">Best case is each customer on an individual ledger with one PK</t>
  </si>
  <si>
    <t xml:space="preserve">Worst case is all customers on one ledger with new PK per transaction</t>
  </si>
  <si>
    <t xml:space="preserve">RDF</t>
  </si>
  <si>
    <t xml:space="preserve">Investigate classification methods: MLP, RF, KNN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</si>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</sst>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AFD095"/>
        <bgColor rgb="FF99CCFF"/>
      </patternFill>
    </fill>
    <fill>
      <patternFill patternType="solid">
        <fgColor rgb="FF81D41A"/>
        <bgColor rgb="FF70AD47"/>
      </patternFill>
    </fill>
    <fill>
      <patternFill patternType="solid">
        <fgColor rgb="FF70AD47"/>
        <bgColor rgb="FF81D41A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7:M8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22" t="n">
        <f aca="false">(0.6988+0.7072+0.6913)/3</f>
        <v>0.6991</v>
      </c>
      <c r="G5" s="23" t="n">
        <f aca="false">(0.71+0.7115+0.7099)/3</f>
        <v>0.710466666666667</v>
      </c>
      <c r="H5" s="13" t="n">
        <f aca="false">(0.0238+0.0237+0.0242)/3</f>
        <v>0.0239</v>
      </c>
      <c r="I5" s="24" t="n">
        <f aca="false">(0.7842+0.7941)/2</f>
        <v>0.78915</v>
      </c>
      <c r="J5" s="23" t="n">
        <f aca="false">(0.7934+0.7945)/2</f>
        <v>0.79395</v>
      </c>
      <c r="K5" s="13" t="n">
        <f aca="false">(0.0234+0.0232)/2</f>
        <v>0.0233</v>
      </c>
      <c r="L5" s="24" t="n">
        <f aca="false">(0.8406+0.8389)/2</f>
        <v>0.83975</v>
      </c>
      <c r="M5" s="23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5" t="s">
        <v>12</v>
      </c>
      <c r="C6" s="16" t="n">
        <f aca="false">(0.429+0.4242+0.4323)/3</f>
        <v>0.4285</v>
      </c>
      <c r="D6" s="2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2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2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2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22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3" t="n">
        <f aca="false">(0.6344+0.6545+0.6652)/3</f>
        <v>0.651366666666667</v>
      </c>
      <c r="H7" s="27" t="n">
        <f aca="false">(0.0264+0.0266+0.0259)/3</f>
        <v>0.0263</v>
      </c>
      <c r="I7" s="21" t="n">
        <f aca="false">(0.5581+0.5766)/2</f>
        <v>0.56735</v>
      </c>
      <c r="J7" s="23" t="n">
        <f aca="false">(0.5855+0.5623)/2</f>
        <v>0.5739</v>
      </c>
      <c r="K7" s="27" t="n">
        <f aca="false">(0.0254+0.0255)/2</f>
        <v>0.02545</v>
      </c>
      <c r="L7" s="21" t="n">
        <f aca="false">(0.5497+0.5899)/2</f>
        <v>0.5698</v>
      </c>
      <c r="M7" s="23" t="n">
        <f aca="false">(0.5392+0.5216)/2</f>
        <v>0.5304</v>
      </c>
      <c r="N7" s="27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8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3" t="n">
        <f aca="false">(0.3498+0.3479+0.3496)/3</f>
        <v>0.3491</v>
      </c>
      <c r="E9" s="27" t="n">
        <f aca="false">(0.0097+0.0095+0.0093)/3</f>
        <v>0.0095</v>
      </c>
      <c r="F9" s="21" t="n">
        <f aca="false">(0.4789+0.4773+0.4784)/3</f>
        <v>0.4782</v>
      </c>
      <c r="G9" s="23" t="n">
        <f aca="false">(0.4779+0.4776+0.4793)/3</f>
        <v>0.478266666666667</v>
      </c>
      <c r="H9" s="27" t="n">
        <f aca="false">(0.0187+0.0184+0.0187)/3</f>
        <v>0.0186</v>
      </c>
      <c r="I9" s="21" t="n">
        <f aca="false">(0.5451+0.5452)/2</f>
        <v>0.54515</v>
      </c>
      <c r="J9" s="23" t="n">
        <f aca="false">(0.5451+0.5456)/2</f>
        <v>0.54535</v>
      </c>
      <c r="K9" s="27" t="n">
        <f aca="false">(0.0221+0.0222)/2</f>
        <v>0.02215</v>
      </c>
      <c r="L9" s="21" t="n">
        <f aca="false">(0.5042+0.508)/2</f>
        <v>0.5061</v>
      </c>
      <c r="M9" s="23" t="n">
        <f aca="false">(0.5145+0.5146)/2</f>
        <v>0.51455</v>
      </c>
      <c r="N9" s="27" t="n">
        <f aca="false">(0.0239+0.0239)/2</f>
        <v>0.0239</v>
      </c>
      <c r="O9" s="0" t="s">
        <v>16</v>
      </c>
    </row>
    <row r="10" customFormat="false" ht="13.8" hidden="false" customHeight="false" outlineLevel="0" collapsed="false">
      <c r="A10" s="19"/>
      <c r="B10" s="25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  <c r="O10" s="0" t="s">
        <v>16</v>
      </c>
    </row>
    <row r="11" customFormat="false" ht="14.5" hidden="false" customHeight="false" outlineLevel="0" collapsed="false">
      <c r="I11" s="29"/>
      <c r="J11" s="29"/>
      <c r="K11" s="29"/>
      <c r="L11" s="30"/>
      <c r="M11" s="30"/>
    </row>
    <row r="12" customFormat="false" ht="14.5" hidden="false" customHeight="false" outlineLevel="0" collapsed="false">
      <c r="A12" s="31" t="s">
        <v>17</v>
      </c>
      <c r="L12" s="32"/>
      <c r="M12" s="33"/>
    </row>
    <row r="13" customFormat="false" ht="14.5" hidden="false" customHeight="false" outlineLevel="0" collapsed="false">
      <c r="A13" s="34" t="s">
        <v>18</v>
      </c>
      <c r="B13" s="35" t="s">
        <v>19</v>
      </c>
      <c r="O13" s="36" t="s">
        <v>20</v>
      </c>
    </row>
    <row r="15" customFormat="false" ht="14.5" hidden="false" customHeight="false" outlineLevel="0" collapsed="false">
      <c r="A15" s="34" t="s">
        <v>21</v>
      </c>
      <c r="B15" s="35" t="s">
        <v>22</v>
      </c>
      <c r="F15" s="32"/>
      <c r="G15" s="32"/>
      <c r="K15" s="35"/>
      <c r="L15" s="35"/>
      <c r="M15" s="35"/>
    </row>
    <row r="16" customFormat="false" ht="14.5" hidden="false" customHeight="false" outlineLevel="0" collapsed="false">
      <c r="A16" s="34"/>
      <c r="B16" s="33" t="s">
        <v>23</v>
      </c>
      <c r="F16" s="35"/>
      <c r="G16" s="35"/>
      <c r="K16" s="35"/>
      <c r="L16" s="35"/>
      <c r="M16" s="35"/>
      <c r="O16" s="36" t="s">
        <v>20</v>
      </c>
    </row>
    <row r="17" customFormat="false" ht="14.5" hidden="false" customHeight="false" outlineLevel="0" collapsed="false">
      <c r="A17" s="34"/>
      <c r="B17" s="0" t="s">
        <v>24</v>
      </c>
      <c r="O17" s="36" t="s">
        <v>20</v>
      </c>
      <c r="Q17" s="0" t="s">
        <v>25</v>
      </c>
    </row>
    <row r="18" customFormat="false" ht="14.5" hidden="false" customHeight="false" outlineLevel="0" collapsed="false">
      <c r="A18" s="34"/>
      <c r="B18" s="0" t="s">
        <v>26</v>
      </c>
      <c r="O18" s="36" t="s">
        <v>20</v>
      </c>
      <c r="Q18" s="0" t="s">
        <v>27</v>
      </c>
    </row>
    <row r="20" customFormat="false" ht="14.5" hidden="false" customHeight="false" outlineLevel="0" collapsed="false">
      <c r="A20" s="34" t="s">
        <v>28</v>
      </c>
      <c r="B20" s="35" t="s">
        <v>29</v>
      </c>
    </row>
    <row r="21" customFormat="false" ht="14.5" hidden="false" customHeight="false" outlineLevel="0" collapsed="false">
      <c r="A21" s="34"/>
      <c r="B21" s="33" t="s">
        <v>30</v>
      </c>
    </row>
    <row r="22" customFormat="false" ht="14.5" hidden="false" customHeight="false" outlineLevel="0" collapsed="false">
      <c r="A22" s="34" t="s">
        <v>31</v>
      </c>
      <c r="B22" s="0" t="s">
        <v>32</v>
      </c>
    </row>
    <row r="23" customFormat="false" ht="14.5" hidden="false" customHeight="false" outlineLevel="0" collapsed="false">
      <c r="A23" s="34" t="s">
        <v>33</v>
      </c>
      <c r="B23" s="0" t="s">
        <v>34</v>
      </c>
    </row>
    <row r="24" customFormat="false" ht="14.5" hidden="false" customHeight="false" outlineLevel="0" collapsed="false">
      <c r="A24" s="34"/>
    </row>
    <row r="25" customFormat="false" ht="14.5" hidden="false" customHeight="false" outlineLevel="0" collapsed="false">
      <c r="A25" s="34" t="s">
        <v>35</v>
      </c>
      <c r="B25" s="35" t="s">
        <v>36</v>
      </c>
    </row>
    <row r="26" customFormat="false" ht="14.5" hidden="false" customHeight="false" outlineLevel="0" collapsed="false">
      <c r="A26" s="34"/>
      <c r="B26" s="33" t="s">
        <v>37</v>
      </c>
    </row>
    <row r="27" customFormat="false" ht="14.5" hidden="false" customHeight="false" outlineLevel="0" collapsed="false">
      <c r="A27" s="34" t="s">
        <v>38</v>
      </c>
      <c r="B27" s="32" t="s">
        <v>39</v>
      </c>
      <c r="H27" s="0" t="s">
        <v>40</v>
      </c>
    </row>
    <row r="28" customFormat="false" ht="14.5" hidden="false" customHeight="false" outlineLevel="0" collapsed="false">
      <c r="A28" s="34" t="s">
        <v>41</v>
      </c>
      <c r="B28" s="32" t="s">
        <v>42</v>
      </c>
      <c r="H28" s="0" t="s">
        <v>40</v>
      </c>
    </row>
    <row r="29" customFormat="false" ht="14.5" hidden="false" customHeight="false" outlineLevel="0" collapsed="false">
      <c r="A29" s="34" t="s">
        <v>43</v>
      </c>
      <c r="B29" s="32" t="s">
        <v>44</v>
      </c>
    </row>
    <row r="30" customFormat="false" ht="14.5" hidden="false" customHeight="false" outlineLevel="0" collapsed="false">
      <c r="A30" s="34" t="s">
        <v>45</v>
      </c>
      <c r="B30" s="32" t="s">
        <v>46</v>
      </c>
    </row>
  </sheetData>
  <mergeCells count="9">
    <mergeCell ref="A1:B1"/>
    <mergeCell ref="C1:E1"/>
    <mergeCell ref="F1:H1"/>
    <mergeCell ref="I1:K1"/>
    <mergeCell ref="L1:N1"/>
    <mergeCell ref="A3:A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M7:M8 C3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47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37" t="s">
        <v>10</v>
      </c>
      <c r="B3" s="10" t="s">
        <v>11</v>
      </c>
      <c r="C3" s="38" t="n">
        <f aca="false">(0.3606+0.3668+0.3843)/3</f>
        <v>0.370566666666667</v>
      </c>
      <c r="D3" s="39" t="n">
        <f aca="false">(0.3432+0.331+0.3215)/3</f>
        <v>0.3319</v>
      </c>
      <c r="E3" s="39" t="n">
        <f aca="false">(0.0224+0.0224+0.0237)/3</f>
        <v>0.0228333333333333</v>
      </c>
      <c r="F3" s="38" t="n">
        <f aca="false">(0.5904+0.6326+0.6324)/3</f>
        <v>0.618466666666667</v>
      </c>
      <c r="G3" s="39" t="n">
        <f aca="false">(0.3918+0.4014+0.3884)/3</f>
        <v>0.393866666666667</v>
      </c>
      <c r="H3" s="40" t="n">
        <f aca="false">(0.0194+0.0194+0.0191)/3</f>
        <v>0.0193</v>
      </c>
      <c r="I3" s="38" t="n">
        <f aca="false">(0.7877+0.7969)/2</f>
        <v>0.7923</v>
      </c>
      <c r="J3" s="39"/>
      <c r="K3" s="40" t="n">
        <f aca="false">(0.0181+0.0175)/2</f>
        <v>0.0178</v>
      </c>
      <c r="L3" s="41" t="n">
        <v>0.7585</v>
      </c>
      <c r="M3" s="39"/>
      <c r="N3" s="40" t="n">
        <f aca="false">(0.0195+0.0186)/2</f>
        <v>0.01905</v>
      </c>
      <c r="O3" s="42" t="s">
        <v>48</v>
      </c>
      <c r="P3" s="42"/>
      <c r="Q3" s="42"/>
    </row>
    <row r="4" customFormat="false" ht="15" hidden="false" customHeight="false" outlineLevel="0" collapsed="false">
      <c r="A4" s="37"/>
      <c r="B4" s="14" t="s">
        <v>12</v>
      </c>
      <c r="C4" s="43" t="n">
        <f aca="false">(0.2272+0.2116+0.22)/3</f>
        <v>0.2196</v>
      </c>
      <c r="D4" s="44" t="n">
        <f aca="false">(0.8626+0.8314+0.8503)/3</f>
        <v>0.8481</v>
      </c>
      <c r="E4" s="44" t="n">
        <f aca="false">(0.1181+0.1143+0.1121)/3</f>
        <v>0.114833333333333</v>
      </c>
      <c r="F4" s="43" t="n">
        <f aca="false">(0.3011+0.3014+0.3215)/3</f>
        <v>0.308</v>
      </c>
      <c r="G4" s="44" t="n">
        <f aca="false">(0.9691+0.9503+0.9682)/3</f>
        <v>0.962533333333333</v>
      </c>
      <c r="H4" s="45" t="n">
        <f aca="false">(0.1134+0.1125+0.1133)/3</f>
        <v>0.113066666666667</v>
      </c>
      <c r="I4" s="43" t="n">
        <f aca="false">(0.3189+0.3365)/2</f>
        <v>0.3277</v>
      </c>
      <c r="J4" s="44"/>
      <c r="K4" s="45" t="n">
        <f aca="false">(0.1034+0.1005)/2</f>
        <v>0.10195</v>
      </c>
      <c r="L4" s="44" t="n">
        <f aca="false">(0.3255+0.3285)/2</f>
        <v>0.327</v>
      </c>
      <c r="M4" s="44"/>
      <c r="N4" s="45" t="n">
        <f aca="false">(0.0985+0.0986)/2</f>
        <v>0.09855</v>
      </c>
      <c r="O4" s="42"/>
      <c r="P4" s="42"/>
      <c r="Q4" s="42"/>
    </row>
    <row r="5" customFormat="false" ht="14.5" hidden="false" customHeight="false" outlineLevel="0" collapsed="false">
      <c r="A5" s="46" t="s">
        <v>13</v>
      </c>
      <c r="B5" s="20" t="s">
        <v>11</v>
      </c>
      <c r="C5" s="39" t="n">
        <f aca="false">(0.5514+0.5606+0.5368)/3</f>
        <v>0.5496</v>
      </c>
      <c r="D5" s="39" t="n">
        <f aca="false">(0.4411+0.4414+0.4382)/3</f>
        <v>0.440233333333333</v>
      </c>
      <c r="E5" s="39" t="n">
        <f aca="false">(0.026+0.0242+0.0238)/3</f>
        <v>0.0246666666666667</v>
      </c>
      <c r="F5" s="38" t="n">
        <f aca="false">(0.6699+0.6706+0.6927)/3</f>
        <v>0.677733333333333</v>
      </c>
      <c r="G5" s="39" t="n">
        <f aca="false">(0.4393+0.4335+0.4325)/3</f>
        <v>0.4351</v>
      </c>
      <c r="H5" s="40" t="n">
        <f aca="false">(0.0238+0.0237+0.0242)/3</f>
        <v>0.0239</v>
      </c>
      <c r="I5" s="38" t="n">
        <f aca="false">(0.8098+0.8098)/2</f>
        <v>0.8098</v>
      </c>
      <c r="J5" s="39"/>
      <c r="K5" s="40" t="n">
        <f aca="false">(0.0234+0.0232)/2</f>
        <v>0.0233</v>
      </c>
      <c r="L5" s="38" t="n">
        <f aca="false">(0.7684+0.755)/2</f>
        <v>0.7617</v>
      </c>
      <c r="M5" s="39"/>
      <c r="N5" s="40" t="n">
        <f aca="false">(0.0252+0.0244)/2</f>
        <v>0.0248</v>
      </c>
    </row>
    <row r="6" customFormat="false" ht="15" hidden="false" customHeight="false" outlineLevel="0" collapsed="false">
      <c r="A6" s="46"/>
      <c r="B6" s="25" t="s">
        <v>12</v>
      </c>
      <c r="C6" s="44" t="n">
        <f aca="false">(0.4186+0.4008+0.4108)/3</f>
        <v>0.410066666666667</v>
      </c>
      <c r="D6" s="44" t="n">
        <f aca="false">(0.8625+0.8393+0.8551)/3</f>
        <v>0.8523</v>
      </c>
      <c r="E6" s="44" t="n">
        <f aca="false">(0.1169+0.1121+0.1149)/3</f>
        <v>0.114633333333333</v>
      </c>
      <c r="F6" s="43" t="n">
        <f aca="false">(0.5177+0.5266+0.5236)/3</f>
        <v>0.522633333333333</v>
      </c>
      <c r="G6" s="44" t="n">
        <f aca="false">(0.9399+0.9168+0.9156)/3</f>
        <v>0.9241</v>
      </c>
      <c r="H6" s="45" t="n">
        <f aca="false">(0.1146+0.1146+0.115)/3</f>
        <v>0.114733333333333</v>
      </c>
      <c r="I6" s="43" t="n">
        <f aca="false">(0.5984+0.5822)/2</f>
        <v>0.5903</v>
      </c>
      <c r="J6" s="44"/>
      <c r="K6" s="45" t="n">
        <f aca="false">(0.1011+0.1012)/2</f>
        <v>0.10115</v>
      </c>
      <c r="L6" s="43" t="n">
        <f aca="false">(0.6002+0.6068)/2</f>
        <v>0.6035</v>
      </c>
      <c r="M6" s="44"/>
      <c r="N6" s="45" t="n">
        <f aca="false">(0.0999+0.1007)/2</f>
        <v>0.1003</v>
      </c>
    </row>
    <row r="7" customFormat="false" ht="14.5" hidden="false" customHeight="false" outlineLevel="0" collapsed="false">
      <c r="A7" s="46" t="s">
        <v>49</v>
      </c>
      <c r="B7" s="10" t="s">
        <v>11</v>
      </c>
      <c r="C7" s="38" t="n">
        <f aca="false">(0.3225+0.3037)/2</f>
        <v>0.3131</v>
      </c>
      <c r="D7" s="39" t="n">
        <f aca="false">(0.2421+0.2415+0.2214)/3</f>
        <v>0.235</v>
      </c>
      <c r="E7" s="40" t="n">
        <f aca="false">(0.0195+0.0203+0.02)/3</f>
        <v>0.0199333333333333</v>
      </c>
      <c r="F7" s="47" t="n">
        <f aca="false">(0.3343+0.3376+0.3375)/3</f>
        <v>0.336466666666667</v>
      </c>
      <c r="G7" s="48" t="n">
        <f aca="false">(0.2274+0.2273+0.2291)/3</f>
        <v>0.227933333333333</v>
      </c>
      <c r="H7" s="49" t="n">
        <f aca="false">(0.0209+0.0207+0.0214)/3</f>
        <v>0.021</v>
      </c>
      <c r="I7" s="47" t="n">
        <f aca="false">(0.3418+0.3334+0.3179)/3</f>
        <v>0.331033333333333</v>
      </c>
      <c r="J7" s="48"/>
      <c r="K7" s="49" t="n">
        <f aca="false">(0.0319+0.0309+0.031)/3</f>
        <v>0.0312666666666667</v>
      </c>
      <c r="L7" s="47" t="n">
        <f aca="false">(0.2997+0.3176+0.3301)/3</f>
        <v>0.3158</v>
      </c>
      <c r="M7" s="48"/>
      <c r="N7" s="49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46"/>
      <c r="B8" s="28" t="s">
        <v>12</v>
      </c>
      <c r="C8" s="43" t="n">
        <f aca="false">(0.1988+0.1939+0.2009)/3</f>
        <v>0.197866666666667</v>
      </c>
      <c r="D8" s="44" t="n">
        <f aca="false">(0.4076+0.4322+0.4131)/3</f>
        <v>0.417633333333333</v>
      </c>
      <c r="E8" s="45" t="n">
        <f aca="false">(0.1143+0.1132+0.1152)/3</f>
        <v>0.114233333333333</v>
      </c>
      <c r="F8" s="43" t="n">
        <f aca="false">(0.1904+0.192+0.1935)/3</f>
        <v>0.191966666666667</v>
      </c>
      <c r="G8" s="44" t="n">
        <f aca="false">(0.3899+0.4101+0.4039)/3</f>
        <v>0.4013</v>
      </c>
      <c r="H8" s="45" t="n">
        <f aca="false">(0.1134+0.1143+0.1151)/3</f>
        <v>0.114266666666667</v>
      </c>
      <c r="I8" s="43" t="n">
        <f aca="false">(0.1659+0.1608+0.1658)/3</f>
        <v>0.164166666666667</v>
      </c>
      <c r="J8" s="44"/>
      <c r="K8" s="45" t="n">
        <f aca="false">(0.1062+0.1066+0.1064)/3</f>
        <v>0.1064</v>
      </c>
      <c r="L8" s="43" t="n">
        <f aca="false">(0.1647+0.164)/2</f>
        <v>0.16435</v>
      </c>
      <c r="M8" s="44"/>
      <c r="N8" s="45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46" t="s">
        <v>15</v>
      </c>
      <c r="B9" s="20" t="s">
        <v>11</v>
      </c>
      <c r="C9" s="47" t="n">
        <f aca="false">(0.1062+0.1091+0.1051)/3</f>
        <v>0.1068</v>
      </c>
      <c r="D9" s="48" t="n">
        <f aca="false">(0.085+0.0874+0.0856)/3</f>
        <v>0.086</v>
      </c>
      <c r="E9" s="49" t="n">
        <f aca="false">(0.0097+0.0095+0.0093)/3</f>
        <v>0.0095</v>
      </c>
      <c r="F9" s="47" t="n">
        <f aca="false">(0.1277+0.1276+0.1272)/3</f>
        <v>0.1275</v>
      </c>
      <c r="G9" s="48" t="n">
        <f aca="false">(0.1109+0.1114+0.1119)/3</f>
        <v>0.1114</v>
      </c>
      <c r="H9" s="49" t="n">
        <f aca="false">(0.0187+0.0184+0.0187)/3</f>
        <v>0.0186</v>
      </c>
      <c r="I9" s="47" t="n">
        <f aca="false">(0.1408)/1</f>
        <v>0.1408</v>
      </c>
      <c r="J9" s="48"/>
      <c r="K9" s="49" t="n">
        <f aca="false">(0.0221+0.0222)/2</f>
        <v>0.02215</v>
      </c>
      <c r="L9" s="50" t="n">
        <v>0.1255</v>
      </c>
      <c r="M9" s="48"/>
      <c r="N9" s="51" t="n">
        <v>0.0121</v>
      </c>
      <c r="O9" s="0" t="s">
        <v>16</v>
      </c>
    </row>
    <row r="10" customFormat="false" ht="15" hidden="false" customHeight="false" outlineLevel="0" collapsed="false">
      <c r="A10" s="46"/>
      <c r="B10" s="25" t="s">
        <v>12</v>
      </c>
      <c r="C10" s="43" t="n">
        <f aca="false">(0.1401+0.1378+0.1374)/3</f>
        <v>0.138433333333333</v>
      </c>
      <c r="D10" s="44" t="n">
        <f aca="false">(0.2803+0.2808+0.2771)/3</f>
        <v>0.2794</v>
      </c>
      <c r="E10" s="45" t="n">
        <f aca="false">(0.1026+0.1017+0.1048)/3</f>
        <v>0.103033333333333</v>
      </c>
      <c r="F10" s="43" t="n">
        <f aca="false">(0.1577+0.1582+0.1566)/3</f>
        <v>0.1575</v>
      </c>
      <c r="G10" s="44" t="n">
        <f aca="false">(0.3699+0.3739+0.3682)/3</f>
        <v>0.370666666666667</v>
      </c>
      <c r="H10" s="45" t="n">
        <f aca="false">(0.1071+0.1084+0.1071)/3</f>
        <v>0.107533333333333</v>
      </c>
      <c r="I10" s="43" t="n">
        <f aca="false">(0.1756)/1</f>
        <v>0.1756</v>
      </c>
      <c r="J10" s="44"/>
      <c r="K10" s="45" t="n">
        <f aca="false">(0.0925+0.0919)/2</f>
        <v>0.0922</v>
      </c>
      <c r="L10" s="52" t="n">
        <v>0.1578</v>
      </c>
      <c r="M10" s="44"/>
      <c r="N10" s="53" t="n">
        <v>0.0837</v>
      </c>
      <c r="O10" s="0" t="s">
        <v>16</v>
      </c>
    </row>
    <row r="11" customFormat="false" ht="14.5" hidden="false" customHeight="false" outlineLevel="0" collapsed="false">
      <c r="F11" s="0" t="n">
        <v>94</v>
      </c>
      <c r="G11" s="0" t="n">
        <v>92</v>
      </c>
      <c r="H11" s="0" t="n">
        <v>2</v>
      </c>
      <c r="I11" s="29"/>
      <c r="J11" s="29"/>
      <c r="K11" s="29"/>
      <c r="L11" s="30"/>
      <c r="M11" s="30"/>
    </row>
    <row r="12" customFormat="false" ht="14.5" hidden="false" customHeight="false" outlineLevel="0" collapsed="false">
      <c r="A12" s="31" t="s">
        <v>17</v>
      </c>
      <c r="F12" s="0" t="n">
        <v>79</v>
      </c>
      <c r="G12" s="0" t="n">
        <v>84</v>
      </c>
      <c r="H12" s="0" t="n">
        <v>10.8</v>
      </c>
      <c r="L12" s="32"/>
      <c r="M12" s="33"/>
    </row>
    <row r="13" customFormat="false" ht="14.5" hidden="false" customHeight="false" outlineLevel="0" collapsed="false">
      <c r="A13" s="34" t="s">
        <v>18</v>
      </c>
      <c r="B13" s="35" t="s">
        <v>19</v>
      </c>
      <c r="O13" s="36" t="s">
        <v>20</v>
      </c>
    </row>
    <row r="15" customFormat="false" ht="14.5" hidden="false" customHeight="false" outlineLevel="0" collapsed="false">
      <c r="A15" s="34" t="s">
        <v>21</v>
      </c>
      <c r="B15" s="35" t="s">
        <v>22</v>
      </c>
      <c r="F15" s="32"/>
      <c r="G15" s="32"/>
      <c r="K15" s="35"/>
      <c r="L15" s="35"/>
      <c r="M15" s="35"/>
    </row>
    <row r="16" customFormat="false" ht="14.5" hidden="false" customHeight="false" outlineLevel="0" collapsed="false">
      <c r="A16" s="34"/>
      <c r="B16" s="33" t="s">
        <v>23</v>
      </c>
      <c r="F16" s="35"/>
      <c r="G16" s="35"/>
      <c r="K16" s="35"/>
      <c r="L16" s="35"/>
      <c r="M16" s="35"/>
      <c r="O16" s="36" t="s">
        <v>20</v>
      </c>
    </row>
    <row r="17" customFormat="false" ht="14.5" hidden="false" customHeight="false" outlineLevel="0" collapsed="false">
      <c r="A17" s="34"/>
      <c r="B17" s="0" t="s">
        <v>50</v>
      </c>
      <c r="O17" s="36" t="s">
        <v>20</v>
      </c>
      <c r="Q17" s="0" t="s">
        <v>25</v>
      </c>
    </row>
    <row r="18" customFormat="false" ht="14.5" hidden="false" customHeight="false" outlineLevel="0" collapsed="false">
      <c r="A18" s="34"/>
      <c r="B18" s="0" t="s">
        <v>26</v>
      </c>
      <c r="O18" s="36" t="s">
        <v>20</v>
      </c>
      <c r="Q18" s="0" t="s">
        <v>27</v>
      </c>
    </row>
    <row r="20" customFormat="false" ht="14.5" hidden="false" customHeight="false" outlineLevel="0" collapsed="false">
      <c r="A20" s="34" t="s">
        <v>28</v>
      </c>
      <c r="B20" s="35" t="s">
        <v>29</v>
      </c>
    </row>
    <row r="21" customFormat="false" ht="14.5" hidden="false" customHeight="false" outlineLevel="0" collapsed="false">
      <c r="A21" s="34"/>
      <c r="B21" s="33" t="s">
        <v>30</v>
      </c>
    </row>
    <row r="22" customFormat="false" ht="14.5" hidden="false" customHeight="false" outlineLevel="0" collapsed="false">
      <c r="A22" s="34" t="s">
        <v>31</v>
      </c>
      <c r="B22" s="0" t="s">
        <v>32</v>
      </c>
    </row>
    <row r="23" customFormat="false" ht="14.5" hidden="false" customHeight="false" outlineLevel="0" collapsed="false">
      <c r="A23" s="34" t="s">
        <v>33</v>
      </c>
      <c r="B23" s="0" t="s">
        <v>34</v>
      </c>
    </row>
    <row r="24" customFormat="false" ht="14.5" hidden="false" customHeight="false" outlineLevel="0" collapsed="false">
      <c r="A24" s="34"/>
    </row>
    <row r="25" customFormat="false" ht="14.5" hidden="false" customHeight="false" outlineLevel="0" collapsed="false">
      <c r="A25" s="34" t="s">
        <v>35</v>
      </c>
      <c r="B25" s="35" t="s">
        <v>36</v>
      </c>
    </row>
    <row r="26" customFormat="false" ht="14.5" hidden="false" customHeight="false" outlineLevel="0" collapsed="false">
      <c r="A26" s="34"/>
      <c r="B26" s="33" t="s">
        <v>37</v>
      </c>
    </row>
    <row r="27" customFormat="false" ht="14.5" hidden="false" customHeight="false" outlineLevel="0" collapsed="false">
      <c r="A27" s="34" t="s">
        <v>38</v>
      </c>
      <c r="B27" s="32" t="s">
        <v>39</v>
      </c>
      <c r="H27" s="0" t="s">
        <v>40</v>
      </c>
    </row>
    <row r="28" customFormat="false" ht="14.5" hidden="false" customHeight="false" outlineLevel="0" collapsed="false">
      <c r="A28" s="34" t="s">
        <v>41</v>
      </c>
      <c r="B28" s="32" t="s">
        <v>42</v>
      </c>
      <c r="H28" s="0" t="s">
        <v>40</v>
      </c>
    </row>
    <row r="29" customFormat="false" ht="14.5" hidden="false" customHeight="false" outlineLevel="0" collapsed="false">
      <c r="A29" s="34" t="s">
        <v>43</v>
      </c>
      <c r="B29" s="32" t="s">
        <v>44</v>
      </c>
    </row>
    <row r="30" customFormat="false" ht="14.5" hidden="false" customHeight="false" outlineLevel="0" collapsed="false">
      <c r="A30" s="34" t="s">
        <v>45</v>
      </c>
      <c r="B30" s="32" t="s">
        <v>46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1" sqref="M7:M8 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51</v>
      </c>
      <c r="G1" s="0" t="s">
        <v>52</v>
      </c>
      <c r="M1" s="0" t="s">
        <v>53</v>
      </c>
      <c r="S1" s="0" t="s">
        <v>54</v>
      </c>
    </row>
    <row r="2" customFormat="false" ht="14.5" hidden="false" customHeight="false" outlineLevel="0" collapsed="false">
      <c r="B2" s="48" t="n">
        <f aca="false">_xlfn.STDEV.P(B4:B303)</f>
        <v>0.246372705070837</v>
      </c>
      <c r="H2" s="48" t="n">
        <f aca="false">_xlfn.STDEV.P(H4:H303)</f>
        <v>0.299719963743936</v>
      </c>
      <c r="N2" s="48" t="n">
        <f aca="false">_xlfn.STDEV.P(N4:N303)</f>
        <v>0.0522741810074534</v>
      </c>
      <c r="T2" s="48" t="n">
        <f aca="false">_xlfn.STDEV.P(T4:T303)</f>
        <v>0.0539992181013351</v>
      </c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59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60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61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62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63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64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65</v>
      </c>
    </row>
    <row r="306" customFormat="false" ht="14.5" hidden="false" customHeight="false" outlineLevel="0" collapsed="false">
      <c r="S306" s="0" t="s">
        <v>66</v>
      </c>
    </row>
    <row r="307" customFormat="false" ht="14.5" hidden="false" customHeight="false" outlineLevel="0" collapsed="false">
      <c r="S3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1" sqref="M7:M8 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68</v>
      </c>
      <c r="G1" s="0" t="s">
        <v>69</v>
      </c>
      <c r="M1" s="0" t="s">
        <v>70</v>
      </c>
      <c r="S1" s="0" t="s">
        <v>71</v>
      </c>
    </row>
    <row r="2" customFormat="false" ht="14.5" hidden="false" customHeight="false" outlineLevel="0" collapsed="false">
      <c r="B2" s="48" t="n">
        <f aca="false">_xlfn.STDEV.P(B4:B303)</f>
        <v>0.327147963466075</v>
      </c>
      <c r="H2" s="48" t="n">
        <f aca="false">_xlfn.STDEV.P(H4:H303)</f>
        <v>0.319366602303163</v>
      </c>
      <c r="N2" s="48" t="n">
        <f aca="false">_xlfn.STDEV.P(N4:N303)</f>
        <v>0.104029611169128</v>
      </c>
      <c r="T2" s="48" t="n">
        <f aca="false">_xlfn.STDEV.P(T4:T303)</f>
        <v>0.0365467584821904</v>
      </c>
      <c r="U2" s="48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72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73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74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75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76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77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78</v>
      </c>
      <c r="S305" s="0" t="s">
        <v>79</v>
      </c>
    </row>
    <row r="306" customFormat="false" ht="14.5" hidden="false" customHeight="false" outlineLevel="0" collapsed="false">
      <c r="G306" s="0" t="s">
        <v>80</v>
      </c>
      <c r="S306" s="0" t="s">
        <v>81</v>
      </c>
    </row>
    <row r="307" customFormat="false" ht="14.5" hidden="false" customHeight="false" outlineLevel="0" collapsed="false">
      <c r="G307" s="0" t="s">
        <v>82</v>
      </c>
      <c r="S307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1" sqref="M7:M8 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84</v>
      </c>
      <c r="G1" s="0" t="s">
        <v>85</v>
      </c>
      <c r="M1" s="0" t="s">
        <v>86</v>
      </c>
      <c r="S1" s="0" t="s">
        <v>87</v>
      </c>
    </row>
    <row r="2" customFormat="false" ht="14.5" hidden="false" customHeight="false" outlineLevel="0" collapsed="false">
      <c r="B2" s="48" t="n">
        <f aca="false">_xlfn.STDEV.P(B4:B303)</f>
        <v>0.353749402826351</v>
      </c>
      <c r="H2" s="48" t="n">
        <f aca="false">_xlfn.STDEV.P(H4:H303)</f>
        <v>0.279436534237502</v>
      </c>
      <c r="N2" s="48" t="n">
        <f aca="false">_xlfn.STDEV.P(N4:N303)</f>
        <v>0.100521589720816</v>
      </c>
      <c r="T2" s="48" t="n">
        <f aca="false">_xlfn.STDEV.P(T4:T303)</f>
        <v>0.0494590627578899</v>
      </c>
      <c r="U2" s="48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88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90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91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92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93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94</v>
      </c>
      <c r="S305" s="0" t="s">
        <v>95</v>
      </c>
    </row>
    <row r="306" customFormat="false" ht="14.5" hidden="false" customHeight="false" outlineLevel="0" collapsed="false">
      <c r="G306" s="0" t="s">
        <v>96</v>
      </c>
      <c r="S306" s="0" t="s">
        <v>97</v>
      </c>
    </row>
    <row r="307" customFormat="false" ht="14.5" hidden="false" customHeight="false" outlineLevel="0" collapsed="false">
      <c r="G307" s="0" t="s">
        <v>98</v>
      </c>
      <c r="S30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1" sqref="M7:M8 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100</v>
      </c>
      <c r="G1" s="0" t="s">
        <v>101</v>
      </c>
      <c r="I1" s="0" t="n">
        <f aca="false">COUNTIF(H4:H103,"=1")</f>
        <v>72</v>
      </c>
      <c r="M1" s="0" t="s">
        <v>102</v>
      </c>
      <c r="S1" s="0" t="s">
        <v>103</v>
      </c>
    </row>
    <row r="2" customFormat="false" ht="14.5" hidden="false" customHeight="false" outlineLevel="0" collapsed="false">
      <c r="B2" s="48" t="n">
        <f aca="false">_xlfn.STDEV.P(B4:B303)</f>
        <v>0.351121061743667</v>
      </c>
      <c r="C2" s="0" t="n">
        <f aca="false">COUNTIF(B4:B103,"=0")</f>
        <v>23</v>
      </c>
      <c r="H2" s="48" t="n">
        <f aca="false">_xlfn.STDEV.P(H4:H303)</f>
        <v>0.278690339903548</v>
      </c>
      <c r="I2" s="0" t="n">
        <f aca="false">COUNTIF(H4:H103,"=0")</f>
        <v>10</v>
      </c>
      <c r="N2" s="48" t="n">
        <f aca="false">_xlfn.STDEV.P(N4:N303)</f>
        <v>0.0802869852466762</v>
      </c>
      <c r="T2" s="48" t="n">
        <f aca="false">_xlfn.STDEV.P(T4:T303)</f>
        <v>0.0566054178796812</v>
      </c>
      <c r="U2" s="48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104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108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109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110</v>
      </c>
      <c r="S305" s="0" t="s">
        <v>111</v>
      </c>
    </row>
    <row r="306" customFormat="false" ht="14.5" hidden="false" customHeight="false" outlineLevel="0" collapsed="false">
      <c r="G306" s="0" t="s">
        <v>112</v>
      </c>
      <c r="S306" s="0" t="s">
        <v>113</v>
      </c>
    </row>
    <row r="307" customFormat="false" ht="14.5" hidden="false" customHeight="false" outlineLevel="0" collapsed="false">
      <c r="G307" s="0" t="s">
        <v>114</v>
      </c>
      <c r="S307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2020-08-08T22:31:19Z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