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Overall_old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<sst xmlns="http://schemas.openxmlformats.org/spreadsheetml/2006/main" count="290" uniqueCount="128">
  <si>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</si>
  <si>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</si>
  <si>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</si>
  <si>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</si>
  <si>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</si>
  <si>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</si>
  <si>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</si>
  <si>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</si>
  <si>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</si>
  <si>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</si>
  <si>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</si>
  <si>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</si>
  <si>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</si>
  <si>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</si>
  <si>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</si>
  <si>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</si>
  <si>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</si>
  <si>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</si>
  <si>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</si>
  <si>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</si>
  <si>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</si>
  <si>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</si>
  <si>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</si>
  <si>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</si>
  <si>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</si>
  <si>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</si>
  <si>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</si>
  <si>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</si>
  <si>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</si>
  <si>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</si>
  <si>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</si>
  <si>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</si>
  <si>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</si>
  <si>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</si>
  <si>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</si>
  <si>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</si>
  <si>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Stage 3 investigates methods to increase privacy and reduce the effectiveness of stage 1 and 2.</t>
  </si>
  <si>
    <t xml:space="preserve">3a</t>
  </si>
  <si>
    <t xml:space="preserve">Multiple PKs and ledgers efficiency.</t>
  </si>
  <si>
    <t xml:space="preserve">1 to n at reasonable intervals</t>
  </si>
  <si>
    <t xml:space="preserve">3b</t>
  </si>
  <si>
    <t xml:space="preserve">Transaction obfuscation: random delays and combinations.</t>
  </si>
  <si>
    <t xml:space="preserve">3c</t>
  </si>
  <si>
    <t xml:space="preserve">Combine best of a and b for a final test.</t>
  </si>
  <si>
    <t xml:space="preserve">Stage 1a</t>
  </si>
  <si>
    <t xml:space="preserve">Best case is each customer on an individual ledger with one PK</t>
  </si>
  <si>
    <t xml:space="preserve">1 L / C</t>
  </si>
  <si>
    <t xml:space="preserve">1 L / P</t>
  </si>
  <si>
    <t xml:space="preserve">1 L</t>
  </si>
  <si>
    <t xml:space="preserve">Worst case is all customers on one ledger with new PK per transaction</t>
  </si>
  <si>
    <t xml:space="preserve">RDF</t>
  </si>
  <si>
    <t xml:space="preserve">Best of k=[1, 50]</t>
  </si>
  <si>
    <t xml:space="preserve">Stage 1 establishes the likelihood to extract a user's dataset of transactions for stage 2</t>
  </si>
  <si>
    <t xml:space="preserve">Investigate classification methods: MLP, RF, KNN</t>
  </si>
  <si>
    <t xml:space="preserve">Stage 2 measures the chance an attacker can find the customer's location from their dataset and solar data</t>
  </si>
  <si>
    <t xml:space="preserve">Investigate approaches to combine a user data set with solar data to reveal postcode.</t>
  </si>
  <si>
    <t xml:space="preserve">Explore whether solar data has an impact on stage 1 analysis.</t>
  </si>
  <si>
    <t xml:space="preserve">Stage 3 investigates methods to increase privacy and reduce the effectiveness of stage 1 and 2</t>
  </si>
  <si>
    <t xml:space="preserve">Multiple PKs efficiency</t>
  </si>
  <si>
    <t xml:space="preserve">Multiple customers per ledger efficiency</t>
  </si>
  <si>
    <t xml:space="preserve">Timestamp obfuscation: random transaction delays and combinations</t>
  </si>
  <si>
    <t xml:space="preserve">3d</t>
  </si>
  <si>
    <t xml:space="preserve">Combinations of a-c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</si>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</sst>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21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(0.5392+0.5216)/2</f>
        <v>0.5304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1" t="s">
        <v>0</v>
      </c>
      <c r="B12" s="1"/>
      <c r="C12" s="2" t="s">
        <v>1</v>
      </c>
      <c r="D12" s="2"/>
      <c r="E12" s="2"/>
      <c r="F12" s="2" t="s">
        <v>2</v>
      </c>
      <c r="G12" s="2"/>
      <c r="H12" s="2"/>
      <c r="L12" s="27"/>
      <c r="M12" s="27"/>
    </row>
    <row r="13" customFormat="false" ht="13.8" hidden="false" customHeight="false" outlineLevel="0" collapsed="false">
      <c r="A13" s="3" t="s">
        <v>5</v>
      </c>
      <c r="B13" s="4" t="s">
        <v>6</v>
      </c>
      <c r="C13" s="5" t="s">
        <v>7</v>
      </c>
      <c r="D13" s="6" t="s">
        <v>8</v>
      </c>
      <c r="E13" s="7" t="s">
        <v>9</v>
      </c>
      <c r="F13" s="5" t="s">
        <v>7</v>
      </c>
      <c r="G13" s="6" t="s">
        <v>8</v>
      </c>
      <c r="H13" s="7" t="s">
        <v>9</v>
      </c>
      <c r="L13" s="27"/>
      <c r="M13" s="27"/>
    </row>
    <row r="14" customFormat="false" ht="13.8" hidden="false" customHeight="false" outlineLevel="0" collapsed="false">
      <c r="A14" s="19" t="s">
        <v>13</v>
      </c>
      <c r="B14" s="20" t="s">
        <v>11</v>
      </c>
      <c r="C14" s="12" t="n">
        <f aca="false">(0.6684+0.6912)/2</f>
        <v>0.6798</v>
      </c>
      <c r="D14" s="12" t="n">
        <f aca="false">(0.6967+0.6607)/2</f>
        <v>0.6787</v>
      </c>
      <c r="E14" s="12" t="n">
        <f aca="false">(0.0302+0.0307)/2</f>
        <v>0.03045</v>
      </c>
      <c r="F14" s="11" t="n">
        <f aca="false">(0.7636)/1</f>
        <v>0.7636</v>
      </c>
      <c r="G14" s="12" t="n">
        <f aca="false">(0.7658)/1</f>
        <v>0.7658</v>
      </c>
      <c r="H14" s="13" t="n">
        <f aca="false">(0.0282+0.0286)/2</f>
        <v>0.0284</v>
      </c>
      <c r="J14" s="28"/>
      <c r="L14" s="27"/>
      <c r="M14" s="27"/>
    </row>
    <row r="15" customFormat="false" ht="13.8" hidden="false" customHeight="false" outlineLevel="0" collapsed="false">
      <c r="A15" s="19"/>
      <c r="B15" s="23" t="s">
        <v>12</v>
      </c>
      <c r="C15" s="16" t="n">
        <f aca="false">(0.5605+0.5406)/2</f>
        <v>0.55055</v>
      </c>
      <c r="D15" s="16" t="n">
        <f aca="false">(0.5246+0.5207)/2</f>
        <v>0.52265</v>
      </c>
      <c r="E15" s="16" t="n">
        <f aca="false">(0.1216+0.1192)/2</f>
        <v>0.1204</v>
      </c>
      <c r="F15" s="15" t="n">
        <f aca="false">(0.6249)/1</f>
        <v>0.6249</v>
      </c>
      <c r="G15" s="16" t="n">
        <f aca="false">(0.5947)/1</f>
        <v>0.5947</v>
      </c>
      <c r="H15" s="17" t="n">
        <f aca="false">(0.1194+0.1194)/2</f>
        <v>0.1194</v>
      </c>
      <c r="L15" s="27"/>
      <c r="M15" s="27"/>
    </row>
    <row r="16" customFormat="false" ht="13.8" hidden="false" customHeight="false" outlineLevel="0" collapsed="false">
      <c r="A16" s="19" t="s">
        <v>14</v>
      </c>
      <c r="B16" s="10" t="s">
        <v>11</v>
      </c>
      <c r="C16" s="11" t="n">
        <f aca="false">(0.7298+0.7055)/2</f>
        <v>0.71765</v>
      </c>
      <c r="D16" s="12" t="n">
        <f aca="false">(0.7541+0.7637)/2</f>
        <v>0.7589</v>
      </c>
      <c r="E16" s="13" t="n">
        <f aca="false">(0.0282+0.0285)/2</f>
        <v>0.02835</v>
      </c>
      <c r="F16" s="11" t="n">
        <f aca="false">(0.7281+0.7298)/2</f>
        <v>0.72895</v>
      </c>
      <c r="G16" s="12" t="n">
        <f aca="false">(0.7447+0.7462)/2</f>
        <v>0.74545</v>
      </c>
      <c r="H16" s="13" t="n">
        <f aca="false">(0.037+0.0369)/2</f>
        <v>0.03695</v>
      </c>
      <c r="L16" s="27"/>
      <c r="M16" s="27"/>
    </row>
    <row r="17" customFormat="false" ht="13.8" hidden="false" customHeight="false" outlineLevel="0" collapsed="false">
      <c r="A17" s="19"/>
      <c r="B17" s="25" t="s">
        <v>12</v>
      </c>
      <c r="C17" s="15" t="n">
        <f aca="false">(0.5823+0.5715)/2</f>
        <v>0.5769</v>
      </c>
      <c r="D17" s="16" t="n">
        <f aca="false">(0.5892+0.5783)/2</f>
        <v>0.58375</v>
      </c>
      <c r="E17" s="17" t="n">
        <f aca="false">(0.1438+0.1447)/2</f>
        <v>0.14425</v>
      </c>
      <c r="F17" s="15" t="n">
        <f aca="false">(0.5205+0.5217)/2</f>
        <v>0.5211</v>
      </c>
      <c r="G17" s="16" t="n">
        <f aca="false">(0.5214+0.5275)/2</f>
        <v>0.52445</v>
      </c>
      <c r="H17" s="17" t="n">
        <f aca="false">(0.1307+0.1299)/2</f>
        <v>0.1303</v>
      </c>
      <c r="L17" s="27"/>
      <c r="M17" s="27"/>
    </row>
    <row r="18" customFormat="false" ht="13.8" hidden="false" customHeight="false" outlineLevel="0" collapsed="false">
      <c r="L18" s="27"/>
      <c r="M18" s="27"/>
    </row>
    <row r="19" customFormat="false" ht="13.8" hidden="false" customHeight="false" outlineLevel="0" collapsed="false">
      <c r="A19" s="1" t="s">
        <v>0</v>
      </c>
      <c r="B19" s="1"/>
      <c r="C19" s="2" t="s">
        <v>1</v>
      </c>
      <c r="D19" s="2"/>
      <c r="E19" s="2"/>
      <c r="F19" s="2" t="s">
        <v>2</v>
      </c>
      <c r="G19" s="2"/>
      <c r="H19" s="2"/>
      <c r="L19" s="27"/>
      <c r="M19" s="27"/>
    </row>
    <row r="20" customFormat="false" ht="13.8" hidden="false" customHeight="false" outlineLevel="0" collapsed="false">
      <c r="A20" s="3" t="s">
        <v>5</v>
      </c>
      <c r="B20" s="4" t="s">
        <v>6</v>
      </c>
      <c r="C20" s="5" t="s">
        <v>7</v>
      </c>
      <c r="D20" s="6" t="s">
        <v>8</v>
      </c>
      <c r="E20" s="7" t="s">
        <v>9</v>
      </c>
      <c r="F20" s="5" t="s">
        <v>7</v>
      </c>
      <c r="G20" s="6" t="s">
        <v>8</v>
      </c>
      <c r="H20" s="7" t="s">
        <v>9</v>
      </c>
      <c r="L20" s="27"/>
      <c r="M20" s="27"/>
    </row>
    <row r="21" customFormat="false" ht="13.8" hidden="false" customHeight="false" outlineLevel="0" collapsed="false">
      <c r="A21" s="19" t="s">
        <v>13</v>
      </c>
      <c r="B21" s="20" t="s">
        <v>11</v>
      </c>
      <c r="C21" s="12" t="n">
        <f aca="false">C14-C5</f>
        <v>0.099533333333333</v>
      </c>
      <c r="D21" s="12" t="n">
        <f aca="false">D14-D5</f>
        <v>0.0866</v>
      </c>
      <c r="E21" s="12" t="n">
        <f aca="false">E14-E5</f>
        <v>0.0057833333333333</v>
      </c>
      <c r="F21" s="11" t="n">
        <f aca="false">F14-F5</f>
        <v>0.0645</v>
      </c>
      <c r="G21" s="12" t="n">
        <f aca="false">G14-G5</f>
        <v>0.055333333333333</v>
      </c>
      <c r="H21" s="13" t="n">
        <f aca="false">H14-H5</f>
        <v>0.0045</v>
      </c>
      <c r="L21" s="27"/>
      <c r="M21" s="27"/>
    </row>
    <row r="22" customFormat="false" ht="13.8" hidden="false" customHeight="false" outlineLevel="0" collapsed="false">
      <c r="A22" s="19"/>
      <c r="B22" s="23" t="s">
        <v>12</v>
      </c>
      <c r="C22" s="16" t="n">
        <f aca="false">C15-C6</f>
        <v>0.12205</v>
      </c>
      <c r="D22" s="16" t="n">
        <f aca="false">D15-D6</f>
        <v>0.066183333333333</v>
      </c>
      <c r="E22" s="16" t="n">
        <f aca="false">E15-E6</f>
        <v>0.005766666666667</v>
      </c>
      <c r="F22" s="15" t="n">
        <f aca="false">F15-F6</f>
        <v>0.0852666666666669</v>
      </c>
      <c r="G22" s="16" t="n">
        <f aca="false">G15-G6</f>
        <v>0.0369666666666669</v>
      </c>
      <c r="H22" s="17" t="n">
        <f aca="false">H15-H6</f>
        <v>0.004666666666667</v>
      </c>
      <c r="L22" s="27"/>
      <c r="M22" s="27"/>
    </row>
    <row r="23" customFormat="false" ht="13.8" hidden="false" customHeight="false" outlineLevel="0" collapsed="false">
      <c r="A23" s="19" t="s">
        <v>14</v>
      </c>
      <c r="B23" s="10" t="s">
        <v>11</v>
      </c>
      <c r="C23" s="11" t="n">
        <f aca="false">C16-C7</f>
        <v>0.0913499999999999</v>
      </c>
      <c r="D23" s="12" t="n">
        <f aca="false">D16-D7</f>
        <v>0.110766666666667</v>
      </c>
      <c r="E23" s="13" t="n">
        <f aca="false">E16-E7</f>
        <v>0.00695</v>
      </c>
      <c r="F23" s="11" t="n">
        <f aca="false">F16-F7</f>
        <v>0.097983333333333</v>
      </c>
      <c r="G23" s="12" t="n">
        <f aca="false">G16-G7</f>
        <v>0.094083333333333</v>
      </c>
      <c r="H23" s="13" t="n">
        <f aca="false">H16-H7</f>
        <v>0.01065</v>
      </c>
      <c r="L23" s="27"/>
      <c r="M23" s="27"/>
    </row>
    <row r="24" customFormat="false" ht="13.8" hidden="false" customHeight="false" outlineLevel="0" collapsed="false">
      <c r="A24" s="19"/>
      <c r="B24" s="25" t="s">
        <v>12</v>
      </c>
      <c r="C24" s="15" t="n">
        <f aca="false">C17-C8</f>
        <v>0.197966666666667</v>
      </c>
      <c r="D24" s="16" t="n">
        <f aca="false">D17-D8</f>
        <v>0.176816666666667</v>
      </c>
      <c r="E24" s="17" t="n">
        <f aca="false">E17-E8</f>
        <v>0.02565</v>
      </c>
      <c r="F24" s="15" t="n">
        <f aca="false">F17-F8</f>
        <v>0.151666666666667</v>
      </c>
      <c r="G24" s="16" t="n">
        <f aca="false">G17-G8</f>
        <v>0.159216666666667</v>
      </c>
      <c r="H24" s="17" t="n">
        <f aca="false">H17-H8</f>
        <v>0.0136</v>
      </c>
      <c r="L24" s="27"/>
      <c r="M24" s="27"/>
    </row>
    <row r="25" customFormat="false" ht="13.8" hidden="false" customHeight="false" outlineLevel="0" collapsed="false">
      <c r="C25" s="28"/>
      <c r="D25" s="28"/>
      <c r="E25" s="28"/>
      <c r="F25" s="28"/>
      <c r="G25" s="28"/>
      <c r="H25" s="28"/>
      <c r="L25" s="27"/>
      <c r="M25" s="27"/>
    </row>
    <row r="26" customFormat="false" ht="13.8" hidden="false" customHeight="false" outlineLevel="0" collapsed="false">
      <c r="A26" s="29" t="s">
        <v>16</v>
      </c>
      <c r="L26" s="30"/>
      <c r="M26" s="31"/>
    </row>
    <row r="27" customFormat="false" ht="14.5" hidden="false" customHeight="false" outlineLevel="0" collapsed="false">
      <c r="A27" s="32" t="s">
        <v>17</v>
      </c>
      <c r="B27" s="33" t="s">
        <v>18</v>
      </c>
      <c r="O27" s="34" t="s">
        <v>19</v>
      </c>
    </row>
    <row r="29" customFormat="false" ht="14.5" hidden="false" customHeight="false" outlineLevel="0" collapsed="false">
      <c r="A29" s="32" t="s">
        <v>20</v>
      </c>
      <c r="B29" s="33" t="s">
        <v>21</v>
      </c>
      <c r="F29" s="30"/>
      <c r="G29" s="30"/>
      <c r="K29" s="33"/>
      <c r="L29" s="33"/>
      <c r="M29" s="33"/>
    </row>
    <row r="30" customFormat="false" ht="14.5" hidden="false" customHeight="false" outlineLevel="0" collapsed="false">
      <c r="A30" s="32"/>
      <c r="B30" s="31" t="s">
        <v>22</v>
      </c>
      <c r="F30" s="33"/>
      <c r="G30" s="33"/>
      <c r="K30" s="33"/>
      <c r="L30" s="33"/>
      <c r="M30" s="33"/>
      <c r="O30" s="34" t="s">
        <v>19</v>
      </c>
    </row>
    <row r="31" customFormat="false" ht="14.5" hidden="false" customHeight="false" outlineLevel="0" collapsed="false">
      <c r="A31" s="32"/>
      <c r="B31" s="0" t="s">
        <v>23</v>
      </c>
      <c r="O31" s="34" t="s">
        <v>19</v>
      </c>
      <c r="Q31" s="0" t="s">
        <v>24</v>
      </c>
    </row>
    <row r="32" customFormat="false" ht="14.5" hidden="false" customHeight="false" outlineLevel="0" collapsed="false">
      <c r="A32" s="32"/>
      <c r="B32" s="0" t="s">
        <v>25</v>
      </c>
      <c r="O32" s="34" t="s">
        <v>19</v>
      </c>
      <c r="Q32" s="0" t="s">
        <v>26</v>
      </c>
    </row>
    <row r="34" customFormat="false" ht="14.5" hidden="false" customHeight="false" outlineLevel="0" collapsed="false">
      <c r="A34" s="32" t="s">
        <v>27</v>
      </c>
      <c r="B34" s="33" t="s">
        <v>28</v>
      </c>
    </row>
    <row r="35" customFormat="false" ht="14.5" hidden="false" customHeight="false" outlineLevel="0" collapsed="false">
      <c r="A35" s="32"/>
      <c r="B35" s="31" t="s">
        <v>29</v>
      </c>
    </row>
    <row r="36" customFormat="false" ht="14.5" hidden="false" customHeight="false" outlineLevel="0" collapsed="false">
      <c r="A36" s="32" t="s">
        <v>30</v>
      </c>
      <c r="B36" s="0" t="s">
        <v>31</v>
      </c>
    </row>
    <row r="37" customFormat="false" ht="14.5" hidden="false" customHeight="false" outlineLevel="0" collapsed="false">
      <c r="A37" s="32" t="s">
        <v>32</v>
      </c>
      <c r="B37" s="0" t="s">
        <v>33</v>
      </c>
    </row>
    <row r="38" customFormat="false" ht="14.5" hidden="false" customHeight="false" outlineLevel="0" collapsed="false">
      <c r="A38" s="32"/>
    </row>
    <row r="39" customFormat="false" ht="14.5" hidden="false" customHeight="false" outlineLevel="0" collapsed="false">
      <c r="A39" s="32" t="s">
        <v>34</v>
      </c>
      <c r="B39" s="33" t="s">
        <v>35</v>
      </c>
    </row>
    <row r="40" customFormat="false" ht="14.5" hidden="false" customHeight="false" outlineLevel="0" collapsed="false">
      <c r="A40" s="32"/>
      <c r="B40" s="31" t="s">
        <v>36</v>
      </c>
    </row>
    <row r="41" customFormat="false" ht="14.5" hidden="false" customHeight="false" outlineLevel="0" collapsed="false">
      <c r="A41" s="32" t="s">
        <v>37</v>
      </c>
      <c r="B41" s="30" t="s">
        <v>38</v>
      </c>
      <c r="H41" s="0" t="s">
        <v>39</v>
      </c>
    </row>
    <row r="42" customFormat="false" ht="13.8" hidden="false" customHeight="false" outlineLevel="0" collapsed="false">
      <c r="A42" s="32" t="s">
        <v>40</v>
      </c>
      <c r="B42" s="30" t="s">
        <v>41</v>
      </c>
    </row>
    <row r="43" customFormat="false" ht="14.5" hidden="false" customHeight="false" outlineLevel="0" collapsed="false">
      <c r="A43" s="32" t="s">
        <v>42</v>
      </c>
      <c r="B43" s="30" t="s">
        <v>43</v>
      </c>
    </row>
  </sheetData>
  <mergeCells count="19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A14:A15"/>
    <mergeCell ref="A16:A17"/>
    <mergeCell ref="A19:B19"/>
    <mergeCell ref="C19:E19"/>
    <mergeCell ref="F19:H19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44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8" t="s">
        <v>45</v>
      </c>
      <c r="P1" s="8"/>
      <c r="Q1" s="8"/>
    </row>
    <row r="2" customFormat="false" ht="15" hidden="false" customHeight="false" outlineLevel="0" collapsed="false">
      <c r="A2" s="3" t="s">
        <v>5</v>
      </c>
      <c r="B2" s="4" t="s">
        <v>6</v>
      </c>
      <c r="C2" s="5" t="s">
        <v>46</v>
      </c>
      <c r="D2" s="6" t="s">
        <v>47</v>
      </c>
      <c r="E2" s="7" t="s">
        <v>48</v>
      </c>
      <c r="F2" s="5" t="s">
        <v>46</v>
      </c>
      <c r="G2" s="6" t="s">
        <v>47</v>
      </c>
      <c r="H2" s="7" t="s">
        <v>48</v>
      </c>
      <c r="I2" s="5" t="s">
        <v>46</v>
      </c>
      <c r="J2" s="6" t="s">
        <v>47</v>
      </c>
      <c r="K2" s="7" t="s">
        <v>48</v>
      </c>
      <c r="L2" s="5" t="s">
        <v>46</v>
      </c>
      <c r="M2" s="6" t="s">
        <v>47</v>
      </c>
      <c r="N2" s="7" t="s">
        <v>48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(0.3606+0.3668+0.3843)/3</f>
        <v>0.370566666666667</v>
      </c>
      <c r="D3" s="12" t="n">
        <f aca="false">(0.3432+0.331+0.3215)/3</f>
        <v>0.3319</v>
      </c>
      <c r="E3" s="12" t="n">
        <f aca="false">(0.0224+0.0224+0.0237)/3</f>
        <v>0.0228333333333333</v>
      </c>
      <c r="F3" s="11" t="n">
        <f aca="false">(0.5904+0.6326+0.6324)/3</f>
        <v>0.618466666666667</v>
      </c>
      <c r="G3" s="12" t="n">
        <f aca="false">(0.3918+0.4014+0.3884)/3</f>
        <v>0.393866666666667</v>
      </c>
      <c r="H3" s="13" t="n">
        <f aca="false">(0.0194+0.0194+0.0191)/3</f>
        <v>0.0193</v>
      </c>
      <c r="I3" s="11" t="n">
        <f aca="false">(0.7877+0.7969)/2</f>
        <v>0.7923</v>
      </c>
      <c r="J3" s="12"/>
      <c r="K3" s="13" t="n">
        <f aca="false">(0.0181+0.0175)/2</f>
        <v>0.0178</v>
      </c>
      <c r="L3" s="35" t="n">
        <v>0.7585</v>
      </c>
      <c r="M3" s="12"/>
      <c r="N3" s="13" t="n">
        <f aca="false">(0.0195+0.0186)/2</f>
        <v>0.01905</v>
      </c>
      <c r="O3" s="36" t="s">
        <v>49</v>
      </c>
      <c r="P3" s="36"/>
      <c r="Q3" s="36"/>
    </row>
    <row r="4" customFormat="false" ht="15" hidden="false" customHeight="false" outlineLevel="0" collapsed="false">
      <c r="A4" s="9"/>
      <c r="B4" s="14" t="s">
        <v>12</v>
      </c>
      <c r="C4" s="15" t="n">
        <f aca="false">(0.2272+0.2116+0.22)/3</f>
        <v>0.2196</v>
      </c>
      <c r="D4" s="16" t="n">
        <f aca="false">(0.8626+0.8314+0.8503)/3</f>
        <v>0.8481</v>
      </c>
      <c r="E4" s="16" t="n">
        <f aca="false">(0.1181+0.1143+0.1121)/3</f>
        <v>0.114833333333333</v>
      </c>
      <c r="F4" s="15" t="n">
        <f aca="false">(0.3011+0.3014+0.3215)/3</f>
        <v>0.308</v>
      </c>
      <c r="G4" s="16" t="n">
        <f aca="false">(0.9691+0.9503+0.9682)/3</f>
        <v>0.962533333333333</v>
      </c>
      <c r="H4" s="17" t="n">
        <f aca="false">(0.1134+0.1125+0.1133)/3</f>
        <v>0.113066666666667</v>
      </c>
      <c r="I4" s="15" t="n">
        <f aca="false">(0.3189+0.3365)/2</f>
        <v>0.3277</v>
      </c>
      <c r="J4" s="16"/>
      <c r="K4" s="17" t="n">
        <f aca="false">(0.1034+0.1005)/2</f>
        <v>0.10195</v>
      </c>
      <c r="L4" s="16" t="n">
        <f aca="false">(0.3255+0.3285)/2</f>
        <v>0.327</v>
      </c>
      <c r="M4" s="16"/>
      <c r="N4" s="17" t="n">
        <f aca="false">(0.0985+0.0986)/2</f>
        <v>0.09855</v>
      </c>
      <c r="O4" s="36"/>
      <c r="P4" s="36"/>
      <c r="Q4" s="36"/>
    </row>
    <row r="5" customFormat="false" ht="14.5" hidden="false" customHeight="false" outlineLevel="0" collapsed="false">
      <c r="A5" s="19" t="s">
        <v>13</v>
      </c>
      <c r="B5" s="20" t="s">
        <v>11</v>
      </c>
      <c r="C5" s="12" t="n">
        <f aca="false">(0.5514+0.5606+0.5368)/3</f>
        <v>0.5496</v>
      </c>
      <c r="D5" s="12" t="n">
        <f aca="false">(0.4411+0.4414+0.4382)/3</f>
        <v>0.440233333333333</v>
      </c>
      <c r="E5" s="12" t="n">
        <f aca="false">(0.026+0.0242+0.0238)/3</f>
        <v>0.0246666666666667</v>
      </c>
      <c r="F5" s="11" t="n">
        <f aca="false">(0.6699+0.6706+0.6927)/3</f>
        <v>0.677733333333333</v>
      </c>
      <c r="G5" s="12" t="n">
        <f aca="false">(0.4393+0.4335+0.4325)/3</f>
        <v>0.4351</v>
      </c>
      <c r="H5" s="13" t="n">
        <f aca="false">(0.0238+0.0237+0.0242)/3</f>
        <v>0.0239</v>
      </c>
      <c r="I5" s="11" t="n">
        <f aca="false">(0.8098+0.8098)/2</f>
        <v>0.8098</v>
      </c>
      <c r="J5" s="12"/>
      <c r="K5" s="13" t="n">
        <f aca="false">(0.0234+0.0232)/2</f>
        <v>0.0233</v>
      </c>
      <c r="L5" s="11" t="n">
        <f aca="false">(0.7684+0.755)/2</f>
        <v>0.7617</v>
      </c>
      <c r="M5" s="12"/>
      <c r="N5" s="13" t="n">
        <f aca="false">(0.0252+0.0244)/2</f>
        <v>0.0248</v>
      </c>
    </row>
    <row r="6" customFormat="false" ht="15" hidden="false" customHeight="false" outlineLevel="0" collapsed="false">
      <c r="A6" s="19"/>
      <c r="B6" s="23" t="s">
        <v>12</v>
      </c>
      <c r="C6" s="16" t="n">
        <f aca="false">(0.4186+0.4008+0.4108)/3</f>
        <v>0.410066666666667</v>
      </c>
      <c r="D6" s="16" t="n">
        <f aca="false">(0.8625+0.8393+0.8551)/3</f>
        <v>0.8523</v>
      </c>
      <c r="E6" s="16" t="n">
        <f aca="false">(0.1169+0.1121+0.1149)/3</f>
        <v>0.114633333333333</v>
      </c>
      <c r="F6" s="15" t="n">
        <f aca="false">(0.5177+0.5266+0.5236)/3</f>
        <v>0.522633333333333</v>
      </c>
      <c r="G6" s="16" t="n">
        <f aca="false">(0.9399+0.9168+0.9156)/3</f>
        <v>0.9241</v>
      </c>
      <c r="H6" s="17" t="n">
        <f aca="false">(0.1146+0.1146+0.115)/3</f>
        <v>0.114733333333333</v>
      </c>
      <c r="I6" s="15" t="n">
        <f aca="false">(0.5984+0.5822)/2</f>
        <v>0.5903</v>
      </c>
      <c r="J6" s="16"/>
      <c r="K6" s="17" t="n">
        <f aca="false">(0.1011+0.1012)/2</f>
        <v>0.10115</v>
      </c>
      <c r="L6" s="15" t="n">
        <f aca="false">(0.6002+0.6068)/2</f>
        <v>0.6035</v>
      </c>
      <c r="M6" s="16"/>
      <c r="N6" s="17" t="n">
        <f aca="false">(0.0999+0.1007)/2</f>
        <v>0.1003</v>
      </c>
    </row>
    <row r="7" customFormat="false" ht="14.5" hidden="false" customHeight="false" outlineLevel="0" collapsed="false">
      <c r="A7" s="19" t="s">
        <v>50</v>
      </c>
      <c r="B7" s="10" t="s">
        <v>11</v>
      </c>
      <c r="C7" s="11" t="n">
        <f aca="false">(0.3225+0.3037)/2</f>
        <v>0.3131</v>
      </c>
      <c r="D7" s="12" t="n">
        <f aca="false">(0.2421+0.2415+0.2214)/3</f>
        <v>0.235</v>
      </c>
      <c r="E7" s="13" t="n">
        <f aca="false">(0.0195+0.0203+0.02)/3</f>
        <v>0.0199333333333333</v>
      </c>
      <c r="F7" s="21" t="n">
        <f aca="false">(0.3343+0.3376+0.3375)/3</f>
        <v>0.336466666666667</v>
      </c>
      <c r="G7" s="22" t="n">
        <f aca="false">(0.2274+0.2273+0.2291)/3</f>
        <v>0.227933333333333</v>
      </c>
      <c r="H7" s="24" t="n">
        <f aca="false">(0.0209+0.0207+0.0214)/3</f>
        <v>0.021</v>
      </c>
      <c r="I7" s="21" t="n">
        <f aca="false">(0.3418+0.3334+0.3179)/3</f>
        <v>0.331033333333333</v>
      </c>
      <c r="J7" s="22"/>
      <c r="K7" s="24" t="n">
        <f aca="false">(0.0319+0.0309+0.031)/3</f>
        <v>0.0312666666666667</v>
      </c>
      <c r="L7" s="21" t="n">
        <f aca="false">(0.2997+0.3176+0.3301)/3</f>
        <v>0.3158</v>
      </c>
      <c r="M7" s="22"/>
      <c r="N7" s="24" t="n">
        <f aca="false">(0.0209+0.0214)/2</f>
        <v>0.02115</v>
      </c>
      <c r="O7" s="8"/>
      <c r="P7" s="8"/>
      <c r="Q7" s="8"/>
    </row>
    <row r="8" customFormat="false" ht="15" hidden="false" customHeight="false" outlineLevel="0" collapsed="false">
      <c r="A8" s="19"/>
      <c r="B8" s="25" t="s">
        <v>12</v>
      </c>
      <c r="C8" s="15" t="n">
        <f aca="false">(0.1988+0.1939+0.2009)/3</f>
        <v>0.197866666666667</v>
      </c>
      <c r="D8" s="16" t="n">
        <f aca="false">(0.4076+0.4322+0.4131)/3</f>
        <v>0.417633333333333</v>
      </c>
      <c r="E8" s="17" t="n">
        <f aca="false">(0.1143+0.1132+0.1152)/3</f>
        <v>0.114233333333333</v>
      </c>
      <c r="F8" s="15" t="n">
        <f aca="false">(0.1904+0.192+0.1935)/3</f>
        <v>0.191966666666667</v>
      </c>
      <c r="G8" s="16" t="n">
        <f aca="false">(0.3899+0.4101+0.4039)/3</f>
        <v>0.4013</v>
      </c>
      <c r="H8" s="17" t="n">
        <f aca="false">(0.1134+0.1143+0.1151)/3</f>
        <v>0.114266666666667</v>
      </c>
      <c r="I8" s="15" t="n">
        <f aca="false">(0.1659+0.1608+0.1658)/3</f>
        <v>0.164166666666667</v>
      </c>
      <c r="J8" s="16"/>
      <c r="K8" s="17" t="n">
        <f aca="false">(0.1062+0.1066+0.1064)/3</f>
        <v>0.1064</v>
      </c>
      <c r="L8" s="15" t="n">
        <f aca="false">(0.1647+0.164)/2</f>
        <v>0.16435</v>
      </c>
      <c r="M8" s="16"/>
      <c r="N8" s="17" t="n">
        <f aca="false">(0.099+0.0987)/2</f>
        <v>0.09885</v>
      </c>
      <c r="O8" s="8"/>
      <c r="P8" s="8"/>
      <c r="Q8" s="8"/>
    </row>
    <row r="9" customFormat="false" ht="14.5" hidden="false" customHeight="false" outlineLevel="0" collapsed="false">
      <c r="A9" s="19" t="s">
        <v>15</v>
      </c>
      <c r="B9" s="20" t="s">
        <v>11</v>
      </c>
      <c r="C9" s="21" t="n">
        <f aca="false">(0.1062+0.1091+0.1051)/3</f>
        <v>0.1068</v>
      </c>
      <c r="D9" s="22" t="n">
        <f aca="false">(0.085+0.0874+0.0856)/3</f>
        <v>0.086</v>
      </c>
      <c r="E9" s="24" t="n">
        <f aca="false">(0.0097+0.0095+0.0093)/3</f>
        <v>0.0095</v>
      </c>
      <c r="F9" s="21" t="n">
        <f aca="false">(0.1277+0.1276+0.1272)/3</f>
        <v>0.1275</v>
      </c>
      <c r="G9" s="22" t="n">
        <f aca="false">(0.1109+0.1114+0.1119)/3</f>
        <v>0.1114</v>
      </c>
      <c r="H9" s="24" t="n">
        <f aca="false">(0.0187+0.0184+0.0187)/3</f>
        <v>0.0186</v>
      </c>
      <c r="I9" s="21" t="n">
        <f aca="false">(0.1408)/1</f>
        <v>0.1408</v>
      </c>
      <c r="J9" s="22"/>
      <c r="K9" s="24" t="n">
        <f aca="false">(0.0221+0.0222)/2</f>
        <v>0.02215</v>
      </c>
      <c r="L9" s="37" t="n">
        <v>0.1255</v>
      </c>
      <c r="M9" s="22"/>
      <c r="N9" s="38" t="n">
        <v>0.0121</v>
      </c>
      <c r="O9" s="0" t="s">
        <v>51</v>
      </c>
    </row>
    <row r="10" customFormat="false" ht="15" hidden="false" customHeight="false" outlineLevel="0" collapsed="false">
      <c r="A10" s="19"/>
      <c r="B10" s="23" t="s">
        <v>12</v>
      </c>
      <c r="C10" s="15" t="n">
        <f aca="false">(0.1401+0.1378+0.1374)/3</f>
        <v>0.138433333333333</v>
      </c>
      <c r="D10" s="16" t="n">
        <f aca="false">(0.2803+0.2808+0.2771)/3</f>
        <v>0.2794</v>
      </c>
      <c r="E10" s="17" t="n">
        <f aca="false">(0.1026+0.1017+0.1048)/3</f>
        <v>0.103033333333333</v>
      </c>
      <c r="F10" s="15" t="n">
        <f aca="false">(0.1577+0.1582+0.1566)/3</f>
        <v>0.1575</v>
      </c>
      <c r="G10" s="16" t="n">
        <f aca="false">(0.3699+0.3739+0.3682)/3</f>
        <v>0.370666666666667</v>
      </c>
      <c r="H10" s="17" t="n">
        <f aca="false">(0.1071+0.1084+0.1071)/3</f>
        <v>0.107533333333333</v>
      </c>
      <c r="I10" s="15" t="n">
        <f aca="false">(0.1756)/1</f>
        <v>0.1756</v>
      </c>
      <c r="J10" s="16"/>
      <c r="K10" s="17" t="n">
        <f aca="false">(0.0925+0.0919)/2</f>
        <v>0.0922</v>
      </c>
      <c r="L10" s="39" t="n">
        <v>0.1578</v>
      </c>
      <c r="M10" s="16"/>
      <c r="N10" s="40" t="n">
        <v>0.0837</v>
      </c>
      <c r="O10" s="0" t="s">
        <v>51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29" t="s">
        <v>16</v>
      </c>
      <c r="L12" s="30"/>
      <c r="M12" s="31"/>
    </row>
    <row r="13" customFormat="false" ht="14.5" hidden="false" customHeight="false" outlineLevel="0" collapsed="false">
      <c r="A13" s="32" t="s">
        <v>17</v>
      </c>
      <c r="B13" s="33" t="s">
        <v>18</v>
      </c>
      <c r="O13" s="34" t="s">
        <v>19</v>
      </c>
    </row>
    <row r="15" customFormat="false" ht="14.5" hidden="false" customHeight="false" outlineLevel="0" collapsed="false">
      <c r="A15" s="32" t="s">
        <v>20</v>
      </c>
      <c r="B15" s="33" t="s">
        <v>21</v>
      </c>
      <c r="F15" s="30"/>
      <c r="G15" s="30"/>
      <c r="K15" s="33"/>
      <c r="L15" s="33"/>
      <c r="M15" s="33"/>
    </row>
    <row r="16" customFormat="false" ht="14.5" hidden="false" customHeight="false" outlineLevel="0" collapsed="false">
      <c r="A16" s="32"/>
      <c r="B16" s="31" t="s">
        <v>52</v>
      </c>
      <c r="F16" s="33"/>
      <c r="G16" s="33"/>
      <c r="K16" s="33"/>
      <c r="L16" s="33"/>
      <c r="M16" s="33"/>
      <c r="O16" s="34" t="s">
        <v>19</v>
      </c>
    </row>
    <row r="17" customFormat="false" ht="14.5" hidden="false" customHeight="false" outlineLevel="0" collapsed="false">
      <c r="A17" s="32"/>
      <c r="B17" s="0" t="s">
        <v>53</v>
      </c>
      <c r="O17" s="34" t="s">
        <v>19</v>
      </c>
      <c r="Q17" s="0" t="s">
        <v>24</v>
      </c>
    </row>
    <row r="18" customFormat="false" ht="14.5" hidden="false" customHeight="false" outlineLevel="0" collapsed="false">
      <c r="A18" s="32"/>
      <c r="B18" s="0" t="s">
        <v>25</v>
      </c>
      <c r="O18" s="34" t="s">
        <v>19</v>
      </c>
      <c r="Q18" s="0" t="s">
        <v>26</v>
      </c>
    </row>
    <row r="20" customFormat="false" ht="14.5" hidden="false" customHeight="false" outlineLevel="0" collapsed="false">
      <c r="A20" s="32" t="s">
        <v>27</v>
      </c>
      <c r="B20" s="33" t="s">
        <v>28</v>
      </c>
    </row>
    <row r="21" customFormat="false" ht="14.5" hidden="false" customHeight="false" outlineLevel="0" collapsed="false">
      <c r="A21" s="32"/>
      <c r="B21" s="31" t="s">
        <v>54</v>
      </c>
    </row>
    <row r="22" customFormat="false" ht="14.5" hidden="false" customHeight="false" outlineLevel="0" collapsed="false">
      <c r="A22" s="32" t="s">
        <v>30</v>
      </c>
      <c r="B22" s="0" t="s">
        <v>55</v>
      </c>
    </row>
    <row r="23" customFormat="false" ht="14.5" hidden="false" customHeight="false" outlineLevel="0" collapsed="false">
      <c r="A23" s="32" t="s">
        <v>32</v>
      </c>
      <c r="B23" s="0" t="s">
        <v>56</v>
      </c>
    </row>
    <row r="24" customFormat="false" ht="14.5" hidden="false" customHeight="false" outlineLevel="0" collapsed="false">
      <c r="A24" s="32"/>
    </row>
    <row r="25" customFormat="false" ht="14.5" hidden="false" customHeight="false" outlineLevel="0" collapsed="false">
      <c r="A25" s="32" t="s">
        <v>34</v>
      </c>
      <c r="B25" s="33" t="s">
        <v>35</v>
      </c>
    </row>
    <row r="26" customFormat="false" ht="14.5" hidden="false" customHeight="false" outlineLevel="0" collapsed="false">
      <c r="A26" s="32"/>
      <c r="B26" s="31" t="s">
        <v>57</v>
      </c>
    </row>
    <row r="27" customFormat="false" ht="14.5" hidden="false" customHeight="false" outlineLevel="0" collapsed="false">
      <c r="A27" s="32" t="s">
        <v>37</v>
      </c>
      <c r="B27" s="30" t="s">
        <v>58</v>
      </c>
      <c r="H27" s="0" t="s">
        <v>39</v>
      </c>
    </row>
    <row r="28" customFormat="false" ht="14.5" hidden="false" customHeight="false" outlineLevel="0" collapsed="false">
      <c r="A28" s="32" t="s">
        <v>40</v>
      </c>
      <c r="B28" s="30" t="s">
        <v>59</v>
      </c>
      <c r="H28" s="0" t="s">
        <v>39</v>
      </c>
    </row>
    <row r="29" customFormat="false" ht="14.5" hidden="false" customHeight="false" outlineLevel="0" collapsed="false">
      <c r="A29" s="32" t="s">
        <v>42</v>
      </c>
      <c r="B29" s="30" t="s">
        <v>60</v>
      </c>
    </row>
    <row r="30" customFormat="false" ht="14.5" hidden="false" customHeight="false" outlineLevel="0" collapsed="false">
      <c r="A30" s="32" t="s">
        <v>61</v>
      </c>
      <c r="B30" s="30" t="s">
        <v>62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63</v>
      </c>
      <c r="G1" s="0" t="s">
        <v>64</v>
      </c>
      <c r="M1" s="0" t="s">
        <v>65</v>
      </c>
      <c r="S1" s="0" t="s">
        <v>66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0.299719963743937</v>
      </c>
      <c r="N2" s="22" t="n">
        <f aca="false">_xlfn.STDEV.P(N4:N303)</f>
        <v>0.0522741810074534</v>
      </c>
      <c r="T2" s="22" t="n">
        <f aca="false">_xlfn.STDEV.P(T4:T303)</f>
        <v>0.0539992181013351</v>
      </c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71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72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73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74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75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76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77</v>
      </c>
    </row>
    <row r="306" customFormat="false" ht="14.5" hidden="false" customHeight="false" outlineLevel="0" collapsed="false">
      <c r="S306" s="0" t="s">
        <v>78</v>
      </c>
    </row>
    <row r="307" customFormat="false" ht="14.5" hidden="false" customHeight="false" outlineLevel="0" collapsed="false">
      <c r="S307" s="0" t="s">
        <v>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80</v>
      </c>
      <c r="G1" s="0" t="s">
        <v>81</v>
      </c>
      <c r="M1" s="0" t="s">
        <v>82</v>
      </c>
      <c r="S1" s="0" t="s">
        <v>83</v>
      </c>
    </row>
    <row r="2" customFormat="false" ht="14.5" hidden="false" customHeight="false" outlineLevel="0" collapsed="false">
      <c r="B2" s="22" t="n">
        <f aca="false">_xlfn.STDEV.P(B4:B303)</f>
        <v>0.327147963466074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84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85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86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87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88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89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90</v>
      </c>
      <c r="S305" s="0" t="s">
        <v>91</v>
      </c>
    </row>
    <row r="306" customFormat="false" ht="14.5" hidden="false" customHeight="false" outlineLevel="0" collapsed="false">
      <c r="G306" s="0" t="s">
        <v>92</v>
      </c>
      <c r="S306" s="0" t="s">
        <v>93</v>
      </c>
    </row>
    <row r="307" customFormat="false" ht="14.5" hidden="false" customHeight="false" outlineLevel="0" collapsed="false">
      <c r="G307" s="0" t="s">
        <v>94</v>
      </c>
      <c r="S307" s="0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96</v>
      </c>
      <c r="G1" s="0" t="s">
        <v>97</v>
      </c>
      <c r="M1" s="0" t="s">
        <v>98</v>
      </c>
      <c r="S1" s="0" t="s">
        <v>99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0.0494590627578899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100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101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102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103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104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105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106</v>
      </c>
      <c r="S305" s="0" t="s">
        <v>107</v>
      </c>
    </row>
    <row r="306" customFormat="false" ht="14.5" hidden="false" customHeight="false" outlineLevel="0" collapsed="false">
      <c r="G306" s="0" t="s">
        <v>108</v>
      </c>
      <c r="S306" s="0" t="s">
        <v>109</v>
      </c>
    </row>
    <row r="307" customFormat="false" ht="14.5" hidden="false" customHeight="false" outlineLevel="0" collapsed="false">
      <c r="G307" s="0" t="s">
        <v>110</v>
      </c>
      <c r="S307" s="0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112</v>
      </c>
      <c r="G1" s="0" t="s">
        <v>113</v>
      </c>
      <c r="I1" s="0" t="n">
        <f aca="false">COUNTIF(H4:H103,"=1")</f>
        <v>72</v>
      </c>
      <c r="M1" s="0" t="s">
        <v>114</v>
      </c>
      <c r="S1" s="0" t="s">
        <v>115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0.278690339903549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0.0566054178796812</v>
      </c>
      <c r="U2" s="22"/>
    </row>
    <row r="3" customFormat="false" ht="14.5" hidden="false" customHeight="false" outlineLevel="0" collapsed="false">
      <c r="B3" s="0" t="s">
        <v>67</v>
      </c>
      <c r="C3" s="0" t="s">
        <v>68</v>
      </c>
      <c r="D3" s="0" t="s">
        <v>69</v>
      </c>
      <c r="E3" s="0" t="s">
        <v>70</v>
      </c>
      <c r="H3" s="0" t="s">
        <v>67</v>
      </c>
      <c r="I3" s="0" t="s">
        <v>68</v>
      </c>
      <c r="J3" s="0" t="s">
        <v>69</v>
      </c>
      <c r="K3" s="0" t="s">
        <v>70</v>
      </c>
      <c r="N3" s="0" t="s">
        <v>67</v>
      </c>
      <c r="O3" s="0" t="s">
        <v>68</v>
      </c>
      <c r="P3" s="0" t="s">
        <v>69</v>
      </c>
      <c r="Q3" s="0" t="s">
        <v>70</v>
      </c>
      <c r="T3" s="0" t="s">
        <v>67</v>
      </c>
      <c r="U3" s="0" t="s">
        <v>68</v>
      </c>
      <c r="V3" s="0" t="s">
        <v>69</v>
      </c>
      <c r="W3" s="0" t="s">
        <v>70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116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117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118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119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120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121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122</v>
      </c>
      <c r="S305" s="0" t="s">
        <v>123</v>
      </c>
    </row>
    <row r="306" customFormat="false" ht="14.5" hidden="false" customHeight="false" outlineLevel="0" collapsed="false">
      <c r="G306" s="0" t="s">
        <v>124</v>
      </c>
      <c r="S306" s="0" t="s">
        <v>125</v>
      </c>
    </row>
    <row r="307" customFormat="false" ht="14.5" hidden="false" customHeight="false" outlineLevel="0" collapsed="false">
      <c r="G307" s="0" t="s">
        <v>126</v>
      </c>
      <c r="S307" s="0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2020-09-02T22:48:34Z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