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D:\faculdade\Alura\"/>
    </mc:Choice>
  </mc:AlternateContent>
  <xr:revisionPtr revIDLastSave="0" documentId="13_ncr:1_{67938E6C-C362-426F-9000-9D9CB8B33F65}" xr6:coauthVersionLast="47" xr6:coauthVersionMax="47" xr10:uidLastSave="{00000000-0000-0000-0000-000000000000}"/>
  <bookViews>
    <workbookView xWindow="3270" yWindow="3165" windowWidth="21600" windowHeight="11295" tabRatio="698" activeTab="6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Planilha1" sheetId="29" r:id="rId7"/>
    <sheet name="Dados para Gráficos" sheetId="19" state="hidden" r:id="rId8"/>
    <sheet name="Dashboard" sheetId="18" state="hidden" r:id="rId9"/>
  </sheets>
  <definedNames>
    <definedName name="_xlnm._FilterDatabase" localSheetId="3" hidden="1">Vendas!$C$4:$E$86</definedName>
    <definedName name="Desc_Categorias">'Cadastros Auxiliares'!$B$8:$E$8</definedName>
    <definedName name="Desc_Quantidades">'Cadastros Auxiliares'!$B$8:$B$13</definedName>
    <definedName name="Desc_Tabel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6" l="1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H6" i="16"/>
  <c r="H5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C17" i="23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F53" i="16"/>
  <c r="F54" i="16"/>
  <c r="F55" i="16"/>
  <c r="F56" i="16"/>
  <c r="F57" i="16"/>
  <c r="F58" i="16"/>
  <c r="F59" i="16"/>
  <c r="F60" i="16"/>
  <c r="F61" i="16"/>
  <c r="F62" i="16"/>
  <c r="F63" i="16"/>
  <c r="F64" i="16"/>
  <c r="F65" i="16"/>
  <c r="F66" i="16"/>
  <c r="F67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F85" i="16"/>
  <c r="F86" i="16"/>
  <c r="C11" i="24"/>
  <c r="C12" i="24" s="1" a="1"/>
  <c r="C12" i="24" s="1"/>
  <c r="F7" i="24"/>
  <c r="C9" i="24"/>
  <c r="C10" i="24"/>
  <c r="C8" i="24" a="1"/>
  <c r="C8" i="24" s="1"/>
  <c r="C7" i="24"/>
  <c r="F9" i="24"/>
  <c r="J68" i="16" l="1"/>
  <c r="J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J83" i="16" l="1"/>
  <c r="J75" i="16"/>
  <c r="J73" i="16"/>
  <c r="J65" i="16"/>
  <c r="J64" i="16"/>
  <c r="J79" i="16"/>
  <c r="J71" i="16"/>
  <c r="J80" i="16"/>
  <c r="J72" i="16"/>
  <c r="J84" i="16"/>
  <c r="J67" i="16"/>
  <c r="J82" i="16"/>
  <c r="J74" i="16"/>
  <c r="J66" i="16"/>
  <c r="J86" i="16"/>
  <c r="J78" i="16"/>
  <c r="J70" i="16"/>
  <c r="J85" i="16"/>
  <c r="J77" i="16"/>
  <c r="J69" i="16"/>
  <c r="J81" i="16"/>
  <c r="J5" i="16" l="1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25" i="16"/>
  <c r="J26" i="16"/>
  <c r="J27" i="16"/>
  <c r="J28" i="16"/>
  <c r="J29" i="16"/>
  <c r="J30" i="16"/>
  <c r="J31" i="16"/>
  <c r="J32" i="16"/>
  <c r="J33" i="16"/>
  <c r="J34" i="16"/>
  <c r="J35" i="16"/>
  <c r="J36" i="16"/>
  <c r="J37" i="16"/>
  <c r="J38" i="16"/>
  <c r="J39" i="16"/>
  <c r="J40" i="16"/>
  <c r="J41" i="16"/>
  <c r="J42" i="16"/>
  <c r="J43" i="16"/>
  <c r="J44" i="16"/>
  <c r="J45" i="16"/>
  <c r="J46" i="16"/>
  <c r="J47" i="16"/>
  <c r="J48" i="16"/>
  <c r="J49" i="16"/>
  <c r="J50" i="16"/>
  <c r="J51" i="16"/>
  <c r="J52" i="16"/>
  <c r="J53" i="16"/>
  <c r="J54" i="16"/>
  <c r="J55" i="16"/>
  <c r="J56" i="16"/>
  <c r="J57" i="16"/>
  <c r="J58" i="16"/>
  <c r="J59" i="16"/>
  <c r="J60" i="16"/>
  <c r="J61" i="16"/>
  <c r="J62" i="16"/>
  <c r="J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<sst xmlns="http://schemas.openxmlformats.org/spreadsheetml/2006/main" count="498" uniqueCount="171">
  <si>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</si>
  <si>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</si>
  <si>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</si>
  <si>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</si>
  <si>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</si>
  <si>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</si>
  <si>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</si>
  <si>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</si>
  <si>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</si>
  <si>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</si>
  <si>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</si>
  <si>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</si>
  <si>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</si>
  <si>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</si>
  <si>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</si>
  <si>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</si>
  <si>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</si>
  <si>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</si>
  <si>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</si>
  <si>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</si>
  <si>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</si>
  <si>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</si>
  <si>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</si>
  <si>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</si>
  <si>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</si>
  <si>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</si>
  <si>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</si>
  <si>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</si>
  <si>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</si>
  <si>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</si>
  <si>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</si>
  <si>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</si>
  <si>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</si>
  <si>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</si>
  <si>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</si>
  <si>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</si>
  <si>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</si>
  <si>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</si>
  <si>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</si>
  <si>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</si>
  <si>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</si>
  <si>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</si>
  <si>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</si>
  <si>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</si>
  <si>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</si>
  <si>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</si>
  <si>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</si>
  <si>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</si>
  <si>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</si>
  <si>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</si>
  <si>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</si>
  <si>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</si>
  <si>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</si>
  <si>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</si>
  <si>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</si>
  <si>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</si>
  <si>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</si>
  <si>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</si>
  <si>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</si>
  <si>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</si>
  <si>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</si>
  <si>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</si>
  <si>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</si>
  <si>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</si>
  <si>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</si>
  <si>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</si>
  <si>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</si>
  <si>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</si>
  <si>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</si>
  <si>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</si>
  <si>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</si>
  <si>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</si>
  <si>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</si>
  <si>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</si>
  <si>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</si>
  <si>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</si>
  <si>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</si>
  <si>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</si>
  <si>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</si>
  <si>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</si>
  <si>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</si>
  <si>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</si>
  <si>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</si>
  <si>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</si>
  <si>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</si>
  <si>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</si>
  <si>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</si>
  <si>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</si>
  <si>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</si>
  <si>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</si>
  <si>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</si>
  <si>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</si>
  <si>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</si>
  <si>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</si>
  <si>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</si>
  <si>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</si>
  <si>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</si>
  <si>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</si>
  <si>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</si>
  <si>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</si>
  <si>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</si>
  <si>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</si>
  <si>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</si>
  <si>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</si>
  <si>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</si>
  <si>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</si>
  <si>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</si>
  <si>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</si>
  <si>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</si>
  <si>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</si>
  <si>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</si>
  <si>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</si>
  <si>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</si>
  <si>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</si>
  <si>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</si>
  <si>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</si>
  <si>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</si>
  <si>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</si>
  <si>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</si>
  <si>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</si>
  <si>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</si>
  <si>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</si>
  <si>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</si>
  <si>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</si>
  <si>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</si>
  <si>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</si>
  <si>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</si>
  <si>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</si>
  <si>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</si>
  <si>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</si>
  <si>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</si>
  <si>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</si>
  <si>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</si>
  <si>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Desconto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</si>
  <si>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</si>
  <si>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</si>
  <si>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</si>
  <si>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</si>
  <si>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</si>
  <si>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</si>
  <si>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</si>
  <si>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</si>
  <si>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</si>
  <si>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</si>
  <si>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</si>
  <si>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</si>
  <si>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</si>
  <si>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</si>
  <si>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</si>
  <si>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</si>
  <si>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</si>
  <si>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</si>
  <si>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</si>
  <si>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</si>
  <si>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</si>
  <si>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</si>
  <si>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</si>
  <si>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</si>
  <si>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</si>
  <si>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</si>
  <si>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</si>
  <si>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</si>
  <si>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</si>
  <si>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</si>
  <si>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</si>
  <si>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</si>
  <si>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</si>
  <si>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mínimo:</t>
  </si>
  <si>
    <t>Estoque Mínimo</t>
  </si>
  <si>
    <t>Desc. Vend.</t>
  </si>
  <si>
    <t>Desc.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</si>
</sst>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7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  <font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2" borderId="0" xfId="3" applyFill="1" applyBorder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0" fontId="17" fillId="2" borderId="0" xfId="3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/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0" fontId="26" fillId="0" borderId="0" xfId="0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6" fillId="0" borderId="31" xfId="5" applyNumberFormat="1" applyFont="1" applyBorder="1" applyAlignment="1">
      <alignment horizontal="center" vertical="center"/>
    </xf>
    <xf numFmtId="10" fontId="0" fillId="0" borderId="0" xfId="0" applyNumberFormat="1"/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numFmt numFmtId="13" formatCode="0%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bgColor theme="1"/>
        </patternFill>
      </fill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11</xdr:col>
      <xdr:colOff>285749</xdr:colOff>
      <xdr:row>0</xdr:row>
      <xdr:rowOff>85725</xdr:rowOff>
    </xdr:from>
    <xdr:to>
      <xdr:col>12</xdr:col>
      <xdr:colOff>360044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9</xdr:col>
      <xdr:colOff>381000</xdr:colOff>
      <xdr:row>0</xdr:row>
      <xdr:rowOff>85725</xdr:rowOff>
    </xdr:from>
    <xdr:to>
      <xdr:col>10</xdr:col>
      <xdr:colOff>226695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8</xdr:col>
      <xdr:colOff>661988</xdr:colOff>
      <xdr:row>0</xdr:row>
      <xdr:rowOff>85725</xdr:rowOff>
    </xdr:from>
    <xdr:to>
      <xdr:col>9</xdr:col>
      <xdr:colOff>288608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1114425</xdr:colOff>
      <xdr:row>0</xdr:row>
      <xdr:rowOff>85725</xdr:rowOff>
    </xdr:from>
    <xdr:to>
      <xdr:col>8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1000124</xdr:colOff>
      <xdr:row>0</xdr:row>
      <xdr:rowOff>85725</xdr:rowOff>
    </xdr:from>
    <xdr:to>
      <xdr:col>5</xdr:col>
      <xdr:colOff>226694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133350</xdr:colOff>
      <xdr:row>0</xdr:row>
      <xdr:rowOff>85725</xdr:rowOff>
    </xdr:from>
    <xdr:to>
      <xdr:col>4</xdr:col>
      <xdr:colOff>331470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1328738</xdr:colOff>
      <xdr:row>0</xdr:row>
      <xdr:rowOff>85725</xdr:rowOff>
    </xdr:from>
    <xdr:to>
      <xdr:col>3</xdr:col>
      <xdr:colOff>40958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257175</xdr:colOff>
      <xdr:row>0</xdr:row>
      <xdr:rowOff>85725</xdr:rowOff>
    </xdr:from>
    <xdr:to>
      <xdr:col>2</xdr:col>
      <xdr:colOff>1236345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18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17"/>
    <tableColumn id="2" xr3:uid="{E100D4E2-C3A0-43FF-A1D9-90A4BC2A9918}" name="Produtos"/>
    <tableColumn id="3" xr3:uid="{2EF7FEE0-6B6F-4534-86A0-46B6555B7BEF}" name="Tamanho" dataDxfId="16"/>
    <tableColumn id="4" xr3:uid="{4435A4B8-E7F0-4D66-A4F8-6A9FEAA36D5A}" name="Categoria"/>
    <tableColumn id="6" xr3:uid="{15F9CACC-A558-4A20-80CF-C2ADA2603221}" name="Estoque" dataDxfId="15"/>
    <tableColumn id="5" xr3:uid="{CA8AD0DE-58EC-4839-85FB-1DD75DA28087}" name="Preço Unitário" dataDxfId="14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K86" totalsRowShown="0" headerRowDxfId="13" dataDxfId="12" headerRowCellStyle="Cabeçalho Meteora">
  <autoFilter ref="A4:K86" xr:uid="{AD739091-30BD-4C30-BDDA-7504C0C4B6E2}"/>
  <tableColumns count="11">
    <tableColumn id="7" xr3:uid="{5E8DE7C3-CDB6-4314-A5CC-C44D3C21973F}" name="Nº" dataDxfId="11">
      <calculatedColumnFormula>MONTH(TB_Vendas[[#This Row],[Data]])</calculatedColumnFormula>
    </tableColumn>
    <tableColumn id="10" xr3:uid="{BD1ABB49-B48B-4C50-A034-45488FDC03A8}" name="Mês" dataDxfId="10">
      <calculatedColumnFormula>PROPER(TEXT(DATE(,TB_Vendas[[#This Row],[Nº]],1),"Mmm"))</calculatedColumnFormula>
    </tableColumn>
    <tableColumn id="1" xr3:uid="{43632F1F-6978-4CE7-BB13-7CCE587D6821}" name="Data" dataDxfId="9"/>
    <tableColumn id="12" xr3:uid="{205A55AB-454E-4288-AE23-042C3C399E7A}" name="Código" dataDxfId="8"/>
    <tableColumn id="5" xr3:uid="{7DC2ADED-AF8A-4BC8-A38E-FEF676FE49C9}" name="Qtd" dataDxfId="7"/>
    <tableColumn id="9" xr3:uid="{05B7315B-2774-41BC-AFEC-4A19E452D6C7}" name="Preço Unitário" dataDxfId="4">
      <calculatedColumnFormula>_xlfn.XLOOKUP(TB_Vendas[[#This Row],[Código]],TB_Produtos[Código],TB_Produtos[Preço Unitário])</calculatedColumnFormula>
    </tableColumn>
    <tableColumn id="2" xr3:uid="{4BEBDE19-FA81-4412-AC83-E0AE6998A9B4}" name="Desc." dataDxfId="3" dataCellStyle="Porcentagem">
      <calculatedColumnFormula>INDEX(Desc_Tabela,MATCH(TB_Vendas[[#This Row],[Qtd]],Desc_Quantidades,1),MATCH(_xlfn.XLOOKUP(TB_Vendas[[#This Row],[Código]],TB_Produtos[Código],TB_Produtos[Categoria]),Desc_Categorias,0))</calculatedColumnFormula>
    </tableColumn>
    <tableColumn id="3" xr3:uid="{1D50FC6C-3585-4B78-A426-AE122BF36669}" name="Desc. Vend." dataDxfId="2" dataCellStyle="Porcentagem">
      <calculatedColumnFormula>_xlfn.XLOOKUP(TB_Vendas[[#This Row],[Vendedor]],Vendedores!$A$5:$A$9,Vendedores!$D$5:$D$9)</calculatedColumnFormula>
    </tableColumn>
    <tableColumn id="4" xr3:uid="{CDF6F3CA-EE52-48B7-A17F-CD647879B79A}" name="Desconto" dataDxfId="0" dataCellStyle="Porcentagem">
      <calculatedColumnFormula>IF(TB_Vendas[[#This Row],[Desc.]]&gt;TB_Vendas[[#This Row],[Desc. Vend.]],TB_Vendas[[#This Row],[Desc. Vend.]],TB_Vendas[[#This Row],[Desc.]])</calculatedColumnFormula>
    </tableColumn>
    <tableColumn id="6" xr3:uid="{9459B662-6A4F-4486-82B1-12F67B8F842E}" name="Total" dataDxfId="6">
      <calculatedColumnFormula>TB_Vendas[[#This Row],[Preço Unitário]]*TB_Vendas[[#This Row],[Qtd]]</calculatedColumnFormula>
    </tableColumn>
    <tableColumn id="8" xr3:uid="{192FEBCA-1287-48A6-9BE6-69528F71C305}" name="Vendedor" dataDxfId="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5" zeroHeight="1"/>
  <cols>
    <col min="1" max="5" width="8.85546875" style="40" customWidth="1"/>
    <col min="6" max="12" width="8.85546875" customWidth="1"/>
    <col min="13" max="16384" width="8.85546875" hidden="1"/>
  </cols>
  <sheetData>
    <row r="1" spans="1:12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</row>
    <row r="2" spans="1:12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</row>
    <row r="3" spans="1:12">
      <c r="A3" s="81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</row>
    <row r="4" spans="1:12">
      <c r="A4" s="81"/>
      <c r="B4" s="81"/>
      <c r="C4" s="81"/>
      <c r="D4" s="81"/>
      <c r="E4" s="81"/>
      <c r="F4" s="81"/>
      <c r="G4" s="81"/>
      <c r="H4" s="81"/>
      <c r="I4" s="81"/>
      <c r="J4" s="81"/>
      <c r="K4" s="81"/>
      <c r="L4" s="81"/>
    </row>
    <row r="5" spans="1:12">
      <c r="A5" s="81"/>
      <c r="B5" s="81"/>
      <c r="C5" s="81"/>
      <c r="D5" s="81"/>
      <c r="E5" s="81"/>
      <c r="F5" s="81"/>
      <c r="G5" s="81"/>
      <c r="H5" s="81"/>
      <c r="I5" s="81"/>
      <c r="J5" s="81"/>
      <c r="K5" s="81"/>
      <c r="L5" s="81"/>
    </row>
    <row r="6" spans="1:12">
      <c r="A6" s="81"/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</row>
    <row r="7" spans="1:12">
      <c r="F7" s="40"/>
      <c r="G7" s="40"/>
      <c r="H7" s="40"/>
      <c r="I7" s="40"/>
      <c r="J7" s="40"/>
      <c r="K7" s="40"/>
      <c r="L7" s="40"/>
    </row>
    <row r="8" spans="1:12">
      <c r="F8" s="40"/>
      <c r="G8" s="40"/>
      <c r="H8" s="40"/>
      <c r="I8" s="40"/>
      <c r="J8" s="40"/>
      <c r="K8" s="40"/>
      <c r="L8" s="40"/>
    </row>
    <row r="9" spans="1:12">
      <c r="F9" s="40"/>
      <c r="G9" s="40"/>
      <c r="H9" s="40"/>
      <c r="I9" s="40"/>
      <c r="J9" s="40"/>
      <c r="K9" s="40"/>
      <c r="L9" s="40"/>
    </row>
    <row r="10" spans="1:12">
      <c r="F10" s="40"/>
      <c r="G10" s="40"/>
      <c r="H10" s="40"/>
      <c r="I10" s="40"/>
      <c r="J10" s="40"/>
      <c r="K10" s="40"/>
      <c r="L10" s="40"/>
    </row>
    <row r="11" spans="1:12">
      <c r="F11" s="40"/>
      <c r="G11" s="40"/>
      <c r="H11" s="40"/>
      <c r="I11" s="40"/>
      <c r="J11" s="40"/>
      <c r="K11" s="40"/>
      <c r="L11" s="40"/>
    </row>
    <row r="12" spans="1:12">
      <c r="F12" s="40"/>
      <c r="G12" s="40"/>
      <c r="H12" s="40"/>
      <c r="I12" s="40"/>
      <c r="J12" s="40"/>
      <c r="K12" s="40"/>
      <c r="L12" s="40"/>
    </row>
    <row r="13" spans="1:12">
      <c r="F13" s="40"/>
      <c r="G13" s="40"/>
      <c r="H13" s="40"/>
      <c r="I13" s="40"/>
      <c r="J13" s="40"/>
      <c r="K13" s="40"/>
      <c r="L13" s="40"/>
    </row>
    <row r="14" spans="1:12">
      <c r="F14" s="40"/>
      <c r="G14" s="40"/>
      <c r="H14" s="40"/>
      <c r="I14" s="40"/>
      <c r="J14" s="40"/>
      <c r="K14" s="40"/>
      <c r="L14" s="40"/>
    </row>
    <row r="15" spans="1:12">
      <c r="F15" s="40"/>
      <c r="G15" s="40"/>
      <c r="H15" s="40"/>
      <c r="I15" s="40"/>
      <c r="J15" s="40"/>
      <c r="K15" s="40"/>
      <c r="L15" s="40"/>
    </row>
    <row r="16" spans="1:12">
      <c r="F16" s="40"/>
      <c r="G16" s="40"/>
      <c r="H16" s="40"/>
      <c r="I16" s="40"/>
      <c r="J16" s="40"/>
      <c r="K16" s="40"/>
      <c r="L16" s="40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52" zoomScale="140" zoomScaleNormal="140" workbookViewId="0">
      <selection activeCell="B7" sqref="B7"/>
    </sheetView>
  </sheetViews>
  <sheetFormatPr defaultColWidth="0" defaultRowHeight="15"/>
  <cols>
    <col min="1" max="1" width="8.42578125" customWidth="1"/>
    <col min="2" max="2" width="18.28515625" bestFit="1" customWidth="1"/>
    <col min="3" max="3" width="22.7109375" style="1" customWidth="1"/>
    <col min="4" max="4" width="14" bestFit="1" customWidth="1"/>
    <col min="5" max="5" width="17.140625" bestFit="1" customWidth="1"/>
    <col min="6" max="6" width="13.140625" customWidth="1"/>
    <col min="7" max="7" width="22.85546875" bestFit="1" customWidth="1"/>
    <col min="8" max="8" width="8.85546875" customWidth="1"/>
    <col min="9" max="16384" width="8.85546875" hidden="1"/>
  </cols>
  <sheetData>
    <row r="1" spans="1:9" s="40" customFormat="1" ht="40.15" customHeight="1">
      <c r="A1" s="43"/>
      <c r="B1" s="47" t="s">
        <v>134</v>
      </c>
      <c r="C1" s="47"/>
      <c r="D1" s="47"/>
      <c r="E1" s="47"/>
      <c r="F1" s="47"/>
      <c r="G1" s="47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18" customHeight="1">
      <c r="A4" s="46"/>
      <c r="B4" s="46"/>
      <c r="D4" s="42"/>
      <c r="E4" s="42"/>
      <c r="F4" s="42"/>
    </row>
    <row r="5" spans="1:9" ht="4.9000000000000004" customHeight="1">
      <c r="A5" s="42"/>
      <c r="B5" s="42"/>
      <c r="C5" s="42"/>
      <c r="D5" s="42"/>
      <c r="E5" s="42"/>
      <c r="F5" s="42"/>
    </row>
    <row r="6" spans="1:9" s="1" customFormat="1" ht="18.75">
      <c r="B6" s="34" t="s">
        <v>30</v>
      </c>
      <c r="C6" s="34" t="s">
        <v>0</v>
      </c>
      <c r="D6" s="34" t="s">
        <v>1</v>
      </c>
      <c r="E6" s="34" t="s">
        <v>10</v>
      </c>
      <c r="F6" s="34" t="s">
        <v>77</v>
      </c>
      <c r="G6" s="34" t="s">
        <v>11</v>
      </c>
      <c r="H6" s="34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3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3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3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3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3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3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3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34</v>
      </c>
      <c r="G53" s="33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3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40</v>
      </c>
      <c r="G55" s="33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3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3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3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3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3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3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5"/>
  <cols>
    <col min="1" max="1" width="14.7109375" bestFit="1" customWidth="1"/>
    <col min="2" max="2" width="27.5703125" customWidth="1"/>
    <col min="3" max="3" width="25.7109375" customWidth="1"/>
    <col min="4" max="4" width="22.140625" customWidth="1"/>
  </cols>
  <sheetData>
    <row r="1" spans="1:5" s="40" customFormat="1" ht="40.15" customHeight="1">
      <c r="A1" s="43"/>
      <c r="B1" s="82" t="s">
        <v>134</v>
      </c>
      <c r="C1" s="82"/>
      <c r="D1" s="45"/>
      <c r="E1" s="45"/>
    </row>
    <row r="2" spans="1:5" s="41" customFormat="1" ht="4.5" customHeight="1">
      <c r="A2" s="44"/>
      <c r="B2" s="44"/>
    </row>
    <row r="3" spans="1:5" ht="4.5" customHeight="1" thickBot="1">
      <c r="A3" s="42"/>
      <c r="B3" s="42"/>
    </row>
    <row r="4" spans="1:5" ht="21.75">
      <c r="A4" s="52" t="s">
        <v>30</v>
      </c>
      <c r="B4" s="58" t="s">
        <v>74</v>
      </c>
      <c r="C4" s="58" t="s">
        <v>146</v>
      </c>
      <c r="D4" s="53" t="s">
        <v>147</v>
      </c>
    </row>
    <row r="5" spans="1:5" ht="22.5" customHeight="1">
      <c r="A5" s="64" t="s">
        <v>126</v>
      </c>
      <c r="B5" s="57" t="s">
        <v>73</v>
      </c>
      <c r="C5" s="57" t="s">
        <v>148</v>
      </c>
      <c r="D5" s="67">
        <v>0.2</v>
      </c>
    </row>
    <row r="6" spans="1:5" ht="22.5" customHeight="1">
      <c r="A6" s="64" t="s">
        <v>127</v>
      </c>
      <c r="B6" s="57" t="s">
        <v>75</v>
      </c>
      <c r="C6" s="57" t="s">
        <v>149</v>
      </c>
      <c r="D6" s="67">
        <v>0.25</v>
      </c>
    </row>
    <row r="7" spans="1:5" ht="22.5" customHeight="1">
      <c r="A7" s="64" t="s">
        <v>128</v>
      </c>
      <c r="B7" s="57" t="s">
        <v>72</v>
      </c>
      <c r="C7" s="57" t="s">
        <v>150</v>
      </c>
      <c r="D7" s="67">
        <v>0.1</v>
      </c>
    </row>
    <row r="8" spans="1:5" ht="22.5" customHeight="1">
      <c r="A8" s="64" t="s">
        <v>129</v>
      </c>
      <c r="B8" s="57" t="s">
        <v>131</v>
      </c>
      <c r="C8" s="57" t="s">
        <v>151</v>
      </c>
      <c r="D8" s="67">
        <v>0.2</v>
      </c>
    </row>
    <row r="9" spans="1:5" ht="22.5" customHeight="1" thickBot="1">
      <c r="A9" s="65" t="s">
        <v>130</v>
      </c>
      <c r="B9" s="66" t="s">
        <v>132</v>
      </c>
      <c r="C9" s="66" t="s">
        <v>152</v>
      </c>
      <c r="D9" s="68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K86"/>
  <sheetViews>
    <sheetView topLeftCell="B1" zoomScaleNormal="100" workbookViewId="0">
      <selection activeCell="I12" sqref="I12"/>
    </sheetView>
  </sheetViews>
  <sheetFormatPr defaultRowHeight="15"/>
  <cols>
    <col min="1" max="1" width="8.85546875" style="1" hidden="1" customWidth="1"/>
    <col min="2" max="2" width="8.85546875" style="1" customWidth="1"/>
    <col min="3" max="3" width="11.5703125" style="1" bestFit="1" customWidth="1"/>
    <col min="4" max="4" width="11.5703125" style="1" customWidth="1"/>
    <col min="5" max="5" width="10.140625" bestFit="1" customWidth="1"/>
    <col min="6" max="6" width="22.85546875" bestFit="1" customWidth="1"/>
    <col min="7" max="8" width="17" hidden="1" customWidth="1"/>
    <col min="9" max="9" width="20.28515625" customWidth="1"/>
    <col min="10" max="10" width="17" bestFit="1" customWidth="1"/>
  </cols>
  <sheetData>
    <row r="1" spans="1:11" s="40" customFormat="1" ht="40.15" customHeight="1">
      <c r="A1" s="43"/>
      <c r="C1" s="47" t="s">
        <v>135</v>
      </c>
      <c r="D1" s="45"/>
      <c r="E1" s="45"/>
      <c r="F1" s="45"/>
      <c r="G1" s="45"/>
      <c r="H1" s="45"/>
      <c r="I1" s="45"/>
      <c r="J1" s="45"/>
    </row>
    <row r="2" spans="1:11" s="41" customFormat="1" ht="4.5" customHeight="1">
      <c r="A2" s="44"/>
      <c r="B2" s="44"/>
      <c r="C2" s="44"/>
      <c r="D2" s="44"/>
      <c r="E2" s="44"/>
    </row>
    <row r="3" spans="1:11" ht="4.5" customHeight="1">
      <c r="A3" s="42"/>
      <c r="B3" s="42"/>
      <c r="C3" s="42"/>
      <c r="D3" s="42"/>
      <c r="E3" s="42"/>
    </row>
    <row r="4" spans="1:11" ht="19.5">
      <c r="A4" s="11" t="s">
        <v>125</v>
      </c>
      <c r="B4" s="36" t="s">
        <v>31</v>
      </c>
      <c r="C4" s="36" t="s">
        <v>76</v>
      </c>
      <c r="D4" s="36" t="s">
        <v>30</v>
      </c>
      <c r="E4" s="36" t="s">
        <v>15</v>
      </c>
      <c r="F4" s="36" t="s">
        <v>11</v>
      </c>
      <c r="G4" s="36" t="s">
        <v>170</v>
      </c>
      <c r="H4" s="36" t="s">
        <v>169</v>
      </c>
      <c r="I4" s="36" t="s">
        <v>133</v>
      </c>
      <c r="J4" s="37" t="s">
        <v>16</v>
      </c>
      <c r="K4" s="36" t="s">
        <v>74</v>
      </c>
    </row>
    <row r="5" spans="1:11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">
        <v>1</v>
      </c>
      <c r="F5" s="29">
        <f>_xlfn.XLOOKUP(TB_Vendas[[#This Row],[Código]],TB_Produtos[Código],TB_Produtos[Preço Unitário])</f>
        <v>39.9</v>
      </c>
      <c r="G5" s="70">
        <f>INDEX(Desc_Tabela,MATCH(TB_Vendas[[#This Row],[Qtd]],Desc_Quantidades,1),MATCH(_xlfn.XLOOKUP(TB_Vendas[[#This Row],[Código]],TB_Produtos[Código],TB_Produtos[Categoria]),Desc_Categorias,0))</f>
        <v>0</v>
      </c>
      <c r="H5" s="70">
        <f>_xlfn.XLOOKUP(TB_Vendas[[#This Row],[Vendedor]],Vendedores!$A$5:$A$9,Vendedores!$D$5:$D$9)</f>
        <v>0.25</v>
      </c>
      <c r="I5" s="70">
        <f>IF(TB_Vendas[[#This Row],[Desc.]]&gt;TB_Vendas[[#This Row],[Desc. Vend.]],TB_Vendas[[#This Row],[Desc. Vend.]],TB_Vendas[[#This Row],[Desc.]])</f>
        <v>0</v>
      </c>
      <c r="J5" s="8">
        <f>TB_Vendas[[#This Row],[Preço Unitário]]*TB_Vendas[[#This Row],[Qtd]]</f>
        <v>39.9</v>
      </c>
      <c r="K5" s="1" t="s">
        <v>127</v>
      </c>
    </row>
    <row r="6" spans="1:11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">
        <v>1</v>
      </c>
      <c r="F6" s="29">
        <f>_xlfn.XLOOKUP(TB_Vendas[[#This Row],[Código]],TB_Produtos[Código],TB_Produtos[Preço Unitário])</f>
        <v>259.89999999999998</v>
      </c>
      <c r="G6" s="70">
        <f>INDEX(Desc_Tabela,MATCH(TB_Vendas[[#This Row],[Qtd]],Desc_Quantidades,1),MATCH(_xlfn.XLOOKUP(TB_Vendas[[#This Row],[Código]],TB_Produtos[Código],TB_Produtos[Categoria]),Desc_Categorias,0))</f>
        <v>0</v>
      </c>
      <c r="H6" s="70">
        <f>_xlfn.XLOOKUP(TB_Vendas[[#This Row],[Vendedor]],Vendedores!$A$5:$A$9,Vendedores!$D$5:$D$9)</f>
        <v>0.25</v>
      </c>
      <c r="I6" s="70">
        <f>IF(TB_Vendas[[#This Row],[Desc.]]&gt;TB_Vendas[[#This Row],[Desc. Vend.]],TB_Vendas[[#This Row],[Desc. Vend.]],TB_Vendas[[#This Row],[Desc.]])</f>
        <v>0</v>
      </c>
      <c r="J6" s="8">
        <f>TB_Vendas[[#This Row],[Preço Unitário]]*TB_Vendas[[#This Row],[Qtd]]</f>
        <v>259.89999999999998</v>
      </c>
      <c r="K6" s="1" t="s">
        <v>127</v>
      </c>
    </row>
    <row r="7" spans="1:11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">
        <v>2</v>
      </c>
      <c r="F7" s="29">
        <f>_xlfn.XLOOKUP(TB_Vendas[[#This Row],[Código]],TB_Produtos[Código],TB_Produtos[Preço Unitário])</f>
        <v>32.9</v>
      </c>
      <c r="G7" s="70">
        <f>INDEX(Desc_Tabela,MATCH(TB_Vendas[[#This Row],[Qtd]],Desc_Quantidades,1),MATCH(_xlfn.XLOOKUP(TB_Vendas[[#This Row],[Código]],TB_Produtos[Código],TB_Produtos[Categoria]),Desc_Categorias,0))</f>
        <v>0.15</v>
      </c>
      <c r="H7" s="70">
        <f>_xlfn.XLOOKUP(TB_Vendas[[#This Row],[Vendedor]],Vendedores!$A$5:$A$9,Vendedores!$D$5:$D$9)</f>
        <v>0.2</v>
      </c>
      <c r="I7" s="70">
        <f>IF(TB_Vendas[[#This Row],[Desc.]]&gt;TB_Vendas[[#This Row],[Desc. Vend.]],TB_Vendas[[#This Row],[Desc. Vend.]],TB_Vendas[[#This Row],[Desc.]])</f>
        <v>0.15</v>
      </c>
      <c r="J7" s="8">
        <f>TB_Vendas[[#This Row],[Preço Unitário]]*TB_Vendas[[#This Row],[Qtd]]</f>
        <v>65.8</v>
      </c>
      <c r="K7" s="1" t="s">
        <v>126</v>
      </c>
    </row>
    <row r="8" spans="1:11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">
        <v>1</v>
      </c>
      <c r="F8" s="29">
        <f>_xlfn.XLOOKUP(TB_Vendas[[#This Row],[Código]],TB_Produtos[Código],TB_Produtos[Preço Unitário])</f>
        <v>46.9</v>
      </c>
      <c r="G8" s="70">
        <f>INDEX(Desc_Tabela,MATCH(TB_Vendas[[#This Row],[Qtd]],Desc_Quantidades,1),MATCH(_xlfn.XLOOKUP(TB_Vendas[[#This Row],[Código]],TB_Produtos[Código],TB_Produtos[Categoria]),Desc_Categorias,0))</f>
        <v>0.1</v>
      </c>
      <c r="H8" s="70">
        <f>_xlfn.XLOOKUP(TB_Vendas[[#This Row],[Vendedor]],Vendedores!$A$5:$A$9,Vendedores!$D$5:$D$9)</f>
        <v>0.15</v>
      </c>
      <c r="I8" s="70">
        <f>IF(TB_Vendas[[#This Row],[Desc.]]&gt;TB_Vendas[[#This Row],[Desc. Vend.]],TB_Vendas[[#This Row],[Desc. Vend.]],TB_Vendas[[#This Row],[Desc.]])</f>
        <v>0.1</v>
      </c>
      <c r="J8" s="8">
        <f>TB_Vendas[[#This Row],[Preço Unitário]]*TB_Vendas[[#This Row],[Qtd]]</f>
        <v>46.9</v>
      </c>
      <c r="K8" s="1" t="s">
        <v>130</v>
      </c>
    </row>
    <row r="9" spans="1:11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">
        <v>1</v>
      </c>
      <c r="F9" s="29">
        <f>_xlfn.XLOOKUP(TB_Vendas[[#This Row],[Código]],TB_Produtos[Código],TB_Produtos[Preço Unitário])</f>
        <v>29.9</v>
      </c>
      <c r="G9" s="70">
        <f>INDEX(Desc_Tabela,MATCH(TB_Vendas[[#This Row],[Qtd]],Desc_Quantidades,1),MATCH(_xlfn.XLOOKUP(TB_Vendas[[#This Row],[Código]],TB_Produtos[Código],TB_Produtos[Categoria]),Desc_Categorias,0))</f>
        <v>0.1</v>
      </c>
      <c r="H9" s="70">
        <f>_xlfn.XLOOKUP(TB_Vendas[[#This Row],[Vendedor]],Vendedores!$A$5:$A$9,Vendedores!$D$5:$D$9)</f>
        <v>0.25</v>
      </c>
      <c r="I9" s="70">
        <f>IF(TB_Vendas[[#This Row],[Desc.]]&gt;TB_Vendas[[#This Row],[Desc. Vend.]],TB_Vendas[[#This Row],[Desc. Vend.]],TB_Vendas[[#This Row],[Desc.]])</f>
        <v>0.1</v>
      </c>
      <c r="J9" s="8">
        <f>TB_Vendas[[#This Row],[Preço Unitário]]*TB_Vendas[[#This Row],[Qtd]]</f>
        <v>29.9</v>
      </c>
      <c r="K9" s="1" t="s">
        <v>127</v>
      </c>
    </row>
    <row r="10" spans="1:11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">
        <v>1</v>
      </c>
      <c r="F10" s="29">
        <f>_xlfn.XLOOKUP(TB_Vendas[[#This Row],[Código]],TB_Produtos[Código],TB_Produtos[Preço Unitário])</f>
        <v>299.89999999999998</v>
      </c>
      <c r="G10" s="70">
        <f>INDEX(Desc_Tabela,MATCH(TB_Vendas[[#This Row],[Qtd]],Desc_Quantidades,1),MATCH(_xlfn.XLOOKUP(TB_Vendas[[#This Row],[Código]],TB_Produtos[Código],TB_Produtos[Categoria]),Desc_Categorias,0))</f>
        <v>0.1</v>
      </c>
      <c r="H10" s="70">
        <f>_xlfn.XLOOKUP(TB_Vendas[[#This Row],[Vendedor]],Vendedores!$A$5:$A$9,Vendedores!$D$5:$D$9)</f>
        <v>0.15</v>
      </c>
      <c r="I10" s="70">
        <f>IF(TB_Vendas[[#This Row],[Desc.]]&gt;TB_Vendas[[#This Row],[Desc. Vend.]],TB_Vendas[[#This Row],[Desc. Vend.]],TB_Vendas[[#This Row],[Desc.]])</f>
        <v>0.1</v>
      </c>
      <c r="J10" s="8">
        <f>TB_Vendas[[#This Row],[Preço Unitário]]*TB_Vendas[[#This Row],[Qtd]]</f>
        <v>299.89999999999998</v>
      </c>
      <c r="K10" s="1" t="s">
        <v>130</v>
      </c>
    </row>
    <row r="11" spans="1:11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">
        <v>1</v>
      </c>
      <c r="F11" s="29">
        <f>_xlfn.XLOOKUP(TB_Vendas[[#This Row],[Código]],TB_Produtos[Código],TB_Produtos[Preço Unitário])</f>
        <v>146</v>
      </c>
      <c r="G11" s="70">
        <f>INDEX(Desc_Tabela,MATCH(TB_Vendas[[#This Row],[Qtd]],Desc_Quantidades,1),MATCH(_xlfn.XLOOKUP(TB_Vendas[[#This Row],[Código]],TB_Produtos[Código],TB_Produtos[Categoria]),Desc_Categorias,0))</f>
        <v>0.1</v>
      </c>
      <c r="H11" s="70">
        <f>_xlfn.XLOOKUP(TB_Vendas[[#This Row],[Vendedor]],Vendedores!$A$5:$A$9,Vendedores!$D$5:$D$9)</f>
        <v>0.1</v>
      </c>
      <c r="I11" s="70">
        <f>IF(TB_Vendas[[#This Row],[Desc.]]&gt;TB_Vendas[[#This Row],[Desc. Vend.]],TB_Vendas[[#This Row],[Desc. Vend.]],TB_Vendas[[#This Row],[Desc.]])</f>
        <v>0.1</v>
      </c>
      <c r="J11" s="8">
        <f>TB_Vendas[[#This Row],[Preço Unitário]]*TB_Vendas[[#This Row],[Qtd]]</f>
        <v>146</v>
      </c>
      <c r="K11" s="1" t="s">
        <v>128</v>
      </c>
    </row>
    <row r="12" spans="1:11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">
        <v>2</v>
      </c>
      <c r="F12" s="29">
        <f>_xlfn.XLOOKUP(TB_Vendas[[#This Row],[Código]],TB_Produtos[Código],TB_Produtos[Preço Unitário])</f>
        <v>89.9</v>
      </c>
      <c r="G12" s="70">
        <f>INDEX(Desc_Tabela,MATCH(TB_Vendas[[#This Row],[Qtd]],Desc_Quantidades,1),MATCH(_xlfn.XLOOKUP(TB_Vendas[[#This Row],[Código]],TB_Produtos[Código],TB_Produtos[Categoria]),Desc_Categorias,0))</f>
        <v>0.15</v>
      </c>
      <c r="H12" s="70">
        <f>_xlfn.XLOOKUP(TB_Vendas[[#This Row],[Vendedor]],Vendedores!$A$5:$A$9,Vendedores!$D$5:$D$9)</f>
        <v>0.1</v>
      </c>
      <c r="I12" s="70">
        <f>IF(TB_Vendas[[#This Row],[Desc.]]&gt;TB_Vendas[[#This Row],[Desc. Vend.]],TB_Vendas[[#This Row],[Desc. Vend.]],TB_Vendas[[#This Row],[Desc.]])</f>
        <v>0.1</v>
      </c>
      <c r="J12" s="8">
        <f>TB_Vendas[[#This Row],[Preço Unitário]]*TB_Vendas[[#This Row],[Qtd]]</f>
        <v>179.8</v>
      </c>
      <c r="K12" s="1" t="s">
        <v>128</v>
      </c>
    </row>
    <row r="13" spans="1:11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">
        <v>2</v>
      </c>
      <c r="F13" s="29">
        <f>_xlfn.XLOOKUP(TB_Vendas[[#This Row],[Código]],TB_Produtos[Código],TB_Produtos[Preço Unitário])</f>
        <v>250</v>
      </c>
      <c r="G13" s="70">
        <f>INDEX(Desc_Tabela,MATCH(TB_Vendas[[#This Row],[Qtd]],Desc_Quantidades,1),MATCH(_xlfn.XLOOKUP(TB_Vendas[[#This Row],[Código]],TB_Produtos[Código],TB_Produtos[Categoria]),Desc_Categorias,0))</f>
        <v>0.1</v>
      </c>
      <c r="H13" s="70">
        <f>_xlfn.XLOOKUP(TB_Vendas[[#This Row],[Vendedor]],Vendedores!$A$5:$A$9,Vendedores!$D$5:$D$9)</f>
        <v>0.25</v>
      </c>
      <c r="I13" s="70">
        <f>IF(TB_Vendas[[#This Row],[Desc.]]&gt;TB_Vendas[[#This Row],[Desc. Vend.]],TB_Vendas[[#This Row],[Desc. Vend.]],TB_Vendas[[#This Row],[Desc.]])</f>
        <v>0.1</v>
      </c>
      <c r="J13" s="8">
        <f>TB_Vendas[[#This Row],[Preço Unitário]]*TB_Vendas[[#This Row],[Qtd]]</f>
        <v>500</v>
      </c>
      <c r="K13" s="1" t="s">
        <v>127</v>
      </c>
    </row>
    <row r="14" spans="1:11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">
        <v>1</v>
      </c>
      <c r="F14" s="29">
        <f>_xlfn.XLOOKUP(TB_Vendas[[#This Row],[Código]],TB_Produtos[Código],TB_Produtos[Preço Unitário])</f>
        <v>39.9</v>
      </c>
      <c r="G14" s="70">
        <f>INDEX(Desc_Tabela,MATCH(TB_Vendas[[#This Row],[Qtd]],Desc_Quantidades,1),MATCH(_xlfn.XLOOKUP(TB_Vendas[[#This Row],[Código]],TB_Produtos[Código],TB_Produtos[Categoria]),Desc_Categorias,0))</f>
        <v>0.1</v>
      </c>
      <c r="H14" s="70">
        <f>_xlfn.XLOOKUP(TB_Vendas[[#This Row],[Vendedor]],Vendedores!$A$5:$A$9,Vendedores!$D$5:$D$9)</f>
        <v>0.25</v>
      </c>
      <c r="I14" s="70">
        <f>IF(TB_Vendas[[#This Row],[Desc.]]&gt;TB_Vendas[[#This Row],[Desc. Vend.]],TB_Vendas[[#This Row],[Desc. Vend.]],TB_Vendas[[#This Row],[Desc.]])</f>
        <v>0.1</v>
      </c>
      <c r="J14" s="8">
        <f>TB_Vendas[[#This Row],[Preço Unitário]]*TB_Vendas[[#This Row],[Qtd]]</f>
        <v>39.9</v>
      </c>
      <c r="K14" s="1" t="s">
        <v>127</v>
      </c>
    </row>
    <row r="15" spans="1:11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">
        <v>1</v>
      </c>
      <c r="F15" s="29">
        <f>_xlfn.XLOOKUP(TB_Vendas[[#This Row],[Código]],TB_Produtos[Código],TB_Produtos[Preço Unitário])</f>
        <v>142.9</v>
      </c>
      <c r="G15" s="70">
        <f>INDEX(Desc_Tabela,MATCH(TB_Vendas[[#This Row],[Qtd]],Desc_Quantidades,1),MATCH(_xlfn.XLOOKUP(TB_Vendas[[#This Row],[Código]],TB_Produtos[Código],TB_Produtos[Categoria]),Desc_Categorias,0))</f>
        <v>0.1</v>
      </c>
      <c r="H15" s="70">
        <f>_xlfn.XLOOKUP(TB_Vendas[[#This Row],[Vendedor]],Vendedores!$A$5:$A$9,Vendedores!$D$5:$D$9)</f>
        <v>0.2</v>
      </c>
      <c r="I15" s="70">
        <f>IF(TB_Vendas[[#This Row],[Desc.]]&gt;TB_Vendas[[#This Row],[Desc. Vend.]],TB_Vendas[[#This Row],[Desc. Vend.]],TB_Vendas[[#This Row],[Desc.]])</f>
        <v>0.1</v>
      </c>
      <c r="J15" s="8">
        <f>TB_Vendas[[#This Row],[Preço Unitário]]*TB_Vendas[[#This Row],[Qtd]]</f>
        <v>142.9</v>
      </c>
      <c r="K15" s="1" t="s">
        <v>129</v>
      </c>
    </row>
    <row r="16" spans="1:11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">
        <v>1</v>
      </c>
      <c r="F16" s="29">
        <f>_xlfn.XLOOKUP(TB_Vendas[[#This Row],[Código]],TB_Produtos[Código],TB_Produtos[Preço Unitário])</f>
        <v>300</v>
      </c>
      <c r="G16" s="70">
        <f>INDEX(Desc_Tabela,MATCH(TB_Vendas[[#This Row],[Qtd]],Desc_Quantidades,1),MATCH(_xlfn.XLOOKUP(TB_Vendas[[#This Row],[Código]],TB_Produtos[Código],TB_Produtos[Categoria]),Desc_Categorias,0))</f>
        <v>0.1</v>
      </c>
      <c r="H16" s="70">
        <f>_xlfn.XLOOKUP(TB_Vendas[[#This Row],[Vendedor]],Vendedores!$A$5:$A$9,Vendedores!$D$5:$D$9)</f>
        <v>0.1</v>
      </c>
      <c r="I16" s="70">
        <f>IF(TB_Vendas[[#This Row],[Desc.]]&gt;TB_Vendas[[#This Row],[Desc. Vend.]],TB_Vendas[[#This Row],[Desc. Vend.]],TB_Vendas[[#This Row],[Desc.]])</f>
        <v>0.1</v>
      </c>
      <c r="J16" s="8">
        <f>TB_Vendas[[#This Row],[Preço Unitário]]*TB_Vendas[[#This Row],[Qtd]]</f>
        <v>300</v>
      </c>
      <c r="K16" s="1" t="s">
        <v>128</v>
      </c>
    </row>
    <row r="17" spans="1:11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">
        <v>2</v>
      </c>
      <c r="F17" s="29">
        <f>_xlfn.XLOOKUP(TB_Vendas[[#This Row],[Código]],TB_Produtos[Código],TB_Produtos[Preço Unitário])</f>
        <v>289.89999999999998</v>
      </c>
      <c r="G17" s="70">
        <f>INDEX(Desc_Tabela,MATCH(TB_Vendas[[#This Row],[Qtd]],Desc_Quantidades,1),MATCH(_xlfn.XLOOKUP(TB_Vendas[[#This Row],[Código]],TB_Produtos[Código],TB_Produtos[Categoria]),Desc_Categorias,0))</f>
        <v>0.15</v>
      </c>
      <c r="H17" s="70">
        <f>_xlfn.XLOOKUP(TB_Vendas[[#This Row],[Vendedor]],Vendedores!$A$5:$A$9,Vendedores!$D$5:$D$9)</f>
        <v>0.2</v>
      </c>
      <c r="I17" s="70">
        <f>IF(TB_Vendas[[#This Row],[Desc.]]&gt;TB_Vendas[[#This Row],[Desc. Vend.]],TB_Vendas[[#This Row],[Desc. Vend.]],TB_Vendas[[#This Row],[Desc.]])</f>
        <v>0.15</v>
      </c>
      <c r="J17" s="8">
        <f>TB_Vendas[[#This Row],[Preço Unitário]]*TB_Vendas[[#This Row],[Qtd]]</f>
        <v>579.79999999999995</v>
      </c>
      <c r="K17" s="1" t="s">
        <v>129</v>
      </c>
    </row>
    <row r="18" spans="1:11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">
        <v>1</v>
      </c>
      <c r="F18" s="29">
        <f>_xlfn.XLOOKUP(TB_Vendas[[#This Row],[Código]],TB_Produtos[Código],TB_Produtos[Preço Unitário])</f>
        <v>249.9</v>
      </c>
      <c r="G18" s="70">
        <f>INDEX(Desc_Tabela,MATCH(TB_Vendas[[#This Row],[Qtd]],Desc_Quantidades,1),MATCH(_xlfn.XLOOKUP(TB_Vendas[[#This Row],[Código]],TB_Produtos[Código],TB_Produtos[Categoria]),Desc_Categorias,0))</f>
        <v>0</v>
      </c>
      <c r="H18" s="70">
        <f>_xlfn.XLOOKUP(TB_Vendas[[#This Row],[Vendedor]],Vendedores!$A$5:$A$9,Vendedores!$D$5:$D$9)</f>
        <v>0.2</v>
      </c>
      <c r="I18" s="70">
        <f>IF(TB_Vendas[[#This Row],[Desc.]]&gt;TB_Vendas[[#This Row],[Desc. Vend.]],TB_Vendas[[#This Row],[Desc. Vend.]],TB_Vendas[[#This Row],[Desc.]])</f>
        <v>0</v>
      </c>
      <c r="J18" s="8">
        <f>TB_Vendas[[#This Row],[Preço Unitário]]*TB_Vendas[[#This Row],[Qtd]]</f>
        <v>249.9</v>
      </c>
      <c r="K18" s="1" t="s">
        <v>129</v>
      </c>
    </row>
    <row r="19" spans="1:11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">
        <v>2</v>
      </c>
      <c r="F19" s="29">
        <f>_xlfn.XLOOKUP(TB_Vendas[[#This Row],[Código]],TB_Produtos[Código],TB_Produtos[Preço Unitário])</f>
        <v>39.9</v>
      </c>
      <c r="G19" s="70">
        <f>INDEX(Desc_Tabela,MATCH(TB_Vendas[[#This Row],[Qtd]],Desc_Quantidades,1),MATCH(_xlfn.XLOOKUP(TB_Vendas[[#This Row],[Código]],TB_Produtos[Código],TB_Produtos[Categoria]),Desc_Categorias,0))</f>
        <v>0.15</v>
      </c>
      <c r="H19" s="70">
        <f>_xlfn.XLOOKUP(TB_Vendas[[#This Row],[Vendedor]],Vendedores!$A$5:$A$9,Vendedores!$D$5:$D$9)</f>
        <v>0.2</v>
      </c>
      <c r="I19" s="70">
        <f>IF(TB_Vendas[[#This Row],[Desc.]]&gt;TB_Vendas[[#This Row],[Desc. Vend.]],TB_Vendas[[#This Row],[Desc. Vend.]],TB_Vendas[[#This Row],[Desc.]])</f>
        <v>0.15</v>
      </c>
      <c r="J19" s="8">
        <f>TB_Vendas[[#This Row],[Preço Unitário]]*TB_Vendas[[#This Row],[Qtd]]</f>
        <v>79.8</v>
      </c>
      <c r="K19" s="1" t="s">
        <v>129</v>
      </c>
    </row>
    <row r="20" spans="1:11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">
        <v>4</v>
      </c>
      <c r="F20" s="29">
        <f>_xlfn.XLOOKUP(TB_Vendas[[#This Row],[Código]],TB_Produtos[Código],TB_Produtos[Preço Unitário])</f>
        <v>289.89999999999998</v>
      </c>
      <c r="G20" s="70">
        <f>INDEX(Desc_Tabela,MATCH(TB_Vendas[[#This Row],[Qtd]],Desc_Quantidades,1),MATCH(_xlfn.XLOOKUP(TB_Vendas[[#This Row],[Código]],TB_Produtos[Código],TB_Produtos[Categoria]),Desc_Categorias,0))</f>
        <v>0.2</v>
      </c>
      <c r="H20" s="70">
        <f>_xlfn.XLOOKUP(TB_Vendas[[#This Row],[Vendedor]],Vendedores!$A$5:$A$9,Vendedores!$D$5:$D$9)</f>
        <v>0.2</v>
      </c>
      <c r="I20" s="70">
        <f>IF(TB_Vendas[[#This Row],[Desc.]]&gt;TB_Vendas[[#This Row],[Desc. Vend.]],TB_Vendas[[#This Row],[Desc. Vend.]],TB_Vendas[[#This Row],[Desc.]])</f>
        <v>0.2</v>
      </c>
      <c r="J20" s="8">
        <f>TB_Vendas[[#This Row],[Preço Unitário]]*TB_Vendas[[#This Row],[Qtd]]</f>
        <v>1159.5999999999999</v>
      </c>
      <c r="K20" s="1" t="s">
        <v>129</v>
      </c>
    </row>
    <row r="21" spans="1:11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">
        <v>3</v>
      </c>
      <c r="F21" s="29">
        <f>_xlfn.XLOOKUP(TB_Vendas[[#This Row],[Código]],TB_Produtos[Código],TB_Produtos[Preço Unitário])</f>
        <v>180</v>
      </c>
      <c r="G21" s="70">
        <f>INDEX(Desc_Tabela,MATCH(TB_Vendas[[#This Row],[Qtd]],Desc_Quantidades,1),MATCH(_xlfn.XLOOKUP(TB_Vendas[[#This Row],[Código]],TB_Produtos[Código],TB_Produtos[Categoria]),Desc_Categorias,0))</f>
        <v>0.2</v>
      </c>
      <c r="H21" s="70">
        <f>_xlfn.XLOOKUP(TB_Vendas[[#This Row],[Vendedor]],Vendedores!$A$5:$A$9,Vendedores!$D$5:$D$9)</f>
        <v>0.25</v>
      </c>
      <c r="I21" s="70">
        <f>IF(TB_Vendas[[#This Row],[Desc.]]&gt;TB_Vendas[[#This Row],[Desc. Vend.]],TB_Vendas[[#This Row],[Desc. Vend.]],TB_Vendas[[#This Row],[Desc.]])</f>
        <v>0.2</v>
      </c>
      <c r="J21" s="8">
        <f>TB_Vendas[[#This Row],[Preço Unitário]]*TB_Vendas[[#This Row],[Qtd]]</f>
        <v>540</v>
      </c>
      <c r="K21" s="1" t="s">
        <v>127</v>
      </c>
    </row>
    <row r="22" spans="1:11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">
        <v>2</v>
      </c>
      <c r="F22" s="29">
        <f>_xlfn.XLOOKUP(TB_Vendas[[#This Row],[Código]],TB_Produtos[Código],TB_Produtos[Preço Unitário])</f>
        <v>32.9</v>
      </c>
      <c r="G22" s="70">
        <f>INDEX(Desc_Tabela,MATCH(TB_Vendas[[#This Row],[Qtd]],Desc_Quantidades,1),MATCH(_xlfn.XLOOKUP(TB_Vendas[[#This Row],[Código]],TB_Produtos[Código],TB_Produtos[Categoria]),Desc_Categorias,0))</f>
        <v>0.15</v>
      </c>
      <c r="H22" s="70">
        <f>_xlfn.XLOOKUP(TB_Vendas[[#This Row],[Vendedor]],Vendedores!$A$5:$A$9,Vendedores!$D$5:$D$9)</f>
        <v>0.2</v>
      </c>
      <c r="I22" s="70">
        <f>IF(TB_Vendas[[#This Row],[Desc.]]&gt;TB_Vendas[[#This Row],[Desc. Vend.]],TB_Vendas[[#This Row],[Desc. Vend.]],TB_Vendas[[#This Row],[Desc.]])</f>
        <v>0.15</v>
      </c>
      <c r="J22" s="8">
        <f>TB_Vendas[[#This Row],[Preço Unitário]]*TB_Vendas[[#This Row],[Qtd]]</f>
        <v>65.8</v>
      </c>
      <c r="K22" s="1" t="s">
        <v>126</v>
      </c>
    </row>
    <row r="23" spans="1:11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">
        <v>3</v>
      </c>
      <c r="F23" s="29">
        <f>_xlfn.XLOOKUP(TB_Vendas[[#This Row],[Código]],TB_Produtos[Código],TB_Produtos[Preço Unitário])</f>
        <v>255</v>
      </c>
      <c r="G23" s="70">
        <f>INDEX(Desc_Tabela,MATCH(TB_Vendas[[#This Row],[Qtd]],Desc_Quantidades,1),MATCH(_xlfn.XLOOKUP(TB_Vendas[[#This Row],[Código]],TB_Produtos[Código],TB_Produtos[Categoria]),Desc_Categorias,0))</f>
        <v>0.15</v>
      </c>
      <c r="H23" s="70">
        <f>_xlfn.XLOOKUP(TB_Vendas[[#This Row],[Vendedor]],Vendedores!$A$5:$A$9,Vendedores!$D$5:$D$9)</f>
        <v>0.2</v>
      </c>
      <c r="I23" s="70">
        <f>IF(TB_Vendas[[#This Row],[Desc.]]&gt;TB_Vendas[[#This Row],[Desc. Vend.]],TB_Vendas[[#This Row],[Desc. Vend.]],TB_Vendas[[#This Row],[Desc.]])</f>
        <v>0.15</v>
      </c>
      <c r="J23" s="8">
        <f>TB_Vendas[[#This Row],[Preço Unitário]]*TB_Vendas[[#This Row],[Qtd]]</f>
        <v>765</v>
      </c>
      <c r="K23" s="1" t="s">
        <v>129</v>
      </c>
    </row>
    <row r="24" spans="1:11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">
        <v>1</v>
      </c>
      <c r="F24" s="29">
        <f>_xlfn.XLOOKUP(TB_Vendas[[#This Row],[Código]],TB_Produtos[Código],TB_Produtos[Preço Unitário])</f>
        <v>142.9</v>
      </c>
      <c r="G24" s="70">
        <f>INDEX(Desc_Tabela,MATCH(TB_Vendas[[#This Row],[Qtd]],Desc_Quantidades,1),MATCH(_xlfn.XLOOKUP(TB_Vendas[[#This Row],[Código]],TB_Produtos[Código],TB_Produtos[Categoria]),Desc_Categorias,0))</f>
        <v>0.1</v>
      </c>
      <c r="H24" s="70">
        <f>_xlfn.XLOOKUP(TB_Vendas[[#This Row],[Vendedor]],Vendedores!$A$5:$A$9,Vendedores!$D$5:$D$9)</f>
        <v>0.2</v>
      </c>
      <c r="I24" s="70">
        <f>IF(TB_Vendas[[#This Row],[Desc.]]&gt;TB_Vendas[[#This Row],[Desc. Vend.]],TB_Vendas[[#This Row],[Desc. Vend.]],TB_Vendas[[#This Row],[Desc.]])</f>
        <v>0.1</v>
      </c>
      <c r="J24" s="8">
        <f>TB_Vendas[[#This Row],[Preço Unitário]]*TB_Vendas[[#This Row],[Qtd]]</f>
        <v>142.9</v>
      </c>
      <c r="K24" s="1" t="s">
        <v>126</v>
      </c>
    </row>
    <row r="25" spans="1:11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">
        <v>4</v>
      </c>
      <c r="F25" s="29">
        <f>_xlfn.XLOOKUP(TB_Vendas[[#This Row],[Código]],TB_Produtos[Código],TB_Produtos[Preço Unitário])</f>
        <v>92.9</v>
      </c>
      <c r="G25" s="70">
        <f>INDEX(Desc_Tabela,MATCH(TB_Vendas[[#This Row],[Qtd]],Desc_Quantidades,1),MATCH(_xlfn.XLOOKUP(TB_Vendas[[#This Row],[Código]],TB_Produtos[Código],TB_Produtos[Categoria]),Desc_Categorias,0))</f>
        <v>0.2</v>
      </c>
      <c r="H25" s="70">
        <f>_xlfn.XLOOKUP(TB_Vendas[[#This Row],[Vendedor]],Vendedores!$A$5:$A$9,Vendedores!$D$5:$D$9)</f>
        <v>0.1</v>
      </c>
      <c r="I25" s="70">
        <f>IF(TB_Vendas[[#This Row],[Desc.]]&gt;TB_Vendas[[#This Row],[Desc. Vend.]],TB_Vendas[[#This Row],[Desc. Vend.]],TB_Vendas[[#This Row],[Desc.]])</f>
        <v>0.1</v>
      </c>
      <c r="J25" s="8">
        <f>TB_Vendas[[#This Row],[Preço Unitário]]*TB_Vendas[[#This Row],[Qtd]]</f>
        <v>371.6</v>
      </c>
      <c r="K25" s="1" t="s">
        <v>128</v>
      </c>
    </row>
    <row r="26" spans="1:11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">
        <v>2</v>
      </c>
      <c r="F26" s="29">
        <f>_xlfn.XLOOKUP(TB_Vendas[[#This Row],[Código]],TB_Produtos[Código],TB_Produtos[Preço Unitário])</f>
        <v>54.9</v>
      </c>
      <c r="G26" s="70">
        <f>INDEX(Desc_Tabela,MATCH(TB_Vendas[[#This Row],[Qtd]],Desc_Quantidades,1),MATCH(_xlfn.XLOOKUP(TB_Vendas[[#This Row],[Código]],TB_Produtos[Código],TB_Produtos[Categoria]),Desc_Categorias,0))</f>
        <v>0.15</v>
      </c>
      <c r="H26" s="70">
        <f>_xlfn.XLOOKUP(TB_Vendas[[#This Row],[Vendedor]],Vendedores!$A$5:$A$9,Vendedores!$D$5:$D$9)</f>
        <v>0.2</v>
      </c>
      <c r="I26" s="70">
        <f>IF(TB_Vendas[[#This Row],[Desc.]]&gt;TB_Vendas[[#This Row],[Desc. Vend.]],TB_Vendas[[#This Row],[Desc. Vend.]],TB_Vendas[[#This Row],[Desc.]])</f>
        <v>0.15</v>
      </c>
      <c r="J26" s="8">
        <f>TB_Vendas[[#This Row],[Preço Unitário]]*TB_Vendas[[#This Row],[Qtd]]</f>
        <v>109.8</v>
      </c>
      <c r="K26" s="1" t="s">
        <v>126</v>
      </c>
    </row>
    <row r="27" spans="1:11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">
        <v>3</v>
      </c>
      <c r="F27" s="29">
        <f>_xlfn.XLOOKUP(TB_Vendas[[#This Row],[Código]],TB_Produtos[Código],TB_Produtos[Preço Unitário])</f>
        <v>142.9</v>
      </c>
      <c r="G27" s="70">
        <f>INDEX(Desc_Tabela,MATCH(TB_Vendas[[#This Row],[Qtd]],Desc_Quantidades,1),MATCH(_xlfn.XLOOKUP(TB_Vendas[[#This Row],[Código]],TB_Produtos[Código],TB_Produtos[Categoria]),Desc_Categorias,0))</f>
        <v>0.2</v>
      </c>
      <c r="H27" s="70">
        <f>_xlfn.XLOOKUP(TB_Vendas[[#This Row],[Vendedor]],Vendedores!$A$5:$A$9,Vendedores!$D$5:$D$9)</f>
        <v>0.25</v>
      </c>
      <c r="I27" s="70">
        <f>IF(TB_Vendas[[#This Row],[Desc.]]&gt;TB_Vendas[[#This Row],[Desc. Vend.]],TB_Vendas[[#This Row],[Desc. Vend.]],TB_Vendas[[#This Row],[Desc.]])</f>
        <v>0.2</v>
      </c>
      <c r="J27" s="8">
        <f>TB_Vendas[[#This Row],[Preço Unitário]]*TB_Vendas[[#This Row],[Qtd]]</f>
        <v>428.70000000000005</v>
      </c>
      <c r="K27" s="1" t="s">
        <v>127</v>
      </c>
    </row>
    <row r="28" spans="1:11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">
        <v>2</v>
      </c>
      <c r="F28" s="29">
        <f>_xlfn.XLOOKUP(TB_Vendas[[#This Row],[Código]],TB_Produtos[Código],TB_Produtos[Preço Unitário])</f>
        <v>120</v>
      </c>
      <c r="G28" s="70">
        <f>INDEX(Desc_Tabela,MATCH(TB_Vendas[[#This Row],[Qtd]],Desc_Quantidades,1),MATCH(_xlfn.XLOOKUP(TB_Vendas[[#This Row],[Código]],TB_Produtos[Código],TB_Produtos[Categoria]),Desc_Categorias,0))</f>
        <v>0.05</v>
      </c>
      <c r="H28" s="70">
        <f>_xlfn.XLOOKUP(TB_Vendas[[#This Row],[Vendedor]],Vendedores!$A$5:$A$9,Vendedores!$D$5:$D$9)</f>
        <v>0.25</v>
      </c>
      <c r="I28" s="70">
        <f>IF(TB_Vendas[[#This Row],[Desc.]]&gt;TB_Vendas[[#This Row],[Desc. Vend.]],TB_Vendas[[#This Row],[Desc. Vend.]],TB_Vendas[[#This Row],[Desc.]])</f>
        <v>0.05</v>
      </c>
      <c r="J28" s="8">
        <f>TB_Vendas[[#This Row],[Preço Unitário]]*TB_Vendas[[#This Row],[Qtd]]</f>
        <v>240</v>
      </c>
      <c r="K28" s="1" t="s">
        <v>127</v>
      </c>
    </row>
    <row r="29" spans="1:11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">
        <v>1</v>
      </c>
      <c r="F29" s="29">
        <f>_xlfn.XLOOKUP(TB_Vendas[[#This Row],[Código]],TB_Produtos[Código],TB_Produtos[Preço Unitário])</f>
        <v>65.900000000000006</v>
      </c>
      <c r="G29" s="70">
        <f>INDEX(Desc_Tabela,MATCH(TB_Vendas[[#This Row],[Qtd]],Desc_Quantidades,1),MATCH(_xlfn.XLOOKUP(TB_Vendas[[#This Row],[Código]],TB_Produtos[Código],TB_Produtos[Categoria]),Desc_Categorias,0))</f>
        <v>0.1</v>
      </c>
      <c r="H29" s="70">
        <f>_xlfn.XLOOKUP(TB_Vendas[[#This Row],[Vendedor]],Vendedores!$A$5:$A$9,Vendedores!$D$5:$D$9)</f>
        <v>0.2</v>
      </c>
      <c r="I29" s="70">
        <f>IF(TB_Vendas[[#This Row],[Desc.]]&gt;TB_Vendas[[#This Row],[Desc. Vend.]],TB_Vendas[[#This Row],[Desc. Vend.]],TB_Vendas[[#This Row],[Desc.]])</f>
        <v>0.1</v>
      </c>
      <c r="J29" s="8">
        <f>TB_Vendas[[#This Row],[Preço Unitário]]*TB_Vendas[[#This Row],[Qtd]]</f>
        <v>65.900000000000006</v>
      </c>
      <c r="K29" s="1" t="s">
        <v>129</v>
      </c>
    </row>
    <row r="30" spans="1:11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">
        <v>5</v>
      </c>
      <c r="F30" s="29">
        <f>_xlfn.XLOOKUP(TB_Vendas[[#This Row],[Código]],TB_Produtos[Código],TB_Produtos[Preço Unitário])</f>
        <v>32.9</v>
      </c>
      <c r="G30" s="70">
        <f>INDEX(Desc_Tabela,MATCH(TB_Vendas[[#This Row],[Qtd]],Desc_Quantidades,1),MATCH(_xlfn.XLOOKUP(TB_Vendas[[#This Row],[Código]],TB_Produtos[Código],TB_Produtos[Categoria]),Desc_Categorias,0))</f>
        <v>0.25</v>
      </c>
      <c r="H30" s="70">
        <f>_xlfn.XLOOKUP(TB_Vendas[[#This Row],[Vendedor]],Vendedores!$A$5:$A$9,Vendedores!$D$5:$D$9)</f>
        <v>0.15</v>
      </c>
      <c r="I30" s="70">
        <f>IF(TB_Vendas[[#This Row],[Desc.]]&gt;TB_Vendas[[#This Row],[Desc. Vend.]],TB_Vendas[[#This Row],[Desc. Vend.]],TB_Vendas[[#This Row],[Desc.]])</f>
        <v>0.15</v>
      </c>
      <c r="J30" s="8">
        <f>TB_Vendas[[#This Row],[Preço Unitário]]*TB_Vendas[[#This Row],[Qtd]]</f>
        <v>164.5</v>
      </c>
      <c r="K30" s="1" t="s">
        <v>130</v>
      </c>
    </row>
    <row r="31" spans="1:11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">
        <v>2</v>
      </c>
      <c r="F31" s="29">
        <f>_xlfn.XLOOKUP(TB_Vendas[[#This Row],[Código]],TB_Produtos[Código],TB_Produtos[Preço Unitário])</f>
        <v>180</v>
      </c>
      <c r="G31" s="70">
        <f>INDEX(Desc_Tabela,MATCH(TB_Vendas[[#This Row],[Qtd]],Desc_Quantidades,1),MATCH(_xlfn.XLOOKUP(TB_Vendas[[#This Row],[Código]],TB_Produtos[Código],TB_Produtos[Categoria]),Desc_Categorias,0))</f>
        <v>0.15</v>
      </c>
      <c r="H31" s="70">
        <f>_xlfn.XLOOKUP(TB_Vendas[[#This Row],[Vendedor]],Vendedores!$A$5:$A$9,Vendedores!$D$5:$D$9)</f>
        <v>0.25</v>
      </c>
      <c r="I31" s="70">
        <f>IF(TB_Vendas[[#This Row],[Desc.]]&gt;TB_Vendas[[#This Row],[Desc. Vend.]],TB_Vendas[[#This Row],[Desc. Vend.]],TB_Vendas[[#This Row],[Desc.]])</f>
        <v>0.15</v>
      </c>
      <c r="J31" s="8">
        <f>TB_Vendas[[#This Row],[Preço Unitário]]*TB_Vendas[[#This Row],[Qtd]]</f>
        <v>360</v>
      </c>
      <c r="K31" s="1" t="s">
        <v>127</v>
      </c>
    </row>
    <row r="32" spans="1:11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">
        <v>3</v>
      </c>
      <c r="F32" s="29">
        <f>_xlfn.XLOOKUP(TB_Vendas[[#This Row],[Código]],TB_Produtos[Código],TB_Produtos[Preço Unitário])</f>
        <v>349.9</v>
      </c>
      <c r="G32" s="70">
        <f>INDEX(Desc_Tabela,MATCH(TB_Vendas[[#This Row],[Qtd]],Desc_Quantidades,1),MATCH(_xlfn.XLOOKUP(TB_Vendas[[#This Row],[Código]],TB_Produtos[Código],TB_Produtos[Categoria]),Desc_Categorias,0))</f>
        <v>0.15</v>
      </c>
      <c r="H32" s="70">
        <f>_xlfn.XLOOKUP(TB_Vendas[[#This Row],[Vendedor]],Vendedores!$A$5:$A$9,Vendedores!$D$5:$D$9)</f>
        <v>0.2</v>
      </c>
      <c r="I32" s="70">
        <f>IF(TB_Vendas[[#This Row],[Desc.]]&gt;TB_Vendas[[#This Row],[Desc. Vend.]],TB_Vendas[[#This Row],[Desc. Vend.]],TB_Vendas[[#This Row],[Desc.]])</f>
        <v>0.15</v>
      </c>
      <c r="J32" s="8">
        <f>TB_Vendas[[#This Row],[Preço Unitário]]*TB_Vendas[[#This Row],[Qtd]]</f>
        <v>1049.6999999999998</v>
      </c>
      <c r="K32" s="1" t="s">
        <v>126</v>
      </c>
    </row>
    <row r="33" spans="1:11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">
        <v>1</v>
      </c>
      <c r="F33" s="29">
        <f>_xlfn.XLOOKUP(TB_Vendas[[#This Row],[Código]],TB_Produtos[Código],TB_Produtos[Preço Unitário])</f>
        <v>72.5</v>
      </c>
      <c r="G33" s="70">
        <f>INDEX(Desc_Tabela,MATCH(TB_Vendas[[#This Row],[Qtd]],Desc_Quantidades,1),MATCH(_xlfn.XLOOKUP(TB_Vendas[[#This Row],[Código]],TB_Produtos[Código],TB_Produtos[Categoria]),Desc_Categorias,0))</f>
        <v>0.1</v>
      </c>
      <c r="H33" s="70">
        <f>_xlfn.XLOOKUP(TB_Vendas[[#This Row],[Vendedor]],Vendedores!$A$5:$A$9,Vendedores!$D$5:$D$9)</f>
        <v>0.1</v>
      </c>
      <c r="I33" s="70">
        <f>IF(TB_Vendas[[#This Row],[Desc.]]&gt;TB_Vendas[[#This Row],[Desc. Vend.]],TB_Vendas[[#This Row],[Desc. Vend.]],TB_Vendas[[#This Row],[Desc.]])</f>
        <v>0.1</v>
      </c>
      <c r="J33" s="8">
        <f>TB_Vendas[[#This Row],[Preço Unitário]]*TB_Vendas[[#This Row],[Qtd]]</f>
        <v>72.5</v>
      </c>
      <c r="K33" s="1" t="s">
        <v>128</v>
      </c>
    </row>
    <row r="34" spans="1:11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">
        <v>4</v>
      </c>
      <c r="F34" s="29">
        <f>_xlfn.XLOOKUP(TB_Vendas[[#This Row],[Código]],TB_Produtos[Código],TB_Produtos[Preço Unitário])</f>
        <v>259.89999999999998</v>
      </c>
      <c r="G34" s="70">
        <f>INDEX(Desc_Tabela,MATCH(TB_Vendas[[#This Row],[Qtd]],Desc_Quantidades,1),MATCH(_xlfn.XLOOKUP(TB_Vendas[[#This Row],[Código]],TB_Produtos[Código],TB_Produtos[Categoria]),Desc_Categorias,0))</f>
        <v>0.2</v>
      </c>
      <c r="H34" s="70">
        <f>_xlfn.XLOOKUP(TB_Vendas[[#This Row],[Vendedor]],Vendedores!$A$5:$A$9,Vendedores!$D$5:$D$9)</f>
        <v>0.2</v>
      </c>
      <c r="I34" s="70">
        <f>IF(TB_Vendas[[#This Row],[Desc.]]&gt;TB_Vendas[[#This Row],[Desc. Vend.]],TB_Vendas[[#This Row],[Desc. Vend.]],TB_Vendas[[#This Row],[Desc.]])</f>
        <v>0.2</v>
      </c>
      <c r="J34" s="8">
        <f>TB_Vendas[[#This Row],[Preço Unitário]]*TB_Vendas[[#This Row],[Qtd]]</f>
        <v>1039.5999999999999</v>
      </c>
      <c r="K34" s="1" t="s">
        <v>126</v>
      </c>
    </row>
    <row r="35" spans="1:11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">
        <v>3</v>
      </c>
      <c r="F35" s="29">
        <f>_xlfn.XLOOKUP(TB_Vendas[[#This Row],[Código]],TB_Produtos[Código],TB_Produtos[Preço Unitário])</f>
        <v>25.9</v>
      </c>
      <c r="G35" s="70">
        <f>INDEX(Desc_Tabela,MATCH(TB_Vendas[[#This Row],[Qtd]],Desc_Quantidades,1),MATCH(_xlfn.XLOOKUP(TB_Vendas[[#This Row],[Código]],TB_Produtos[Código],TB_Produtos[Categoria]),Desc_Categorias,0))</f>
        <v>0.2</v>
      </c>
      <c r="H35" s="70">
        <f>_xlfn.XLOOKUP(TB_Vendas[[#This Row],[Vendedor]],Vendedores!$A$5:$A$9,Vendedores!$D$5:$D$9)</f>
        <v>0.25</v>
      </c>
      <c r="I35" s="70">
        <f>IF(TB_Vendas[[#This Row],[Desc.]]&gt;TB_Vendas[[#This Row],[Desc. Vend.]],TB_Vendas[[#This Row],[Desc. Vend.]],TB_Vendas[[#This Row],[Desc.]])</f>
        <v>0.2</v>
      </c>
      <c r="J35" s="8">
        <f>TB_Vendas[[#This Row],[Preço Unitário]]*TB_Vendas[[#This Row],[Qtd]]</f>
        <v>77.699999999999989</v>
      </c>
      <c r="K35" s="1" t="s">
        <v>127</v>
      </c>
    </row>
    <row r="36" spans="1:11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">
        <v>2</v>
      </c>
      <c r="F36" s="29">
        <f>_xlfn.XLOOKUP(TB_Vendas[[#This Row],[Código]],TB_Produtos[Código],TB_Produtos[Preço Unitário])</f>
        <v>145</v>
      </c>
      <c r="G36" s="70">
        <f>INDEX(Desc_Tabela,MATCH(TB_Vendas[[#This Row],[Qtd]],Desc_Quantidades,1),MATCH(_xlfn.XLOOKUP(TB_Vendas[[#This Row],[Código]],TB_Produtos[Código],TB_Produtos[Categoria]),Desc_Categorias,0))</f>
        <v>0.05</v>
      </c>
      <c r="H36" s="70">
        <f>_xlfn.XLOOKUP(TB_Vendas[[#This Row],[Vendedor]],Vendedores!$A$5:$A$9,Vendedores!$D$5:$D$9)</f>
        <v>0.2</v>
      </c>
      <c r="I36" s="70">
        <f>IF(TB_Vendas[[#This Row],[Desc.]]&gt;TB_Vendas[[#This Row],[Desc. Vend.]],TB_Vendas[[#This Row],[Desc. Vend.]],TB_Vendas[[#This Row],[Desc.]])</f>
        <v>0.05</v>
      </c>
      <c r="J36" s="8">
        <f>TB_Vendas[[#This Row],[Preço Unitário]]*TB_Vendas[[#This Row],[Qtd]]</f>
        <v>290</v>
      </c>
      <c r="K36" s="1" t="s">
        <v>126</v>
      </c>
    </row>
    <row r="37" spans="1:11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">
        <v>1</v>
      </c>
      <c r="F37" s="29">
        <f>_xlfn.XLOOKUP(TB_Vendas[[#This Row],[Código]],TB_Produtos[Código],TB_Produtos[Preço Unitário])</f>
        <v>39.9</v>
      </c>
      <c r="G37" s="70">
        <f>INDEX(Desc_Tabela,MATCH(TB_Vendas[[#This Row],[Qtd]],Desc_Quantidades,1),MATCH(_xlfn.XLOOKUP(TB_Vendas[[#This Row],[Código]],TB_Produtos[Código],TB_Produtos[Categoria]),Desc_Categorias,0))</f>
        <v>0</v>
      </c>
      <c r="H37" s="70">
        <f>_xlfn.XLOOKUP(TB_Vendas[[#This Row],[Vendedor]],Vendedores!$A$5:$A$9,Vendedores!$D$5:$D$9)</f>
        <v>0.25</v>
      </c>
      <c r="I37" s="70">
        <f>IF(TB_Vendas[[#This Row],[Desc.]]&gt;TB_Vendas[[#This Row],[Desc. Vend.]],TB_Vendas[[#This Row],[Desc. Vend.]],TB_Vendas[[#This Row],[Desc.]])</f>
        <v>0</v>
      </c>
      <c r="J37" s="8">
        <f>TB_Vendas[[#This Row],[Preço Unitário]]*TB_Vendas[[#This Row],[Qtd]]</f>
        <v>39.9</v>
      </c>
      <c r="K37" s="1" t="s">
        <v>127</v>
      </c>
    </row>
    <row r="38" spans="1:11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">
        <v>3</v>
      </c>
      <c r="F38" s="29">
        <f>_xlfn.XLOOKUP(TB_Vendas[[#This Row],[Código]],TB_Produtos[Código],TB_Produtos[Preço Unitário])</f>
        <v>349.9</v>
      </c>
      <c r="G38" s="70">
        <f>INDEX(Desc_Tabela,MATCH(TB_Vendas[[#This Row],[Qtd]],Desc_Quantidades,1),MATCH(_xlfn.XLOOKUP(TB_Vendas[[#This Row],[Código]],TB_Produtos[Código],TB_Produtos[Categoria]),Desc_Categorias,0))</f>
        <v>0.15</v>
      </c>
      <c r="H38" s="70">
        <f>_xlfn.XLOOKUP(TB_Vendas[[#This Row],[Vendedor]],Vendedores!$A$5:$A$9,Vendedores!$D$5:$D$9)</f>
        <v>0.2</v>
      </c>
      <c r="I38" s="70">
        <f>IF(TB_Vendas[[#This Row],[Desc.]]&gt;TB_Vendas[[#This Row],[Desc. Vend.]],TB_Vendas[[#This Row],[Desc. Vend.]],TB_Vendas[[#This Row],[Desc.]])</f>
        <v>0.15</v>
      </c>
      <c r="J38" s="8">
        <f>TB_Vendas[[#This Row],[Preço Unitário]]*TB_Vendas[[#This Row],[Qtd]]</f>
        <v>1049.6999999999998</v>
      </c>
      <c r="K38" s="1" t="s">
        <v>129</v>
      </c>
    </row>
    <row r="39" spans="1:11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">
        <v>4</v>
      </c>
      <c r="F39" s="29">
        <f>_xlfn.XLOOKUP(TB_Vendas[[#This Row],[Código]],TB_Produtos[Código],TB_Produtos[Preço Unitário])</f>
        <v>89.9</v>
      </c>
      <c r="G39" s="70">
        <f>INDEX(Desc_Tabela,MATCH(TB_Vendas[[#This Row],[Qtd]],Desc_Quantidades,1),MATCH(_xlfn.XLOOKUP(TB_Vendas[[#This Row],[Código]],TB_Produtos[Código],TB_Produtos[Categoria]),Desc_Categorias,0))</f>
        <v>0.15</v>
      </c>
      <c r="H39" s="70">
        <f>_xlfn.XLOOKUP(TB_Vendas[[#This Row],[Vendedor]],Vendedores!$A$5:$A$9,Vendedores!$D$5:$D$9)</f>
        <v>0.2</v>
      </c>
      <c r="I39" s="70">
        <f>IF(TB_Vendas[[#This Row],[Desc.]]&gt;TB_Vendas[[#This Row],[Desc. Vend.]],TB_Vendas[[#This Row],[Desc. Vend.]],TB_Vendas[[#This Row],[Desc.]])</f>
        <v>0.15</v>
      </c>
      <c r="J39" s="8">
        <f>TB_Vendas[[#This Row],[Preço Unitário]]*TB_Vendas[[#This Row],[Qtd]]</f>
        <v>359.6</v>
      </c>
      <c r="K39" s="1" t="s">
        <v>126</v>
      </c>
    </row>
    <row r="40" spans="1:11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">
        <v>2</v>
      </c>
      <c r="F40" s="29">
        <f>_xlfn.XLOOKUP(TB_Vendas[[#This Row],[Código]],TB_Produtos[Código],TB_Produtos[Preço Unitário])</f>
        <v>89.9</v>
      </c>
      <c r="G40" s="70">
        <f>INDEX(Desc_Tabela,MATCH(TB_Vendas[[#This Row],[Qtd]],Desc_Quantidades,1),MATCH(_xlfn.XLOOKUP(TB_Vendas[[#This Row],[Código]],TB_Produtos[Código],TB_Produtos[Categoria]),Desc_Categorias,0))</f>
        <v>0.1</v>
      </c>
      <c r="H40" s="70">
        <f>_xlfn.XLOOKUP(TB_Vendas[[#This Row],[Vendedor]],Vendedores!$A$5:$A$9,Vendedores!$D$5:$D$9)</f>
        <v>0.2</v>
      </c>
      <c r="I40" s="70">
        <f>IF(TB_Vendas[[#This Row],[Desc.]]&gt;TB_Vendas[[#This Row],[Desc. Vend.]],TB_Vendas[[#This Row],[Desc. Vend.]],TB_Vendas[[#This Row],[Desc.]])</f>
        <v>0.1</v>
      </c>
      <c r="J40" s="8">
        <f>TB_Vendas[[#This Row],[Preço Unitário]]*TB_Vendas[[#This Row],[Qtd]]</f>
        <v>179.8</v>
      </c>
      <c r="K40" s="1" t="s">
        <v>129</v>
      </c>
    </row>
    <row r="41" spans="1:11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">
        <v>3</v>
      </c>
      <c r="F41" s="29">
        <f>_xlfn.XLOOKUP(TB_Vendas[[#This Row],[Código]],TB_Produtos[Código],TB_Produtos[Preço Unitário])</f>
        <v>69.900000000000006</v>
      </c>
      <c r="G41" s="70">
        <f>INDEX(Desc_Tabela,MATCH(TB_Vendas[[#This Row],[Qtd]],Desc_Quantidades,1),MATCH(_xlfn.XLOOKUP(TB_Vendas[[#This Row],[Código]],TB_Produtos[Código],TB_Produtos[Categoria]),Desc_Categorias,0))</f>
        <v>0.2</v>
      </c>
      <c r="H41" s="70">
        <f>_xlfn.XLOOKUP(TB_Vendas[[#This Row],[Vendedor]],Vendedores!$A$5:$A$9,Vendedores!$D$5:$D$9)</f>
        <v>0.2</v>
      </c>
      <c r="I41" s="70">
        <f>IF(TB_Vendas[[#This Row],[Desc.]]&gt;TB_Vendas[[#This Row],[Desc. Vend.]],TB_Vendas[[#This Row],[Desc. Vend.]],TB_Vendas[[#This Row],[Desc.]])</f>
        <v>0.2</v>
      </c>
      <c r="J41" s="8">
        <f>TB_Vendas[[#This Row],[Preço Unitário]]*TB_Vendas[[#This Row],[Qtd]]</f>
        <v>209.70000000000002</v>
      </c>
      <c r="K41" s="1" t="s">
        <v>126</v>
      </c>
    </row>
    <row r="42" spans="1:11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">
        <v>1</v>
      </c>
      <c r="F42" s="29">
        <f>_xlfn.XLOOKUP(TB_Vendas[[#This Row],[Código]],TB_Produtos[Código],TB_Produtos[Preço Unitário])</f>
        <v>145</v>
      </c>
      <c r="G42" s="70">
        <f>INDEX(Desc_Tabela,MATCH(TB_Vendas[[#This Row],[Qtd]],Desc_Quantidades,1),MATCH(_xlfn.XLOOKUP(TB_Vendas[[#This Row],[Código]],TB_Produtos[Código],TB_Produtos[Categoria]),Desc_Categorias,0))</f>
        <v>0</v>
      </c>
      <c r="H42" s="70">
        <f>_xlfn.XLOOKUP(TB_Vendas[[#This Row],[Vendedor]],Vendedores!$A$5:$A$9,Vendedores!$D$5:$D$9)</f>
        <v>0.15</v>
      </c>
      <c r="I42" s="70">
        <f>IF(TB_Vendas[[#This Row],[Desc.]]&gt;TB_Vendas[[#This Row],[Desc. Vend.]],TB_Vendas[[#This Row],[Desc. Vend.]],TB_Vendas[[#This Row],[Desc.]])</f>
        <v>0</v>
      </c>
      <c r="J42" s="8">
        <f>TB_Vendas[[#This Row],[Preço Unitário]]*TB_Vendas[[#This Row],[Qtd]]</f>
        <v>145</v>
      </c>
      <c r="K42" s="1" t="s">
        <v>130</v>
      </c>
    </row>
    <row r="43" spans="1:11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">
        <v>4</v>
      </c>
      <c r="F43" s="29">
        <f>_xlfn.XLOOKUP(TB_Vendas[[#This Row],[Código]],TB_Produtos[Código],TB_Produtos[Preço Unitário])</f>
        <v>46.9</v>
      </c>
      <c r="G43" s="70">
        <f>INDEX(Desc_Tabela,MATCH(TB_Vendas[[#This Row],[Qtd]],Desc_Quantidades,1),MATCH(_xlfn.XLOOKUP(TB_Vendas[[#This Row],[Código]],TB_Produtos[Código],TB_Produtos[Categoria]),Desc_Categorias,0))</f>
        <v>0.2</v>
      </c>
      <c r="H43" s="70">
        <f>_xlfn.XLOOKUP(TB_Vendas[[#This Row],[Vendedor]],Vendedores!$A$5:$A$9,Vendedores!$D$5:$D$9)</f>
        <v>0.2</v>
      </c>
      <c r="I43" s="70">
        <f>IF(TB_Vendas[[#This Row],[Desc.]]&gt;TB_Vendas[[#This Row],[Desc. Vend.]],TB_Vendas[[#This Row],[Desc. Vend.]],TB_Vendas[[#This Row],[Desc.]])</f>
        <v>0.2</v>
      </c>
      <c r="J43" s="8">
        <f>TB_Vendas[[#This Row],[Preço Unitário]]*TB_Vendas[[#This Row],[Qtd]]</f>
        <v>187.6</v>
      </c>
      <c r="K43" s="1" t="s">
        <v>126</v>
      </c>
    </row>
    <row r="44" spans="1:11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">
        <v>2</v>
      </c>
      <c r="F44" s="29">
        <f>_xlfn.XLOOKUP(TB_Vendas[[#This Row],[Código]],TB_Produtos[Código],TB_Produtos[Preço Unitário])</f>
        <v>72.5</v>
      </c>
      <c r="G44" s="70">
        <f>INDEX(Desc_Tabela,MATCH(TB_Vendas[[#This Row],[Qtd]],Desc_Quantidades,1),MATCH(_xlfn.XLOOKUP(TB_Vendas[[#This Row],[Código]],TB_Produtos[Código],TB_Produtos[Categoria]),Desc_Categorias,0))</f>
        <v>0.15</v>
      </c>
      <c r="H44" s="70">
        <f>_xlfn.XLOOKUP(TB_Vendas[[#This Row],[Vendedor]],Vendedores!$A$5:$A$9,Vendedores!$D$5:$D$9)</f>
        <v>0.15</v>
      </c>
      <c r="I44" s="70">
        <f>IF(TB_Vendas[[#This Row],[Desc.]]&gt;TB_Vendas[[#This Row],[Desc. Vend.]],TB_Vendas[[#This Row],[Desc. Vend.]],TB_Vendas[[#This Row],[Desc.]])</f>
        <v>0.15</v>
      </c>
      <c r="J44" s="8">
        <f>TB_Vendas[[#This Row],[Preço Unitário]]*TB_Vendas[[#This Row],[Qtd]]</f>
        <v>145</v>
      </c>
      <c r="K44" s="1" t="s">
        <v>130</v>
      </c>
    </row>
    <row r="45" spans="1:11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">
        <v>3</v>
      </c>
      <c r="F45" s="29">
        <f>_xlfn.XLOOKUP(TB_Vendas[[#This Row],[Código]],TB_Produtos[Código],TB_Produtos[Preço Unitário])</f>
        <v>140</v>
      </c>
      <c r="G45" s="70">
        <f>INDEX(Desc_Tabela,MATCH(TB_Vendas[[#This Row],[Qtd]],Desc_Quantidades,1),MATCH(_xlfn.XLOOKUP(TB_Vendas[[#This Row],[Código]],TB_Produtos[Código],TB_Produtos[Categoria]),Desc_Categorias,0))</f>
        <v>0.2</v>
      </c>
      <c r="H45" s="70">
        <f>_xlfn.XLOOKUP(TB_Vendas[[#This Row],[Vendedor]],Vendedores!$A$5:$A$9,Vendedores!$D$5:$D$9)</f>
        <v>0.2</v>
      </c>
      <c r="I45" s="70">
        <f>IF(TB_Vendas[[#This Row],[Desc.]]&gt;TB_Vendas[[#This Row],[Desc. Vend.]],TB_Vendas[[#This Row],[Desc. Vend.]],TB_Vendas[[#This Row],[Desc.]])</f>
        <v>0.2</v>
      </c>
      <c r="J45" s="8">
        <f>TB_Vendas[[#This Row],[Preço Unitário]]*TB_Vendas[[#This Row],[Qtd]]</f>
        <v>420</v>
      </c>
      <c r="K45" s="1" t="s">
        <v>129</v>
      </c>
    </row>
    <row r="46" spans="1:11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">
        <v>1</v>
      </c>
      <c r="F46" s="29">
        <f>_xlfn.XLOOKUP(TB_Vendas[[#This Row],[Código]],TB_Produtos[Código],TB_Produtos[Preço Unitário])</f>
        <v>91.4</v>
      </c>
      <c r="G46" s="70">
        <f>INDEX(Desc_Tabela,MATCH(TB_Vendas[[#This Row],[Qtd]],Desc_Quantidades,1),MATCH(_xlfn.XLOOKUP(TB_Vendas[[#This Row],[Código]],TB_Produtos[Código],TB_Produtos[Categoria]),Desc_Categorias,0))</f>
        <v>0.1</v>
      </c>
      <c r="H46" s="70">
        <f>_xlfn.XLOOKUP(TB_Vendas[[#This Row],[Vendedor]],Vendedores!$A$5:$A$9,Vendedores!$D$5:$D$9)</f>
        <v>0.25</v>
      </c>
      <c r="I46" s="70">
        <f>IF(TB_Vendas[[#This Row],[Desc.]]&gt;TB_Vendas[[#This Row],[Desc. Vend.]],TB_Vendas[[#This Row],[Desc. Vend.]],TB_Vendas[[#This Row],[Desc.]])</f>
        <v>0.1</v>
      </c>
      <c r="J46" s="8">
        <f>TB_Vendas[[#This Row],[Preço Unitário]]*TB_Vendas[[#This Row],[Qtd]]</f>
        <v>91.4</v>
      </c>
      <c r="K46" s="1" t="s">
        <v>127</v>
      </c>
    </row>
    <row r="47" spans="1:11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">
        <v>2</v>
      </c>
      <c r="F47" s="29">
        <f>_xlfn.XLOOKUP(TB_Vendas[[#This Row],[Código]],TB_Produtos[Código],TB_Produtos[Preço Unitário])</f>
        <v>349.9</v>
      </c>
      <c r="G47" s="70">
        <f>INDEX(Desc_Tabela,MATCH(TB_Vendas[[#This Row],[Qtd]],Desc_Quantidades,1),MATCH(_xlfn.XLOOKUP(TB_Vendas[[#This Row],[Código]],TB_Produtos[Código],TB_Produtos[Categoria]),Desc_Categorias,0))</f>
        <v>0.05</v>
      </c>
      <c r="H47" s="70">
        <f>_xlfn.XLOOKUP(TB_Vendas[[#This Row],[Vendedor]],Vendedores!$A$5:$A$9,Vendedores!$D$5:$D$9)</f>
        <v>0.2</v>
      </c>
      <c r="I47" s="70">
        <f>IF(TB_Vendas[[#This Row],[Desc.]]&gt;TB_Vendas[[#This Row],[Desc. Vend.]],TB_Vendas[[#This Row],[Desc. Vend.]],TB_Vendas[[#This Row],[Desc.]])</f>
        <v>0.05</v>
      </c>
      <c r="J47" s="8">
        <f>TB_Vendas[[#This Row],[Preço Unitário]]*TB_Vendas[[#This Row],[Qtd]]</f>
        <v>699.8</v>
      </c>
      <c r="K47" s="1" t="s">
        <v>129</v>
      </c>
    </row>
    <row r="48" spans="1:11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">
        <v>3</v>
      </c>
      <c r="F48" s="29">
        <f>_xlfn.XLOOKUP(TB_Vendas[[#This Row],[Código]],TB_Produtos[Código],TB_Produtos[Preço Unitário])</f>
        <v>65.900000000000006</v>
      </c>
      <c r="G48" s="70">
        <f>INDEX(Desc_Tabela,MATCH(TB_Vendas[[#This Row],[Qtd]],Desc_Quantidades,1),MATCH(_xlfn.XLOOKUP(TB_Vendas[[#This Row],[Código]],TB_Produtos[Código],TB_Produtos[Categoria]),Desc_Categorias,0))</f>
        <v>0.2</v>
      </c>
      <c r="H48" s="70">
        <f>_xlfn.XLOOKUP(TB_Vendas[[#This Row],[Vendedor]],Vendedores!$A$5:$A$9,Vendedores!$D$5:$D$9)</f>
        <v>0.25</v>
      </c>
      <c r="I48" s="70">
        <f>IF(TB_Vendas[[#This Row],[Desc.]]&gt;TB_Vendas[[#This Row],[Desc. Vend.]],TB_Vendas[[#This Row],[Desc. Vend.]],TB_Vendas[[#This Row],[Desc.]])</f>
        <v>0.2</v>
      </c>
      <c r="J48" s="8">
        <f>TB_Vendas[[#This Row],[Preço Unitário]]*TB_Vendas[[#This Row],[Qtd]]</f>
        <v>197.70000000000002</v>
      </c>
      <c r="K48" s="1" t="s">
        <v>127</v>
      </c>
    </row>
    <row r="49" spans="1:11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">
        <v>2</v>
      </c>
      <c r="F49" s="29">
        <f>_xlfn.XLOOKUP(TB_Vendas[[#This Row],[Código]],TB_Produtos[Código],TB_Produtos[Preço Unitário])</f>
        <v>91.4</v>
      </c>
      <c r="G49" s="70">
        <f>INDEX(Desc_Tabela,MATCH(TB_Vendas[[#This Row],[Qtd]],Desc_Quantidades,1),MATCH(_xlfn.XLOOKUP(TB_Vendas[[#This Row],[Código]],TB_Produtos[Código],TB_Produtos[Categoria]),Desc_Categorias,0))</f>
        <v>0.15</v>
      </c>
      <c r="H49" s="70">
        <f>_xlfn.XLOOKUP(TB_Vendas[[#This Row],[Vendedor]],Vendedores!$A$5:$A$9,Vendedores!$D$5:$D$9)</f>
        <v>0.2</v>
      </c>
      <c r="I49" s="70">
        <f>IF(TB_Vendas[[#This Row],[Desc.]]&gt;TB_Vendas[[#This Row],[Desc. Vend.]],TB_Vendas[[#This Row],[Desc. Vend.]],TB_Vendas[[#This Row],[Desc.]])</f>
        <v>0.15</v>
      </c>
      <c r="J49" s="8">
        <f>TB_Vendas[[#This Row],[Preço Unitário]]*TB_Vendas[[#This Row],[Qtd]]</f>
        <v>182.8</v>
      </c>
      <c r="K49" s="1" t="s">
        <v>126</v>
      </c>
    </row>
    <row r="50" spans="1:11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">
        <v>4</v>
      </c>
      <c r="F50" s="29">
        <f>_xlfn.XLOOKUP(TB_Vendas[[#This Row],[Código]],TB_Produtos[Código],TB_Produtos[Preço Unitário])</f>
        <v>259.89999999999998</v>
      </c>
      <c r="G50" s="70">
        <f>INDEX(Desc_Tabela,MATCH(TB_Vendas[[#This Row],[Qtd]],Desc_Quantidades,1),MATCH(_xlfn.XLOOKUP(TB_Vendas[[#This Row],[Código]],TB_Produtos[Código],TB_Produtos[Categoria]),Desc_Categorias,0))</f>
        <v>0.15</v>
      </c>
      <c r="H50" s="70">
        <f>_xlfn.XLOOKUP(TB_Vendas[[#This Row],[Vendedor]],Vendedores!$A$5:$A$9,Vendedores!$D$5:$D$9)</f>
        <v>0.25</v>
      </c>
      <c r="I50" s="70">
        <f>IF(TB_Vendas[[#This Row],[Desc.]]&gt;TB_Vendas[[#This Row],[Desc. Vend.]],TB_Vendas[[#This Row],[Desc. Vend.]],TB_Vendas[[#This Row],[Desc.]])</f>
        <v>0.15</v>
      </c>
      <c r="J50" s="8">
        <f>TB_Vendas[[#This Row],[Preço Unitário]]*TB_Vendas[[#This Row],[Qtd]]</f>
        <v>1039.5999999999999</v>
      </c>
      <c r="K50" s="1" t="s">
        <v>127</v>
      </c>
    </row>
    <row r="51" spans="1:11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">
        <v>3</v>
      </c>
      <c r="F51" s="29">
        <f>_xlfn.XLOOKUP(TB_Vendas[[#This Row],[Código]],TB_Produtos[Código],TB_Produtos[Preço Unitário])</f>
        <v>145</v>
      </c>
      <c r="G51" s="70">
        <f>INDEX(Desc_Tabela,MATCH(TB_Vendas[[#This Row],[Qtd]],Desc_Quantidades,1),MATCH(_xlfn.XLOOKUP(TB_Vendas[[#This Row],[Código]],TB_Produtos[Código],TB_Produtos[Categoria]),Desc_Categorias,0))</f>
        <v>0.15</v>
      </c>
      <c r="H51" s="70">
        <f>_xlfn.XLOOKUP(TB_Vendas[[#This Row],[Vendedor]],Vendedores!$A$5:$A$9,Vendedores!$D$5:$D$9)</f>
        <v>0.2</v>
      </c>
      <c r="I51" s="70">
        <f>IF(TB_Vendas[[#This Row],[Desc.]]&gt;TB_Vendas[[#This Row],[Desc. Vend.]],TB_Vendas[[#This Row],[Desc. Vend.]],TB_Vendas[[#This Row],[Desc.]])</f>
        <v>0.15</v>
      </c>
      <c r="J51" s="8">
        <f>TB_Vendas[[#This Row],[Preço Unitário]]*TB_Vendas[[#This Row],[Qtd]]</f>
        <v>435</v>
      </c>
      <c r="K51" s="1" t="s">
        <v>126</v>
      </c>
    </row>
    <row r="52" spans="1:11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">
        <v>2</v>
      </c>
      <c r="F52" s="29">
        <f>_xlfn.XLOOKUP(TB_Vendas[[#This Row],[Código]],TB_Produtos[Código],TB_Produtos[Preço Unitário])</f>
        <v>142.9</v>
      </c>
      <c r="G52" s="70">
        <f>INDEX(Desc_Tabela,MATCH(TB_Vendas[[#This Row],[Qtd]],Desc_Quantidades,1),MATCH(_xlfn.XLOOKUP(TB_Vendas[[#This Row],[Código]],TB_Produtos[Código],TB_Produtos[Categoria]),Desc_Categorias,0))</f>
        <v>0.15</v>
      </c>
      <c r="H52" s="70">
        <f>_xlfn.XLOOKUP(TB_Vendas[[#This Row],[Vendedor]],Vendedores!$A$5:$A$9,Vendedores!$D$5:$D$9)</f>
        <v>0.1</v>
      </c>
      <c r="I52" s="70">
        <f>IF(TB_Vendas[[#This Row],[Desc.]]&gt;TB_Vendas[[#This Row],[Desc. Vend.]],TB_Vendas[[#This Row],[Desc. Vend.]],TB_Vendas[[#This Row],[Desc.]])</f>
        <v>0.1</v>
      </c>
      <c r="J52" s="8">
        <f>TB_Vendas[[#This Row],[Preço Unitário]]*TB_Vendas[[#This Row],[Qtd]]</f>
        <v>285.8</v>
      </c>
      <c r="K52" s="1" t="s">
        <v>128</v>
      </c>
    </row>
    <row r="53" spans="1:11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">
        <v>2</v>
      </c>
      <c r="F53" s="29">
        <f>_xlfn.XLOOKUP(TB_Vendas[[#This Row],[Código]],TB_Produtos[Código],TB_Produtos[Preço Unitário])</f>
        <v>180</v>
      </c>
      <c r="G53" s="70">
        <f>INDEX(Desc_Tabela,MATCH(TB_Vendas[[#This Row],[Qtd]],Desc_Quantidades,1),MATCH(_xlfn.XLOOKUP(TB_Vendas[[#This Row],[Código]],TB_Produtos[Código],TB_Produtos[Categoria]),Desc_Categorias,0))</f>
        <v>0.15</v>
      </c>
      <c r="H53" s="70">
        <f>_xlfn.XLOOKUP(TB_Vendas[[#This Row],[Vendedor]],Vendedores!$A$5:$A$9,Vendedores!$D$5:$D$9)</f>
        <v>0.2</v>
      </c>
      <c r="I53" s="70">
        <f>IF(TB_Vendas[[#This Row],[Desc.]]&gt;TB_Vendas[[#This Row],[Desc. Vend.]],TB_Vendas[[#This Row],[Desc. Vend.]],TB_Vendas[[#This Row],[Desc.]])</f>
        <v>0.15</v>
      </c>
      <c r="J53" s="8">
        <f>TB_Vendas[[#This Row],[Preço Unitário]]*TB_Vendas[[#This Row],[Qtd]]</f>
        <v>360</v>
      </c>
      <c r="K53" s="1" t="s">
        <v>126</v>
      </c>
    </row>
    <row r="54" spans="1:11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">
        <v>2</v>
      </c>
      <c r="F54" s="29">
        <f>_xlfn.XLOOKUP(TB_Vendas[[#This Row],[Código]],TB_Produtos[Código],TB_Produtos[Preço Unitário])</f>
        <v>42.5</v>
      </c>
      <c r="G54" s="70">
        <f>INDEX(Desc_Tabela,MATCH(TB_Vendas[[#This Row],[Qtd]],Desc_Quantidades,1),MATCH(_xlfn.XLOOKUP(TB_Vendas[[#This Row],[Código]],TB_Produtos[Código],TB_Produtos[Categoria]),Desc_Categorias,0))</f>
        <v>0.15</v>
      </c>
      <c r="H54" s="70">
        <f>_xlfn.XLOOKUP(TB_Vendas[[#This Row],[Vendedor]],Vendedores!$A$5:$A$9,Vendedores!$D$5:$D$9)</f>
        <v>0.1</v>
      </c>
      <c r="I54" s="70">
        <f>IF(TB_Vendas[[#This Row],[Desc.]]&gt;TB_Vendas[[#This Row],[Desc. Vend.]],TB_Vendas[[#This Row],[Desc. Vend.]],TB_Vendas[[#This Row],[Desc.]])</f>
        <v>0.1</v>
      </c>
      <c r="J54" s="8">
        <f>TB_Vendas[[#This Row],[Preço Unitário]]*TB_Vendas[[#This Row],[Qtd]]</f>
        <v>85</v>
      </c>
      <c r="K54" s="1" t="s">
        <v>128</v>
      </c>
    </row>
    <row r="55" spans="1:11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">
        <v>1</v>
      </c>
      <c r="F55" s="29">
        <f>_xlfn.XLOOKUP(TB_Vendas[[#This Row],[Código]],TB_Produtos[Código],TB_Produtos[Preço Unitário])</f>
        <v>65.900000000000006</v>
      </c>
      <c r="G55" s="70">
        <f>INDEX(Desc_Tabela,MATCH(TB_Vendas[[#This Row],[Qtd]],Desc_Quantidades,1),MATCH(_xlfn.XLOOKUP(TB_Vendas[[#This Row],[Código]],TB_Produtos[Código],TB_Produtos[Categoria]),Desc_Categorias,0))</f>
        <v>0.1</v>
      </c>
      <c r="H55" s="70">
        <f>_xlfn.XLOOKUP(TB_Vendas[[#This Row],[Vendedor]],Vendedores!$A$5:$A$9,Vendedores!$D$5:$D$9)</f>
        <v>0.25</v>
      </c>
      <c r="I55" s="70">
        <f>IF(TB_Vendas[[#This Row],[Desc.]]&gt;TB_Vendas[[#This Row],[Desc. Vend.]],TB_Vendas[[#This Row],[Desc. Vend.]],TB_Vendas[[#This Row],[Desc.]])</f>
        <v>0.1</v>
      </c>
      <c r="J55" s="8">
        <f>TB_Vendas[[#This Row],[Preço Unitário]]*TB_Vendas[[#This Row],[Qtd]]</f>
        <v>65.900000000000006</v>
      </c>
      <c r="K55" s="1" t="s">
        <v>127</v>
      </c>
    </row>
    <row r="56" spans="1:11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">
        <v>1</v>
      </c>
      <c r="F56" s="29">
        <f>_xlfn.XLOOKUP(TB_Vendas[[#This Row],[Código]],TB_Produtos[Código],TB_Produtos[Preço Unitário])</f>
        <v>180</v>
      </c>
      <c r="G56" s="70">
        <f>INDEX(Desc_Tabela,MATCH(TB_Vendas[[#This Row],[Qtd]],Desc_Quantidades,1),MATCH(_xlfn.XLOOKUP(TB_Vendas[[#This Row],[Código]],TB_Produtos[Código],TB_Produtos[Categoria]),Desc_Categorias,0))</f>
        <v>0.1</v>
      </c>
      <c r="H56" s="70">
        <f>_xlfn.XLOOKUP(TB_Vendas[[#This Row],[Vendedor]],Vendedores!$A$5:$A$9,Vendedores!$D$5:$D$9)</f>
        <v>0.1</v>
      </c>
      <c r="I56" s="70">
        <f>IF(TB_Vendas[[#This Row],[Desc.]]&gt;TB_Vendas[[#This Row],[Desc. Vend.]],TB_Vendas[[#This Row],[Desc. Vend.]],TB_Vendas[[#This Row],[Desc.]])</f>
        <v>0.1</v>
      </c>
      <c r="J56" s="8">
        <f>TB_Vendas[[#This Row],[Preço Unitário]]*TB_Vendas[[#This Row],[Qtd]]</f>
        <v>180</v>
      </c>
      <c r="K56" s="1" t="s">
        <v>128</v>
      </c>
    </row>
    <row r="57" spans="1:11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">
        <v>3</v>
      </c>
      <c r="F57" s="29">
        <f>_xlfn.XLOOKUP(TB_Vendas[[#This Row],[Código]],TB_Produtos[Código],TB_Produtos[Preço Unitário])</f>
        <v>32.9</v>
      </c>
      <c r="G57" s="70">
        <f>INDEX(Desc_Tabela,MATCH(TB_Vendas[[#This Row],[Qtd]],Desc_Quantidades,1),MATCH(_xlfn.XLOOKUP(TB_Vendas[[#This Row],[Código]],TB_Produtos[Código],TB_Produtos[Categoria]),Desc_Categorias,0))</f>
        <v>0.2</v>
      </c>
      <c r="H57" s="70">
        <f>_xlfn.XLOOKUP(TB_Vendas[[#This Row],[Vendedor]],Vendedores!$A$5:$A$9,Vendedores!$D$5:$D$9)</f>
        <v>0.25</v>
      </c>
      <c r="I57" s="70">
        <f>IF(TB_Vendas[[#This Row],[Desc.]]&gt;TB_Vendas[[#This Row],[Desc. Vend.]],TB_Vendas[[#This Row],[Desc. Vend.]],TB_Vendas[[#This Row],[Desc.]])</f>
        <v>0.2</v>
      </c>
      <c r="J57" s="8">
        <f>TB_Vendas[[#This Row],[Preço Unitário]]*TB_Vendas[[#This Row],[Qtd]]</f>
        <v>98.699999999999989</v>
      </c>
      <c r="K57" s="1" t="s">
        <v>127</v>
      </c>
    </row>
    <row r="58" spans="1:11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">
        <v>4</v>
      </c>
      <c r="F58" s="29">
        <f>_xlfn.XLOOKUP(TB_Vendas[[#This Row],[Código]],TB_Produtos[Código],TB_Produtos[Preço Unitário])</f>
        <v>92.9</v>
      </c>
      <c r="G58" s="70">
        <f>INDEX(Desc_Tabela,MATCH(TB_Vendas[[#This Row],[Qtd]],Desc_Quantidades,1),MATCH(_xlfn.XLOOKUP(TB_Vendas[[#This Row],[Código]],TB_Produtos[Código],TB_Produtos[Categoria]),Desc_Categorias,0))</f>
        <v>0.2</v>
      </c>
      <c r="H58" s="70">
        <f>_xlfn.XLOOKUP(TB_Vendas[[#This Row],[Vendedor]],Vendedores!$A$5:$A$9,Vendedores!$D$5:$D$9)</f>
        <v>0.2</v>
      </c>
      <c r="I58" s="70">
        <f>IF(TB_Vendas[[#This Row],[Desc.]]&gt;TB_Vendas[[#This Row],[Desc. Vend.]],TB_Vendas[[#This Row],[Desc. Vend.]],TB_Vendas[[#This Row],[Desc.]])</f>
        <v>0.2</v>
      </c>
      <c r="J58" s="8">
        <f>TB_Vendas[[#This Row],[Preço Unitário]]*TB_Vendas[[#This Row],[Qtd]]</f>
        <v>371.6</v>
      </c>
      <c r="K58" s="1" t="s">
        <v>126</v>
      </c>
    </row>
    <row r="59" spans="1:11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">
        <v>2</v>
      </c>
      <c r="F59" s="29">
        <f>_xlfn.XLOOKUP(TB_Vendas[[#This Row],[Código]],TB_Produtos[Código],TB_Produtos[Preço Unitário])</f>
        <v>259.89999999999998</v>
      </c>
      <c r="G59" s="70">
        <f>INDEX(Desc_Tabela,MATCH(TB_Vendas[[#This Row],[Qtd]],Desc_Quantidades,1),MATCH(_xlfn.XLOOKUP(TB_Vendas[[#This Row],[Código]],TB_Produtos[Código],TB_Produtos[Categoria]),Desc_Categorias,0))</f>
        <v>0.1</v>
      </c>
      <c r="H59" s="70">
        <f>_xlfn.XLOOKUP(TB_Vendas[[#This Row],[Vendedor]],Vendedores!$A$5:$A$9,Vendedores!$D$5:$D$9)</f>
        <v>0.1</v>
      </c>
      <c r="I59" s="70">
        <f>IF(TB_Vendas[[#This Row],[Desc.]]&gt;TB_Vendas[[#This Row],[Desc. Vend.]],TB_Vendas[[#This Row],[Desc. Vend.]],TB_Vendas[[#This Row],[Desc.]])</f>
        <v>0.1</v>
      </c>
      <c r="J59" s="8">
        <f>TB_Vendas[[#This Row],[Preço Unitário]]*TB_Vendas[[#This Row],[Qtd]]</f>
        <v>519.79999999999995</v>
      </c>
      <c r="K59" s="1" t="s">
        <v>128</v>
      </c>
    </row>
    <row r="60" spans="1:11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">
        <v>1</v>
      </c>
      <c r="F60" s="29">
        <f>_xlfn.XLOOKUP(TB_Vendas[[#This Row],[Código]],TB_Produtos[Código],TB_Produtos[Preço Unitário])</f>
        <v>259.89999999999998</v>
      </c>
      <c r="G60" s="70">
        <f>INDEX(Desc_Tabela,MATCH(TB_Vendas[[#This Row],[Qtd]],Desc_Quantidades,1),MATCH(_xlfn.XLOOKUP(TB_Vendas[[#This Row],[Código]],TB_Produtos[Código],TB_Produtos[Categoria]),Desc_Categorias,0))</f>
        <v>0.1</v>
      </c>
      <c r="H60" s="70">
        <f>_xlfn.XLOOKUP(TB_Vendas[[#This Row],[Vendedor]],Vendedores!$A$5:$A$9,Vendedores!$D$5:$D$9)</f>
        <v>0.15</v>
      </c>
      <c r="I60" s="70">
        <f>IF(TB_Vendas[[#This Row],[Desc.]]&gt;TB_Vendas[[#This Row],[Desc. Vend.]],TB_Vendas[[#This Row],[Desc. Vend.]],TB_Vendas[[#This Row],[Desc.]])</f>
        <v>0.1</v>
      </c>
      <c r="J60" s="8">
        <f>TB_Vendas[[#This Row],[Preço Unitário]]*TB_Vendas[[#This Row],[Qtd]]</f>
        <v>259.89999999999998</v>
      </c>
      <c r="K60" s="1" t="s">
        <v>130</v>
      </c>
    </row>
    <row r="61" spans="1:11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">
        <v>5</v>
      </c>
      <c r="F61" s="29">
        <f>_xlfn.XLOOKUP(TB_Vendas[[#This Row],[Código]],TB_Produtos[Código],TB_Produtos[Preço Unitário])</f>
        <v>42.5</v>
      </c>
      <c r="G61" s="70">
        <f>INDEX(Desc_Tabela,MATCH(TB_Vendas[[#This Row],[Qtd]],Desc_Quantidades,1),MATCH(_xlfn.XLOOKUP(TB_Vendas[[#This Row],[Código]],TB_Produtos[Código],TB_Produtos[Categoria]),Desc_Categorias,0))</f>
        <v>0.25</v>
      </c>
      <c r="H61" s="70">
        <f>_xlfn.XLOOKUP(TB_Vendas[[#This Row],[Vendedor]],Vendedores!$A$5:$A$9,Vendedores!$D$5:$D$9)</f>
        <v>0.15</v>
      </c>
      <c r="I61" s="70">
        <f>IF(TB_Vendas[[#This Row],[Desc.]]&gt;TB_Vendas[[#This Row],[Desc. Vend.]],TB_Vendas[[#This Row],[Desc. Vend.]],TB_Vendas[[#This Row],[Desc.]])</f>
        <v>0.15</v>
      </c>
      <c r="J61" s="8">
        <f>TB_Vendas[[#This Row],[Preço Unitário]]*TB_Vendas[[#This Row],[Qtd]]</f>
        <v>212.5</v>
      </c>
      <c r="K61" s="1" t="s">
        <v>130</v>
      </c>
    </row>
    <row r="62" spans="1:11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">
        <v>2</v>
      </c>
      <c r="F62" s="29">
        <f>_xlfn.XLOOKUP(TB_Vendas[[#This Row],[Código]],TB_Produtos[Código],TB_Produtos[Preço Unitário])</f>
        <v>32.9</v>
      </c>
      <c r="G62" s="70">
        <f>INDEX(Desc_Tabela,MATCH(TB_Vendas[[#This Row],[Qtd]],Desc_Quantidades,1),MATCH(_xlfn.XLOOKUP(TB_Vendas[[#This Row],[Código]],TB_Produtos[Código],TB_Produtos[Categoria]),Desc_Categorias,0))</f>
        <v>0.15</v>
      </c>
      <c r="H62" s="70">
        <f>_xlfn.XLOOKUP(TB_Vendas[[#This Row],[Vendedor]],Vendedores!$A$5:$A$9,Vendedores!$D$5:$D$9)</f>
        <v>0.15</v>
      </c>
      <c r="I62" s="70">
        <f>IF(TB_Vendas[[#This Row],[Desc.]]&gt;TB_Vendas[[#This Row],[Desc. Vend.]],TB_Vendas[[#This Row],[Desc. Vend.]],TB_Vendas[[#This Row],[Desc.]])</f>
        <v>0.15</v>
      </c>
      <c r="J62" s="8">
        <f>TB_Vendas[[#This Row],[Preço Unitário]]*TB_Vendas[[#This Row],[Qtd]]</f>
        <v>65.8</v>
      </c>
      <c r="K62" s="1" t="s">
        <v>130</v>
      </c>
    </row>
    <row r="63" spans="1:11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">
        <v>3</v>
      </c>
      <c r="F63" s="29">
        <f>_xlfn.XLOOKUP(TB_Vendas[[#This Row],[Código]],TB_Produtos[Código],TB_Produtos[Preço Unitário])</f>
        <v>92.9</v>
      </c>
      <c r="G63" s="70">
        <f>INDEX(Desc_Tabela,MATCH(TB_Vendas[[#This Row],[Qtd]],Desc_Quantidades,1),MATCH(_xlfn.XLOOKUP(TB_Vendas[[#This Row],[Código]],TB_Produtos[Código],TB_Produtos[Categoria]),Desc_Categorias,0))</f>
        <v>0.2</v>
      </c>
      <c r="H63" s="70">
        <f>_xlfn.XLOOKUP(TB_Vendas[[#This Row],[Vendedor]],Vendedores!$A$5:$A$9,Vendedores!$D$5:$D$9)</f>
        <v>0.2</v>
      </c>
      <c r="I63" s="70">
        <f>IF(TB_Vendas[[#This Row],[Desc.]]&gt;TB_Vendas[[#This Row],[Desc. Vend.]],TB_Vendas[[#This Row],[Desc. Vend.]],TB_Vendas[[#This Row],[Desc.]])</f>
        <v>0.2</v>
      </c>
      <c r="J63" s="8">
        <f>TB_Vendas[[#This Row],[Preço Unitário]]*TB_Vendas[[#This Row],[Qtd]]</f>
        <v>278.70000000000005</v>
      </c>
      <c r="K63" s="1" t="s">
        <v>126</v>
      </c>
    </row>
    <row r="64" spans="1:11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">
        <v>10</v>
      </c>
      <c r="F64" s="29">
        <f>_xlfn.XLOOKUP(TB_Vendas[[#This Row],[Código]],TB_Produtos[Código],TB_Produtos[Preço Unitário])</f>
        <v>25.9</v>
      </c>
      <c r="G64" s="70">
        <f>INDEX(Desc_Tabela,MATCH(TB_Vendas[[#This Row],[Qtd]],Desc_Quantidades,1),MATCH(_xlfn.XLOOKUP(TB_Vendas[[#This Row],[Código]],TB_Produtos[Código],TB_Produtos[Categoria]),Desc_Categorias,0))</f>
        <v>0.3</v>
      </c>
      <c r="H64" s="70">
        <f>_xlfn.XLOOKUP(TB_Vendas[[#This Row],[Vendedor]],Vendedores!$A$5:$A$9,Vendedores!$D$5:$D$9)</f>
        <v>0.2</v>
      </c>
      <c r="I64" s="70">
        <f>IF(TB_Vendas[[#This Row],[Desc.]]&gt;TB_Vendas[[#This Row],[Desc. Vend.]],TB_Vendas[[#This Row],[Desc. Vend.]],TB_Vendas[[#This Row],[Desc.]])</f>
        <v>0.2</v>
      </c>
      <c r="J64" s="8">
        <f>TB_Vendas[[#This Row],[Preço Unitário]]*TB_Vendas[[#This Row],[Qtd]]</f>
        <v>259</v>
      </c>
      <c r="K64" s="1" t="s">
        <v>126</v>
      </c>
    </row>
    <row r="65" spans="1:11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">
        <v>1</v>
      </c>
      <c r="F65" s="29">
        <f>_xlfn.XLOOKUP(TB_Vendas[[#This Row],[Código]],TB_Produtos[Código],TB_Produtos[Preço Unitário])</f>
        <v>72.5</v>
      </c>
      <c r="G65" s="70">
        <f>INDEX(Desc_Tabela,MATCH(TB_Vendas[[#This Row],[Qtd]],Desc_Quantidades,1),MATCH(_xlfn.XLOOKUP(TB_Vendas[[#This Row],[Código]],TB_Produtos[Código],TB_Produtos[Categoria]),Desc_Categorias,0))</f>
        <v>0.1</v>
      </c>
      <c r="H65" s="70">
        <f>_xlfn.XLOOKUP(TB_Vendas[[#This Row],[Vendedor]],Vendedores!$A$5:$A$9,Vendedores!$D$5:$D$9)</f>
        <v>0.25</v>
      </c>
      <c r="I65" s="70">
        <f>IF(TB_Vendas[[#This Row],[Desc.]]&gt;TB_Vendas[[#This Row],[Desc. Vend.]],TB_Vendas[[#This Row],[Desc. Vend.]],TB_Vendas[[#This Row],[Desc.]])</f>
        <v>0.1</v>
      </c>
      <c r="J65" s="8">
        <f>TB_Vendas[[#This Row],[Preço Unitário]]*TB_Vendas[[#This Row],[Qtd]]</f>
        <v>72.5</v>
      </c>
      <c r="K65" s="1" t="s">
        <v>127</v>
      </c>
    </row>
    <row r="66" spans="1:11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">
        <v>4</v>
      </c>
      <c r="F66" s="29">
        <f>_xlfn.XLOOKUP(TB_Vendas[[#This Row],[Código]],TB_Produtos[Código],TB_Produtos[Preço Unitário])</f>
        <v>302.89999999999998</v>
      </c>
      <c r="G66" s="70">
        <f>INDEX(Desc_Tabela,MATCH(TB_Vendas[[#This Row],[Qtd]],Desc_Quantidades,1),MATCH(_xlfn.XLOOKUP(TB_Vendas[[#This Row],[Código]],TB_Produtos[Código],TB_Produtos[Categoria]),Desc_Categorias,0))</f>
        <v>0.2</v>
      </c>
      <c r="H66" s="70">
        <f>_xlfn.XLOOKUP(TB_Vendas[[#This Row],[Vendedor]],Vendedores!$A$5:$A$9,Vendedores!$D$5:$D$9)</f>
        <v>0.15</v>
      </c>
      <c r="I66" s="70">
        <f>IF(TB_Vendas[[#This Row],[Desc.]]&gt;TB_Vendas[[#This Row],[Desc. Vend.]],TB_Vendas[[#This Row],[Desc. Vend.]],TB_Vendas[[#This Row],[Desc.]])</f>
        <v>0.15</v>
      </c>
      <c r="J66" s="8">
        <f>TB_Vendas[[#This Row],[Preço Unitário]]*TB_Vendas[[#This Row],[Qtd]]</f>
        <v>1211.5999999999999</v>
      </c>
      <c r="K66" s="1" t="s">
        <v>130</v>
      </c>
    </row>
    <row r="67" spans="1:11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">
        <v>8</v>
      </c>
      <c r="F67" s="29">
        <f>_xlfn.XLOOKUP(TB_Vendas[[#This Row],[Código]],TB_Produtos[Código],TB_Produtos[Preço Unitário])</f>
        <v>289.89999999999998</v>
      </c>
      <c r="G67" s="70">
        <f>INDEX(Desc_Tabela,MATCH(TB_Vendas[[#This Row],[Qtd]],Desc_Quantidades,1),MATCH(_xlfn.XLOOKUP(TB_Vendas[[#This Row],[Código]],TB_Produtos[Código],TB_Produtos[Categoria]),Desc_Categorias,0))</f>
        <v>0.25</v>
      </c>
      <c r="H67" s="70">
        <f>_xlfn.XLOOKUP(TB_Vendas[[#This Row],[Vendedor]],Vendedores!$A$5:$A$9,Vendedores!$D$5:$D$9)</f>
        <v>0.2</v>
      </c>
      <c r="I67" s="70">
        <f>IF(TB_Vendas[[#This Row],[Desc.]]&gt;TB_Vendas[[#This Row],[Desc. Vend.]],TB_Vendas[[#This Row],[Desc. Vend.]],TB_Vendas[[#This Row],[Desc.]])</f>
        <v>0.2</v>
      </c>
      <c r="J67" s="8">
        <f>TB_Vendas[[#This Row],[Preço Unitário]]*TB_Vendas[[#This Row],[Qtd]]</f>
        <v>2319.1999999999998</v>
      </c>
      <c r="K67" s="1" t="s">
        <v>126</v>
      </c>
    </row>
    <row r="68" spans="1:11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">
        <v>2</v>
      </c>
      <c r="F68" s="29">
        <f>_xlfn.XLOOKUP(TB_Vendas[[#This Row],[Código]],TB_Produtos[Código],TB_Produtos[Preço Unitário])</f>
        <v>54.9</v>
      </c>
      <c r="G68" s="70">
        <f>INDEX(Desc_Tabela,MATCH(TB_Vendas[[#This Row],[Qtd]],Desc_Quantidades,1),MATCH(_xlfn.XLOOKUP(TB_Vendas[[#This Row],[Código]],TB_Produtos[Código],TB_Produtos[Categoria]),Desc_Categorias,0))</f>
        <v>0.15</v>
      </c>
      <c r="H68" s="70">
        <f>_xlfn.XLOOKUP(TB_Vendas[[#This Row],[Vendedor]],Vendedores!$A$5:$A$9,Vendedores!$D$5:$D$9)</f>
        <v>0.2</v>
      </c>
      <c r="I68" s="70">
        <f>IF(TB_Vendas[[#This Row],[Desc.]]&gt;TB_Vendas[[#This Row],[Desc. Vend.]],TB_Vendas[[#This Row],[Desc. Vend.]],TB_Vendas[[#This Row],[Desc.]])</f>
        <v>0.15</v>
      </c>
      <c r="J68" s="8">
        <f>TB_Vendas[[#This Row],[Preço Unitário]]*TB_Vendas[[#This Row],[Qtd]]</f>
        <v>109.8</v>
      </c>
      <c r="K68" s="1" t="s">
        <v>126</v>
      </c>
    </row>
    <row r="69" spans="1:11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">
        <v>2</v>
      </c>
      <c r="F69" s="29">
        <f>_xlfn.XLOOKUP(TB_Vendas[[#This Row],[Código]],TB_Produtos[Código],TB_Produtos[Preço Unitário])</f>
        <v>39.9</v>
      </c>
      <c r="G69" s="70">
        <f>INDEX(Desc_Tabela,MATCH(TB_Vendas[[#This Row],[Qtd]],Desc_Quantidades,1),MATCH(_xlfn.XLOOKUP(TB_Vendas[[#This Row],[Código]],TB_Produtos[Código],TB_Produtos[Categoria]),Desc_Categorias,0))</f>
        <v>0.15</v>
      </c>
      <c r="H69" s="70">
        <f>_xlfn.XLOOKUP(TB_Vendas[[#This Row],[Vendedor]],Vendedores!$A$5:$A$9,Vendedores!$D$5:$D$9)</f>
        <v>0.15</v>
      </c>
      <c r="I69" s="70">
        <f>IF(TB_Vendas[[#This Row],[Desc.]]&gt;TB_Vendas[[#This Row],[Desc. Vend.]],TB_Vendas[[#This Row],[Desc. Vend.]],TB_Vendas[[#This Row],[Desc.]])</f>
        <v>0.15</v>
      </c>
      <c r="J69" s="8">
        <f>TB_Vendas[[#This Row],[Preço Unitário]]*TB_Vendas[[#This Row],[Qtd]]</f>
        <v>79.8</v>
      </c>
      <c r="K69" s="1" t="s">
        <v>130</v>
      </c>
    </row>
    <row r="70" spans="1:11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">
        <v>7</v>
      </c>
      <c r="F70" s="29">
        <f>_xlfn.XLOOKUP(TB_Vendas[[#This Row],[Código]],TB_Produtos[Código],TB_Produtos[Preço Unitário])</f>
        <v>54.9</v>
      </c>
      <c r="G70" s="70">
        <f>INDEX(Desc_Tabela,MATCH(TB_Vendas[[#This Row],[Qtd]],Desc_Quantidades,1),MATCH(_xlfn.XLOOKUP(TB_Vendas[[#This Row],[Código]],TB_Produtos[Código],TB_Produtos[Categoria]),Desc_Categorias,0))</f>
        <v>0.25</v>
      </c>
      <c r="H70" s="70">
        <f>_xlfn.XLOOKUP(TB_Vendas[[#This Row],[Vendedor]],Vendedores!$A$5:$A$9,Vendedores!$D$5:$D$9)</f>
        <v>0.2</v>
      </c>
      <c r="I70" s="70">
        <f>IF(TB_Vendas[[#This Row],[Desc.]]&gt;TB_Vendas[[#This Row],[Desc. Vend.]],TB_Vendas[[#This Row],[Desc. Vend.]],TB_Vendas[[#This Row],[Desc.]])</f>
        <v>0.2</v>
      </c>
      <c r="J70" s="8">
        <f>TB_Vendas[[#This Row],[Preço Unitário]]*TB_Vendas[[#This Row],[Qtd]]</f>
        <v>384.3</v>
      </c>
      <c r="K70" s="1" t="s">
        <v>129</v>
      </c>
    </row>
    <row r="71" spans="1:11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">
        <v>4</v>
      </c>
      <c r="F71" s="29">
        <f>_xlfn.XLOOKUP(TB_Vendas[[#This Row],[Código]],TB_Produtos[Código],TB_Produtos[Preço Unitário])</f>
        <v>299.89999999999998</v>
      </c>
      <c r="G71" s="70">
        <f>INDEX(Desc_Tabela,MATCH(TB_Vendas[[#This Row],[Qtd]],Desc_Quantidades,1),MATCH(_xlfn.XLOOKUP(TB_Vendas[[#This Row],[Código]],TB_Produtos[Código],TB_Produtos[Categoria]),Desc_Categorias,0))</f>
        <v>0.2</v>
      </c>
      <c r="H71" s="70">
        <f>_xlfn.XLOOKUP(TB_Vendas[[#This Row],[Vendedor]],Vendedores!$A$5:$A$9,Vendedores!$D$5:$D$9)</f>
        <v>0.15</v>
      </c>
      <c r="I71" s="70">
        <f>IF(TB_Vendas[[#This Row],[Desc.]]&gt;TB_Vendas[[#This Row],[Desc. Vend.]],TB_Vendas[[#This Row],[Desc. Vend.]],TB_Vendas[[#This Row],[Desc.]])</f>
        <v>0.15</v>
      </c>
      <c r="J71" s="8">
        <f>TB_Vendas[[#This Row],[Preço Unitário]]*TB_Vendas[[#This Row],[Qtd]]</f>
        <v>1199.5999999999999</v>
      </c>
      <c r="K71" s="1" t="s">
        <v>130</v>
      </c>
    </row>
    <row r="72" spans="1:11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">
        <v>3</v>
      </c>
      <c r="F72" s="29">
        <f>_xlfn.XLOOKUP(TB_Vendas[[#This Row],[Código]],TB_Produtos[Código],TB_Produtos[Preço Unitário])</f>
        <v>259.89999999999998</v>
      </c>
      <c r="G72" s="70">
        <f>INDEX(Desc_Tabela,MATCH(TB_Vendas[[#This Row],[Qtd]],Desc_Quantidades,1),MATCH(_xlfn.XLOOKUP(TB_Vendas[[#This Row],[Código]],TB_Produtos[Código],TB_Produtos[Categoria]),Desc_Categorias,0))</f>
        <v>0.2</v>
      </c>
      <c r="H72" s="70">
        <f>_xlfn.XLOOKUP(TB_Vendas[[#This Row],[Vendedor]],Vendedores!$A$5:$A$9,Vendedores!$D$5:$D$9)</f>
        <v>0.2</v>
      </c>
      <c r="I72" s="70">
        <f>IF(TB_Vendas[[#This Row],[Desc.]]&gt;TB_Vendas[[#This Row],[Desc. Vend.]],TB_Vendas[[#This Row],[Desc. Vend.]],TB_Vendas[[#This Row],[Desc.]])</f>
        <v>0.2</v>
      </c>
      <c r="J72" s="8">
        <f>TB_Vendas[[#This Row],[Preço Unitário]]*TB_Vendas[[#This Row],[Qtd]]</f>
        <v>779.69999999999993</v>
      </c>
      <c r="K72" s="1" t="s">
        <v>129</v>
      </c>
    </row>
    <row r="73" spans="1:11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">
        <v>9</v>
      </c>
      <c r="F73" s="29">
        <f>_xlfn.XLOOKUP(TB_Vendas[[#This Row],[Código]],TB_Produtos[Código],TB_Produtos[Preço Unitário])</f>
        <v>72.5</v>
      </c>
      <c r="G73" s="70">
        <f>INDEX(Desc_Tabela,MATCH(TB_Vendas[[#This Row],[Qtd]],Desc_Quantidades,1),MATCH(_xlfn.XLOOKUP(TB_Vendas[[#This Row],[Código]],TB_Produtos[Código],TB_Produtos[Categoria]),Desc_Categorias,0))</f>
        <v>0.25</v>
      </c>
      <c r="H73" s="70">
        <f>_xlfn.XLOOKUP(TB_Vendas[[#This Row],[Vendedor]],Vendedores!$A$5:$A$9,Vendedores!$D$5:$D$9)</f>
        <v>0.1</v>
      </c>
      <c r="I73" s="70">
        <f>IF(TB_Vendas[[#This Row],[Desc.]]&gt;TB_Vendas[[#This Row],[Desc. Vend.]],TB_Vendas[[#This Row],[Desc. Vend.]],TB_Vendas[[#This Row],[Desc.]])</f>
        <v>0.1</v>
      </c>
      <c r="J73" s="8">
        <f>TB_Vendas[[#This Row],[Preço Unitário]]*TB_Vendas[[#This Row],[Qtd]]</f>
        <v>652.5</v>
      </c>
      <c r="K73" s="1" t="s">
        <v>128</v>
      </c>
    </row>
    <row r="74" spans="1:11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">
        <v>4</v>
      </c>
      <c r="F74" s="29">
        <f>_xlfn.XLOOKUP(TB_Vendas[[#This Row],[Código]],TB_Produtos[Código],TB_Produtos[Preço Unitário])</f>
        <v>300</v>
      </c>
      <c r="G74" s="70">
        <f>INDEX(Desc_Tabela,MATCH(TB_Vendas[[#This Row],[Qtd]],Desc_Quantidades,1),MATCH(_xlfn.XLOOKUP(TB_Vendas[[#This Row],[Código]],TB_Produtos[Código],TB_Produtos[Categoria]),Desc_Categorias,0))</f>
        <v>0.2</v>
      </c>
      <c r="H74" s="70">
        <f>_xlfn.XLOOKUP(TB_Vendas[[#This Row],[Vendedor]],Vendedores!$A$5:$A$9,Vendedores!$D$5:$D$9)</f>
        <v>0.15</v>
      </c>
      <c r="I74" s="70">
        <f>IF(TB_Vendas[[#This Row],[Desc.]]&gt;TB_Vendas[[#This Row],[Desc. Vend.]],TB_Vendas[[#This Row],[Desc. Vend.]],TB_Vendas[[#This Row],[Desc.]])</f>
        <v>0.15</v>
      </c>
      <c r="J74" s="8">
        <f>TB_Vendas[[#This Row],[Preço Unitário]]*TB_Vendas[[#This Row],[Qtd]]</f>
        <v>1200</v>
      </c>
      <c r="K74" s="1" t="s">
        <v>130</v>
      </c>
    </row>
    <row r="75" spans="1:11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">
        <v>9</v>
      </c>
      <c r="F75" s="29">
        <f>_xlfn.XLOOKUP(TB_Vendas[[#This Row],[Código]],TB_Produtos[Código],TB_Produtos[Preço Unitário])</f>
        <v>65.900000000000006</v>
      </c>
      <c r="G75" s="70">
        <f>INDEX(Desc_Tabela,MATCH(TB_Vendas[[#This Row],[Qtd]],Desc_Quantidades,1),MATCH(_xlfn.XLOOKUP(TB_Vendas[[#This Row],[Código]],TB_Produtos[Código],TB_Produtos[Categoria]),Desc_Categorias,0))</f>
        <v>0.25</v>
      </c>
      <c r="H75" s="70">
        <f>_xlfn.XLOOKUP(TB_Vendas[[#This Row],[Vendedor]],Vendedores!$A$5:$A$9,Vendedores!$D$5:$D$9)</f>
        <v>0.15</v>
      </c>
      <c r="I75" s="70">
        <f>IF(TB_Vendas[[#This Row],[Desc.]]&gt;TB_Vendas[[#This Row],[Desc. Vend.]],TB_Vendas[[#This Row],[Desc. Vend.]],TB_Vendas[[#This Row],[Desc.]])</f>
        <v>0.15</v>
      </c>
      <c r="J75" s="8">
        <f>TB_Vendas[[#This Row],[Preço Unitário]]*TB_Vendas[[#This Row],[Qtd]]</f>
        <v>593.1</v>
      </c>
      <c r="K75" s="1" t="s">
        <v>130</v>
      </c>
    </row>
    <row r="76" spans="1:11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">
        <v>10</v>
      </c>
      <c r="F76" s="29">
        <f>_xlfn.XLOOKUP(TB_Vendas[[#This Row],[Código]],TB_Produtos[Código],TB_Produtos[Preço Unitário])</f>
        <v>92.9</v>
      </c>
      <c r="G76" s="70">
        <f>INDEX(Desc_Tabela,MATCH(TB_Vendas[[#This Row],[Qtd]],Desc_Quantidades,1),MATCH(_xlfn.XLOOKUP(TB_Vendas[[#This Row],[Código]],TB_Produtos[Código],TB_Produtos[Categoria]),Desc_Categorias,0))</f>
        <v>0.3</v>
      </c>
      <c r="H76" s="70">
        <f>_xlfn.XLOOKUP(TB_Vendas[[#This Row],[Vendedor]],Vendedores!$A$5:$A$9,Vendedores!$D$5:$D$9)</f>
        <v>0.15</v>
      </c>
      <c r="I76" s="70">
        <f>IF(TB_Vendas[[#This Row],[Desc.]]&gt;TB_Vendas[[#This Row],[Desc. Vend.]],TB_Vendas[[#This Row],[Desc. Vend.]],TB_Vendas[[#This Row],[Desc.]])</f>
        <v>0.15</v>
      </c>
      <c r="J76" s="8">
        <f>TB_Vendas[[#This Row],[Preço Unitário]]*TB_Vendas[[#This Row],[Qtd]]</f>
        <v>929</v>
      </c>
      <c r="K76" s="1" t="s">
        <v>130</v>
      </c>
    </row>
    <row r="77" spans="1:11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">
        <v>1</v>
      </c>
      <c r="F77" s="29">
        <f>_xlfn.XLOOKUP(TB_Vendas[[#This Row],[Código]],TB_Produtos[Código],TB_Produtos[Preço Unitário])</f>
        <v>89.9</v>
      </c>
      <c r="G77" s="70">
        <f>INDEX(Desc_Tabela,MATCH(TB_Vendas[[#This Row],[Qtd]],Desc_Quantidades,1),MATCH(_xlfn.XLOOKUP(TB_Vendas[[#This Row],[Código]],TB_Produtos[Código],TB_Produtos[Categoria]),Desc_Categorias,0))</f>
        <v>0</v>
      </c>
      <c r="H77" s="70">
        <f>_xlfn.XLOOKUP(TB_Vendas[[#This Row],[Vendedor]],Vendedores!$A$5:$A$9,Vendedores!$D$5:$D$9)</f>
        <v>0.1</v>
      </c>
      <c r="I77" s="70">
        <f>IF(TB_Vendas[[#This Row],[Desc.]]&gt;TB_Vendas[[#This Row],[Desc. Vend.]],TB_Vendas[[#This Row],[Desc. Vend.]],TB_Vendas[[#This Row],[Desc.]])</f>
        <v>0</v>
      </c>
      <c r="J77" s="8">
        <f>TB_Vendas[[#This Row],[Preço Unitário]]*TB_Vendas[[#This Row],[Qtd]]</f>
        <v>89.9</v>
      </c>
      <c r="K77" s="1" t="s">
        <v>128</v>
      </c>
    </row>
    <row r="78" spans="1:11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">
        <v>2</v>
      </c>
      <c r="F78" s="29">
        <f>_xlfn.XLOOKUP(TB_Vendas[[#This Row],[Código]],TB_Produtos[Código],TB_Produtos[Preço Unitário])</f>
        <v>49.9</v>
      </c>
      <c r="G78" s="70">
        <f>INDEX(Desc_Tabela,MATCH(TB_Vendas[[#This Row],[Qtd]],Desc_Quantidades,1),MATCH(_xlfn.XLOOKUP(TB_Vendas[[#This Row],[Código]],TB_Produtos[Código],TB_Produtos[Categoria]),Desc_Categorias,0))</f>
        <v>0.15</v>
      </c>
      <c r="H78" s="70">
        <f>_xlfn.XLOOKUP(TB_Vendas[[#This Row],[Vendedor]],Vendedores!$A$5:$A$9,Vendedores!$D$5:$D$9)</f>
        <v>0.1</v>
      </c>
      <c r="I78" s="70">
        <f>IF(TB_Vendas[[#This Row],[Desc.]]&gt;TB_Vendas[[#This Row],[Desc. Vend.]],TB_Vendas[[#This Row],[Desc. Vend.]],TB_Vendas[[#This Row],[Desc.]])</f>
        <v>0.1</v>
      </c>
      <c r="J78" s="8">
        <f>TB_Vendas[[#This Row],[Preço Unitário]]*TB_Vendas[[#This Row],[Qtd]]</f>
        <v>99.8</v>
      </c>
      <c r="K78" s="1" t="s">
        <v>128</v>
      </c>
    </row>
    <row r="79" spans="1:11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">
        <v>8</v>
      </c>
      <c r="F79" s="29">
        <f>_xlfn.XLOOKUP(TB_Vendas[[#This Row],[Código]],TB_Produtos[Código],TB_Produtos[Preço Unitário])</f>
        <v>70</v>
      </c>
      <c r="G79" s="70">
        <f>INDEX(Desc_Tabela,MATCH(TB_Vendas[[#This Row],[Qtd]],Desc_Quantidades,1),MATCH(_xlfn.XLOOKUP(TB_Vendas[[#This Row],[Código]],TB_Produtos[Código],TB_Produtos[Categoria]),Desc_Categorias,0))</f>
        <v>0.25</v>
      </c>
      <c r="H79" s="70">
        <f>_xlfn.XLOOKUP(TB_Vendas[[#This Row],[Vendedor]],Vendedores!$A$5:$A$9,Vendedores!$D$5:$D$9)</f>
        <v>0.25</v>
      </c>
      <c r="I79" s="70">
        <f>IF(TB_Vendas[[#This Row],[Desc.]]&gt;TB_Vendas[[#This Row],[Desc. Vend.]],TB_Vendas[[#This Row],[Desc. Vend.]],TB_Vendas[[#This Row],[Desc.]])</f>
        <v>0.25</v>
      </c>
      <c r="J79" s="8">
        <f>TB_Vendas[[#This Row],[Preço Unitário]]*TB_Vendas[[#This Row],[Qtd]]</f>
        <v>560</v>
      </c>
      <c r="K79" s="1" t="s">
        <v>127</v>
      </c>
    </row>
    <row r="80" spans="1:11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">
        <v>5</v>
      </c>
      <c r="F80" s="29">
        <f>_xlfn.XLOOKUP(TB_Vendas[[#This Row],[Código]],TB_Produtos[Código],TB_Produtos[Preço Unitário])</f>
        <v>46.9</v>
      </c>
      <c r="G80" s="70">
        <f>INDEX(Desc_Tabela,MATCH(TB_Vendas[[#This Row],[Qtd]],Desc_Quantidades,1),MATCH(_xlfn.XLOOKUP(TB_Vendas[[#This Row],[Código]],TB_Produtos[Código],TB_Produtos[Categoria]),Desc_Categorias,0))</f>
        <v>0.25</v>
      </c>
      <c r="H80" s="70">
        <f>_xlfn.XLOOKUP(TB_Vendas[[#This Row],[Vendedor]],Vendedores!$A$5:$A$9,Vendedores!$D$5:$D$9)</f>
        <v>0.1</v>
      </c>
      <c r="I80" s="70">
        <f>IF(TB_Vendas[[#This Row],[Desc.]]&gt;TB_Vendas[[#This Row],[Desc. Vend.]],TB_Vendas[[#This Row],[Desc. Vend.]],TB_Vendas[[#This Row],[Desc.]])</f>
        <v>0.1</v>
      </c>
      <c r="J80" s="8">
        <f>TB_Vendas[[#This Row],[Preço Unitário]]*TB_Vendas[[#This Row],[Qtd]]</f>
        <v>234.5</v>
      </c>
      <c r="K80" s="1" t="s">
        <v>128</v>
      </c>
    </row>
    <row r="81" spans="1:11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">
        <v>10</v>
      </c>
      <c r="F81" s="29">
        <f>_xlfn.XLOOKUP(TB_Vendas[[#This Row],[Código]],TB_Produtos[Código],TB_Produtos[Preço Unitário])</f>
        <v>289.89999999999998</v>
      </c>
      <c r="G81" s="70">
        <f>INDEX(Desc_Tabela,MATCH(TB_Vendas[[#This Row],[Qtd]],Desc_Quantidades,1),MATCH(_xlfn.XLOOKUP(TB_Vendas[[#This Row],[Código]],TB_Produtos[Código],TB_Produtos[Categoria]),Desc_Categorias,0))</f>
        <v>0.3</v>
      </c>
      <c r="H81" s="70">
        <f>_xlfn.XLOOKUP(TB_Vendas[[#This Row],[Vendedor]],Vendedores!$A$5:$A$9,Vendedores!$D$5:$D$9)</f>
        <v>0.25</v>
      </c>
      <c r="I81" s="70">
        <f>IF(TB_Vendas[[#This Row],[Desc.]]&gt;TB_Vendas[[#This Row],[Desc. Vend.]],TB_Vendas[[#This Row],[Desc. Vend.]],TB_Vendas[[#This Row],[Desc.]])</f>
        <v>0.25</v>
      </c>
      <c r="J81" s="8">
        <f>TB_Vendas[[#This Row],[Preço Unitário]]*TB_Vendas[[#This Row],[Qtd]]</f>
        <v>2899</v>
      </c>
      <c r="K81" s="1" t="s">
        <v>127</v>
      </c>
    </row>
    <row r="82" spans="1:11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">
        <v>1</v>
      </c>
      <c r="F82" s="29">
        <f>_xlfn.XLOOKUP(TB_Vendas[[#This Row],[Código]],TB_Produtos[Código],TB_Produtos[Preço Unitário])</f>
        <v>42.5</v>
      </c>
      <c r="G82" s="70">
        <f>INDEX(Desc_Tabela,MATCH(TB_Vendas[[#This Row],[Qtd]],Desc_Quantidades,1),MATCH(_xlfn.XLOOKUP(TB_Vendas[[#This Row],[Código]],TB_Produtos[Código],TB_Produtos[Categoria]),Desc_Categorias,0))</f>
        <v>0.1</v>
      </c>
      <c r="H82" s="70">
        <f>_xlfn.XLOOKUP(TB_Vendas[[#This Row],[Vendedor]],Vendedores!$A$5:$A$9,Vendedores!$D$5:$D$9)</f>
        <v>0.1</v>
      </c>
      <c r="I82" s="70">
        <f>IF(TB_Vendas[[#This Row],[Desc.]]&gt;TB_Vendas[[#This Row],[Desc. Vend.]],TB_Vendas[[#This Row],[Desc. Vend.]],TB_Vendas[[#This Row],[Desc.]])</f>
        <v>0.1</v>
      </c>
      <c r="J82" s="8">
        <f>TB_Vendas[[#This Row],[Preço Unitário]]*TB_Vendas[[#This Row],[Qtd]]</f>
        <v>42.5</v>
      </c>
      <c r="K82" s="1" t="s">
        <v>128</v>
      </c>
    </row>
    <row r="83" spans="1:11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">
        <v>2</v>
      </c>
      <c r="F83" s="29">
        <f>_xlfn.XLOOKUP(TB_Vendas[[#This Row],[Código]],TB_Produtos[Código],TB_Produtos[Preço Unitário])</f>
        <v>89.9</v>
      </c>
      <c r="G83" s="70">
        <f>INDEX(Desc_Tabela,MATCH(TB_Vendas[[#This Row],[Qtd]],Desc_Quantidades,1),MATCH(_xlfn.XLOOKUP(TB_Vendas[[#This Row],[Código]],TB_Produtos[Código],TB_Produtos[Categoria]),Desc_Categorias,0))</f>
        <v>0.1</v>
      </c>
      <c r="H83" s="70">
        <f>_xlfn.XLOOKUP(TB_Vendas[[#This Row],[Vendedor]],Vendedores!$A$5:$A$9,Vendedores!$D$5:$D$9)</f>
        <v>0.25</v>
      </c>
      <c r="I83" s="70">
        <f>IF(TB_Vendas[[#This Row],[Desc.]]&gt;TB_Vendas[[#This Row],[Desc. Vend.]],TB_Vendas[[#This Row],[Desc. Vend.]],TB_Vendas[[#This Row],[Desc.]])</f>
        <v>0.1</v>
      </c>
      <c r="J83" s="8">
        <f>TB_Vendas[[#This Row],[Preço Unitário]]*TB_Vendas[[#This Row],[Qtd]]</f>
        <v>179.8</v>
      </c>
      <c r="K83" s="1" t="s">
        <v>127</v>
      </c>
    </row>
    <row r="84" spans="1:11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">
        <v>3</v>
      </c>
      <c r="F84" s="29">
        <f>_xlfn.XLOOKUP(TB_Vendas[[#This Row],[Código]],TB_Produtos[Código],TB_Produtos[Preço Unitário])</f>
        <v>255</v>
      </c>
      <c r="G84" s="70">
        <f>INDEX(Desc_Tabela,MATCH(TB_Vendas[[#This Row],[Qtd]],Desc_Quantidades,1),MATCH(_xlfn.XLOOKUP(TB_Vendas[[#This Row],[Código]],TB_Produtos[Código],TB_Produtos[Categoria]),Desc_Categorias,0))</f>
        <v>0.15</v>
      </c>
      <c r="H84" s="70">
        <f>_xlfn.XLOOKUP(TB_Vendas[[#This Row],[Vendedor]],Vendedores!$A$5:$A$9,Vendedores!$D$5:$D$9)</f>
        <v>0.2</v>
      </c>
      <c r="I84" s="70">
        <f>IF(TB_Vendas[[#This Row],[Desc.]]&gt;TB_Vendas[[#This Row],[Desc. Vend.]],TB_Vendas[[#This Row],[Desc. Vend.]],TB_Vendas[[#This Row],[Desc.]])</f>
        <v>0.15</v>
      </c>
      <c r="J84" s="8">
        <f>TB_Vendas[[#This Row],[Preço Unitário]]*TB_Vendas[[#This Row],[Qtd]]</f>
        <v>765</v>
      </c>
      <c r="K84" s="1" t="s">
        <v>126</v>
      </c>
    </row>
    <row r="85" spans="1:11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">
        <v>6</v>
      </c>
      <c r="F85" s="29">
        <f>_xlfn.XLOOKUP(TB_Vendas[[#This Row],[Código]],TB_Produtos[Código],TB_Produtos[Preço Unitário])</f>
        <v>42.5</v>
      </c>
      <c r="G85" s="70">
        <f>INDEX(Desc_Tabela,MATCH(TB_Vendas[[#This Row],[Qtd]],Desc_Quantidades,1),MATCH(_xlfn.XLOOKUP(TB_Vendas[[#This Row],[Código]],TB_Produtos[Código],TB_Produtos[Categoria]),Desc_Categorias,0))</f>
        <v>0.25</v>
      </c>
      <c r="H85" s="70">
        <f>_xlfn.XLOOKUP(TB_Vendas[[#This Row],[Vendedor]],Vendedores!$A$5:$A$9,Vendedores!$D$5:$D$9)</f>
        <v>0.2</v>
      </c>
      <c r="I85" s="70">
        <f>IF(TB_Vendas[[#This Row],[Desc.]]&gt;TB_Vendas[[#This Row],[Desc. Vend.]],TB_Vendas[[#This Row],[Desc. Vend.]],TB_Vendas[[#This Row],[Desc.]])</f>
        <v>0.2</v>
      </c>
      <c r="J85" s="8">
        <f>TB_Vendas[[#This Row],[Preço Unitário]]*TB_Vendas[[#This Row],[Qtd]]</f>
        <v>255</v>
      </c>
      <c r="K85" s="1" t="s">
        <v>129</v>
      </c>
    </row>
    <row r="86" spans="1:11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">
        <v>8</v>
      </c>
      <c r="F86" s="29">
        <f>_xlfn.XLOOKUP(TB_Vendas[[#This Row],[Código]],TB_Produtos[Código],TB_Produtos[Preço Unitário])</f>
        <v>39.9</v>
      </c>
      <c r="G86" s="70">
        <f>INDEX(Desc_Tabela,MATCH(TB_Vendas[[#This Row],[Qtd]],Desc_Quantidades,1),MATCH(_xlfn.XLOOKUP(TB_Vendas[[#This Row],[Código]],TB_Produtos[Código],TB_Produtos[Categoria]),Desc_Categorias,0))</f>
        <v>0.25</v>
      </c>
      <c r="H86" s="70">
        <f>_xlfn.XLOOKUP(TB_Vendas[[#This Row],[Vendedor]],Vendedores!$A$5:$A$9,Vendedores!$D$5:$D$9)</f>
        <v>0.25</v>
      </c>
      <c r="I86" s="70">
        <f>IF(TB_Vendas[[#This Row],[Desc.]]&gt;TB_Vendas[[#This Row],[Desc. Vend.]],TB_Vendas[[#This Row],[Desc. Vend.]],TB_Vendas[[#This Row],[Desc.]])</f>
        <v>0.25</v>
      </c>
      <c r="J86" s="8">
        <f>TB_Vendas[[#This Row],[Preço Unitário]]*TB_Vendas[[#This Row],[Qtd]]</f>
        <v>319.2</v>
      </c>
      <c r="K86" s="1" t="s">
        <v>127</v>
      </c>
    </row>
  </sheetData>
  <phoneticPr fontId="12" type="noConversion"/>
  <conditionalFormatting sqref="E4:I4">
    <cfRule type="cellIs" dxfId="1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workbookViewId="0">
      <selection activeCell="C6" sqref="C6"/>
    </sheetView>
  </sheetViews>
  <sheetFormatPr defaultColWidth="8.85546875" defaultRowHeight="15" zeroHeight="1"/>
  <cols>
    <col min="1" max="1" width="8.85546875" customWidth="1"/>
    <col min="2" max="2" width="22.140625" bestFit="1" customWidth="1"/>
    <col min="3" max="3" width="34" customWidth="1"/>
    <col min="4" max="4" width="11.7109375" customWidth="1"/>
    <col min="5" max="5" width="21.85546875" customWidth="1"/>
    <col min="6" max="6" width="34" customWidth="1"/>
    <col min="7" max="9" width="8.85546875" customWidth="1"/>
  </cols>
  <sheetData>
    <row r="1" spans="1:9" s="40" customFormat="1" ht="40.15" customHeight="1">
      <c r="A1" s="43"/>
      <c r="B1" s="47" t="s">
        <v>145</v>
      </c>
      <c r="C1" s="45"/>
      <c r="D1" s="45"/>
      <c r="E1" s="45"/>
      <c r="F1" s="45"/>
      <c r="G1" s="45"/>
      <c r="H1" s="45"/>
      <c r="I1" s="45"/>
    </row>
    <row r="2" spans="1:9" s="41" customFormat="1" ht="4.5" customHeight="1">
      <c r="A2" s="44"/>
      <c r="B2" s="44"/>
      <c r="C2" s="44"/>
      <c r="D2" s="44"/>
      <c r="E2" s="44"/>
      <c r="F2" s="44"/>
    </row>
    <row r="3" spans="1:9" ht="4.5" customHeight="1">
      <c r="A3" s="42"/>
      <c r="B3" s="42"/>
      <c r="C3" s="42"/>
      <c r="D3" s="42"/>
      <c r="E3" s="42"/>
      <c r="F3" s="42"/>
    </row>
    <row r="4" spans="1:9" ht="23.25" customHeight="1">
      <c r="A4" s="42"/>
      <c r="B4" s="83" t="s">
        <v>154</v>
      </c>
      <c r="C4" s="83"/>
      <c r="D4" s="42"/>
      <c r="E4" s="83" t="s">
        <v>161</v>
      </c>
      <c r="F4" s="83"/>
    </row>
    <row r="5" spans="1:9" ht="5.25" customHeight="1" thickBot="1"/>
    <row r="6" spans="1:9" ht="24.6" customHeight="1" thickBot="1">
      <c r="B6" s="72" t="s">
        <v>155</v>
      </c>
      <c r="C6" s="71" t="s">
        <v>61</v>
      </c>
      <c r="E6" s="72" t="s">
        <v>160</v>
      </c>
      <c r="F6" s="76">
        <v>45024</v>
      </c>
    </row>
    <row r="7" spans="1:9" ht="24.6" customHeight="1" thickTop="1" thickBot="1">
      <c r="B7" s="72" t="s">
        <v>156</v>
      </c>
      <c r="C7" s="50" t="str">
        <f>IFERROR(VLOOKUP(C6,TB_Produtos[],2,FALSE),"Não Encontrado")</f>
        <v>Tênis Atitas</v>
      </c>
      <c r="E7" s="72" t="s">
        <v>163</v>
      </c>
      <c r="F7" s="50" t="str">
        <f>_xlfn.XLOOKUP(WEEKDAY(F6),'Cadastros Auxiliares'!B4:I4,'Cadastros Auxiliares'!B5:I5,"Não encontrado")</f>
        <v>Sábado</v>
      </c>
      <c r="G7" s="49"/>
    </row>
    <row r="8" spans="1:9" ht="24.6" customHeight="1" thickTop="1" thickBot="1">
      <c r="B8" s="73" t="s">
        <v>157</v>
      </c>
      <c r="C8" s="48" cm="1">
        <f t="array" ref="C8">_xlfn.XLOOKUP(C6,TB_Produtos[[#All],[Código]],TB_Produtos[[#All],[Tamanho]],"Não encontrado")</f>
        <v>38</v>
      </c>
      <c r="E8" s="73" t="s">
        <v>164</v>
      </c>
      <c r="F8" s="77"/>
      <c r="G8" s="49"/>
    </row>
    <row r="9" spans="1:9" ht="24.6" customHeight="1" thickTop="1" thickBot="1">
      <c r="B9" s="74" t="s">
        <v>158</v>
      </c>
      <c r="C9" s="48" t="str">
        <f xml:space="preserve"> IFERROR(VLOOKUP(C6,TB_Produtos[#All],4,0),"Não encontrado")</f>
        <v>Calçado</v>
      </c>
      <c r="E9" s="75" t="s">
        <v>162</v>
      </c>
      <c r="F9" s="51">
        <f>SUMIF(TB_Vendas[[#All],[Data]],Consultas!$F$6,TB_Vendas[[#All],[Qtd]])</f>
        <v>3</v>
      </c>
      <c r="G9" s="49"/>
    </row>
    <row r="10" spans="1:9" ht="24.6" customHeight="1" thickTop="1" thickBot="1">
      <c r="B10" s="74" t="s">
        <v>165</v>
      </c>
      <c r="C10" s="77">
        <f>_xlfn.XLOOKUP(C6,TB_Produtos[Código],TB_Produtos[Preço Unitário],"Não encontrado")</f>
        <v>259.89999999999998</v>
      </c>
      <c r="G10" s="49"/>
    </row>
    <row r="11" spans="1:9" ht="24.6" customHeight="1" thickTop="1" thickBot="1">
      <c r="B11" s="72" t="s">
        <v>159</v>
      </c>
      <c r="C11" s="50">
        <f>_xlfn.XLOOKUP(C6,TB_Produtos[Código],TB_Produtos[Estoque],"Não encontrado")</f>
        <v>30</v>
      </c>
      <c r="G11" s="49"/>
    </row>
    <row r="12" spans="1:9" ht="23.25" thickTop="1" thickBot="1">
      <c r="B12" s="78" t="s">
        <v>166</v>
      </c>
      <c r="C12" s="51" t="str" cm="1">
        <f t="array" ref="C12">_xlfn.IFS(C11=0,"Estoque zerado",C11&gt;=_xlfn.XLOOKUP(C9,'Cadastros Auxiliares'!G9:G11,'Cadastros Auxiliares'!H9:H11),"Estoque OK",1,"Rever Estoque")</f>
        <v>Estoque OK</v>
      </c>
      <c r="E12" s="79"/>
    </row>
    <row r="13" spans="1:9" ht="24" thickBot="1">
      <c r="B13" s="78" t="s">
        <v>167</v>
      </c>
      <c r="C13" s="51"/>
      <c r="E13" s="80"/>
    </row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7"/>
  <sheetViews>
    <sheetView workbookViewId="0">
      <selection activeCell="B8" sqref="B8:E13"/>
    </sheetView>
  </sheetViews>
  <sheetFormatPr defaultRowHeight="15"/>
  <cols>
    <col min="1" max="1" width="8" customWidth="1"/>
    <col min="2" max="2" width="30.85546875" customWidth="1"/>
    <col min="3" max="9" width="17.42578125" customWidth="1"/>
  </cols>
  <sheetData>
    <row r="1" spans="2:10" s="40" customFormat="1" ht="40.15" customHeight="1">
      <c r="B1" s="63" t="s">
        <v>136</v>
      </c>
      <c r="C1" s="47"/>
      <c r="D1" s="47"/>
      <c r="E1" s="47"/>
      <c r="F1" s="47"/>
      <c r="G1" s="47"/>
      <c r="H1" s="47"/>
      <c r="I1" s="45"/>
      <c r="J1" s="45"/>
    </row>
    <row r="2" spans="2:10" s="41" customFormat="1" ht="4.5" customHeight="1">
      <c r="B2" s="44"/>
      <c r="C2" s="44"/>
      <c r="D2" s="44"/>
      <c r="E2" s="44"/>
      <c r="F2" s="44"/>
      <c r="G2" s="44"/>
    </row>
    <row r="3" spans="2:10" ht="4.5" customHeight="1" thickBot="1">
      <c r="B3" s="42"/>
      <c r="C3" s="42"/>
      <c r="D3" s="42"/>
      <c r="E3" s="42"/>
      <c r="F3" s="42"/>
      <c r="G3" s="42"/>
    </row>
    <row r="4" spans="2:10" ht="22.5" thickBot="1">
      <c r="B4" s="35" t="s">
        <v>30</v>
      </c>
      <c r="C4" s="38">
        <v>1</v>
      </c>
      <c r="D4" s="39">
        <v>2</v>
      </c>
      <c r="E4" s="38">
        <v>3</v>
      </c>
      <c r="F4" s="39">
        <v>4</v>
      </c>
      <c r="G4" s="38">
        <v>5</v>
      </c>
      <c r="H4" s="39">
        <v>6</v>
      </c>
      <c r="I4" s="38">
        <v>7</v>
      </c>
    </row>
    <row r="5" spans="2:10" s="56" customFormat="1" ht="22.5" thickBot="1">
      <c r="B5" s="54" t="s">
        <v>137</v>
      </c>
      <c r="C5" s="55" t="s">
        <v>138</v>
      </c>
      <c r="D5" s="55" t="s">
        <v>139</v>
      </c>
      <c r="E5" s="55" t="s">
        <v>140</v>
      </c>
      <c r="F5" s="55" t="s">
        <v>141</v>
      </c>
      <c r="G5" s="55" t="s">
        <v>142</v>
      </c>
      <c r="H5" s="55" t="s">
        <v>143</v>
      </c>
      <c r="I5" s="55" t="s">
        <v>144</v>
      </c>
    </row>
    <row r="7" spans="2:10" ht="15.75" thickBot="1"/>
    <row r="8" spans="2:10" ht="44.25" thickBot="1">
      <c r="B8" s="60" t="s">
        <v>153</v>
      </c>
      <c r="C8" s="61" t="s">
        <v>13</v>
      </c>
      <c r="D8" s="61" t="s">
        <v>12</v>
      </c>
      <c r="E8" s="61" t="s">
        <v>14</v>
      </c>
      <c r="G8" s="61" t="s">
        <v>10</v>
      </c>
      <c r="H8" s="60" t="s">
        <v>168</v>
      </c>
    </row>
    <row r="9" spans="2:10" ht="18.75" thickBot="1">
      <c r="B9" s="55">
        <v>1</v>
      </c>
      <c r="C9" s="59">
        <v>0</v>
      </c>
      <c r="D9" s="59">
        <v>0.1</v>
      </c>
      <c r="E9" s="62">
        <v>0</v>
      </c>
      <c r="G9" s="59" t="s">
        <v>13</v>
      </c>
      <c r="H9" s="117">
        <v>5</v>
      </c>
    </row>
    <row r="10" spans="2:10" ht="18.75" thickBot="1">
      <c r="B10" s="55">
        <v>2</v>
      </c>
      <c r="C10" s="59">
        <v>0.05</v>
      </c>
      <c r="D10" s="59">
        <v>0.15</v>
      </c>
      <c r="E10" s="62">
        <v>0.1</v>
      </c>
      <c r="G10" s="59" t="s">
        <v>12</v>
      </c>
      <c r="H10" s="117">
        <v>10</v>
      </c>
    </row>
    <row r="11" spans="2:10" ht="18.75" thickBot="1">
      <c r="B11" s="55">
        <v>3</v>
      </c>
      <c r="C11" s="59">
        <v>0.15</v>
      </c>
      <c r="D11" s="59">
        <v>0.2</v>
      </c>
      <c r="E11" s="62">
        <v>0.15</v>
      </c>
      <c r="G11" s="59" t="s">
        <v>14</v>
      </c>
      <c r="H11" s="117">
        <v>15</v>
      </c>
    </row>
    <row r="12" spans="2:10" ht="18.75" thickBot="1">
      <c r="B12" s="55">
        <v>5</v>
      </c>
      <c r="C12" s="59">
        <v>0.25</v>
      </c>
      <c r="D12" s="59">
        <v>0.25</v>
      </c>
      <c r="E12" s="62">
        <v>0.25</v>
      </c>
    </row>
    <row r="13" spans="2:10" ht="18.75" thickBot="1">
      <c r="B13" s="55">
        <v>10</v>
      </c>
      <c r="C13" s="59">
        <v>0.3</v>
      </c>
      <c r="D13" s="59">
        <v>0.3</v>
      </c>
      <c r="E13" s="62">
        <v>0.3</v>
      </c>
      <c r="G13" s="69"/>
    </row>
    <row r="16" spans="2:10">
      <c r="B16" t="s">
        <v>37</v>
      </c>
    </row>
    <row r="17" spans="2:3">
      <c r="B17">
        <v>9</v>
      </c>
      <c r="C17" s="118">
        <f>VLOOKUP(B17,B9:E13,MATCH(_xlfn.XLOOKUP('Cadastros Auxiliares'!B16,TB_Produtos[Código],TB_Produtos[Categoria]),B8:E8),TRUE)</f>
        <v>0.25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66E8-CB1E-4C1D-8887-39E30D1554D6}">
  <dimension ref="A1"/>
  <sheetViews>
    <sheetView tabSelected="1" workbookViewId="0">
      <selection activeCell="B3" sqref="B3"/>
    </sheetView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5"/>
  <cols>
    <col min="1" max="1" width="17.140625" customWidth="1"/>
    <col min="2" max="2" width="20.85546875" customWidth="1"/>
    <col min="3" max="3" width="1.28515625" customWidth="1"/>
    <col min="6" max="6" width="13.5703125" customWidth="1"/>
    <col min="8" max="8" width="1.28515625" customWidth="1"/>
    <col min="9" max="11" width="13" customWidth="1"/>
    <col min="12" max="12" width="15.28515625" customWidth="1"/>
  </cols>
  <sheetData>
    <row r="1" spans="1:12" s="14" customFormat="1">
      <c r="A1" s="15" t="s">
        <v>84</v>
      </c>
      <c r="B1" s="16" t="s">
        <v>85</v>
      </c>
      <c r="D1" s="15" t="s">
        <v>87</v>
      </c>
      <c r="E1" s="19" t="s">
        <v>86</v>
      </c>
      <c r="F1" s="19" t="s">
        <v>16</v>
      </c>
      <c r="G1" s="16" t="s">
        <v>15</v>
      </c>
      <c r="I1" s="22" t="s">
        <v>10</v>
      </c>
      <c r="J1" s="24" t="s">
        <v>95</v>
      </c>
      <c r="K1" s="24" t="s">
        <v>94</v>
      </c>
      <c r="L1" s="23" t="s">
        <v>16</v>
      </c>
    </row>
    <row r="2" spans="1:12">
      <c r="A2" s="3" t="s">
        <v>13</v>
      </c>
      <c r="B2" s="17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20">
        <f>SUMIF(TB_Vendas[Nº],D2,TB_Vendas[Qtd])</f>
        <v>14</v>
      </c>
      <c r="I2" s="3" t="s">
        <v>72</v>
      </c>
      <c r="J2" s="27" t="e">
        <f>L2/SUM($L$2:$L$4)</f>
        <v>#DIV/0!</v>
      </c>
      <c r="K2" s="25" t="e">
        <f>100%-J2</f>
        <v>#DIV/0!</v>
      </c>
      <c r="L2" s="17">
        <f>SUMIF(TB_Vendas[Vendedor],I2,TB_Vendas[Total])</f>
        <v>0</v>
      </c>
    </row>
    <row r="3" spans="1:12">
      <c r="A3" s="3" t="s">
        <v>71</v>
      </c>
      <c r="B3" s="17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20">
        <f>SUMIF(TB_Vendas[Nº],D3,TB_Vendas[Qtd])</f>
        <v>15</v>
      </c>
      <c r="I3" s="3" t="s">
        <v>73</v>
      </c>
      <c r="J3" s="27" t="e">
        <f t="shared" ref="J3" si="0">L3/SUM($L$2:$L$4)</f>
        <v>#DIV/0!</v>
      </c>
      <c r="K3" s="25" t="e">
        <f t="shared" ref="K3:K4" si="1">100%-J3</f>
        <v>#DIV/0!</v>
      </c>
      <c r="L3" s="17">
        <f>SUMIF(TB_Vendas[Vendedor],I3,TB_Vendas[Total])</f>
        <v>0</v>
      </c>
    </row>
    <row r="4" spans="1:12" ht="15.75" thickBot="1">
      <c r="A4" s="4" t="s">
        <v>12</v>
      </c>
      <c r="B4" s="18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20">
        <f>SUMIF(TB_Vendas[Nº],D4,TB_Vendas[Qtd])</f>
        <v>26</v>
      </c>
      <c r="I4" s="4" t="s">
        <v>75</v>
      </c>
      <c r="J4" s="28" t="e">
        <f>L4/SUM($L$2:$L$4)</f>
        <v>#DIV/0!</v>
      </c>
      <c r="K4" s="26" t="e">
        <f t="shared" si="1"/>
        <v>#DIV/0!</v>
      </c>
      <c r="L4" s="18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20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20">
        <f>SUMIF(TB_Vendas[Nº],D6,TB_Vendas[Qtd])</f>
        <v>17</v>
      </c>
    </row>
    <row r="7" spans="1:12" ht="15.75" thickBot="1">
      <c r="D7" s="4">
        <v>6</v>
      </c>
      <c r="E7" s="5" t="s">
        <v>93</v>
      </c>
      <c r="F7" s="7">
        <f>SUMIF(TB_Vendas[Nº],D7,TB_Vendas[Total])</f>
        <v>3477.7000000000007</v>
      </c>
      <c r="G7" s="21">
        <f>SUMIF(TB_Vendas[Nº],D7,TB_Vendas[Qtd])</f>
        <v>41</v>
      </c>
    </row>
    <row r="11" spans="1:12">
      <c r="I11" s="30"/>
      <c r="J11" s="30"/>
      <c r="K11" s="30"/>
      <c r="L11" s="30"/>
    </row>
    <row r="12" spans="1:12">
      <c r="J12" s="31"/>
      <c r="K12" s="32"/>
      <c r="L12" s="8"/>
    </row>
    <row r="13" spans="1:12">
      <c r="J13" s="31"/>
      <c r="K13" s="32"/>
      <c r="L13" s="8"/>
    </row>
    <row r="14" spans="1:12">
      <c r="J14" s="31"/>
      <c r="K14" s="32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2"/>
  </cols>
  <sheetData>
    <row r="1" spans="3:80" ht="9.75" customHeight="1" thickBot="1"/>
    <row r="2" spans="3:80" ht="9.75" customHeight="1">
      <c r="W2" s="84" t="s">
        <v>78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6"/>
      <c r="AQ2" s="84" t="s">
        <v>79</v>
      </c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6"/>
      <c r="BK2" s="84" t="s">
        <v>80</v>
      </c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6"/>
    </row>
    <row r="3" spans="3:80" ht="9.75" customHeight="1" thickBot="1">
      <c r="W3" s="87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9"/>
      <c r="AQ3" s="87"/>
      <c r="AR3" s="88"/>
      <c r="AS3" s="88"/>
      <c r="AT3" s="88"/>
      <c r="AU3" s="88"/>
      <c r="AV3" s="88"/>
      <c r="AW3" s="88"/>
      <c r="AX3" s="88"/>
      <c r="AY3" s="88"/>
      <c r="AZ3" s="88"/>
      <c r="BA3" s="88"/>
      <c r="BB3" s="88"/>
      <c r="BC3" s="88"/>
      <c r="BD3" s="88"/>
      <c r="BE3" s="88"/>
      <c r="BF3" s="88"/>
      <c r="BG3" s="88"/>
      <c r="BH3" s="89"/>
      <c r="BK3" s="87"/>
      <c r="BL3" s="88"/>
      <c r="BM3" s="88"/>
      <c r="BN3" s="88"/>
      <c r="BO3" s="88"/>
      <c r="BP3" s="88"/>
      <c r="BQ3" s="88"/>
      <c r="BR3" s="88"/>
      <c r="BS3" s="88"/>
      <c r="BT3" s="88"/>
      <c r="BU3" s="88"/>
      <c r="BV3" s="88"/>
      <c r="BW3" s="88"/>
      <c r="BX3" s="88"/>
      <c r="BY3" s="88"/>
      <c r="BZ3" s="88"/>
      <c r="CA3" s="88"/>
      <c r="CB3" s="89"/>
    </row>
    <row r="4" spans="3:80" ht="9.75" customHeight="1">
      <c r="W4" s="90">
        <f>COUNTA(TB_Produtos[Código])</f>
        <v>60</v>
      </c>
      <c r="X4" s="91"/>
      <c r="Y4" s="91"/>
      <c r="Z4" s="91"/>
      <c r="AA4" s="91"/>
      <c r="AB4" s="91"/>
      <c r="AC4" s="91"/>
      <c r="AD4" s="91"/>
      <c r="AE4" s="91"/>
      <c r="AF4" s="91"/>
      <c r="AG4" s="91"/>
      <c r="AH4" s="91"/>
      <c r="AI4" s="91"/>
      <c r="AJ4" s="91"/>
      <c r="AK4" s="91"/>
      <c r="AL4" s="91"/>
      <c r="AM4" s="91"/>
      <c r="AN4" s="92"/>
      <c r="AQ4" s="90">
        <f>SUM(TB_Vendas[Qtd])</f>
        <v>250</v>
      </c>
      <c r="AR4" s="91"/>
      <c r="AS4" s="91"/>
      <c r="AT4" s="91"/>
      <c r="AU4" s="91"/>
      <c r="AV4" s="91"/>
      <c r="AW4" s="91"/>
      <c r="AX4" s="91"/>
      <c r="AY4" s="91"/>
      <c r="AZ4" s="91"/>
      <c r="BA4" s="91"/>
      <c r="BB4" s="91"/>
      <c r="BC4" s="91"/>
      <c r="BD4" s="91"/>
      <c r="BE4" s="91"/>
      <c r="BF4" s="91"/>
      <c r="BG4" s="91"/>
      <c r="BH4" s="92"/>
      <c r="BK4" s="99">
        <f>SUM(TB_Vendas[Total])</f>
        <v>33304.799999999988</v>
      </c>
      <c r="BL4" s="100"/>
      <c r="BM4" s="100"/>
      <c r="BN4" s="100"/>
      <c r="BO4" s="100"/>
      <c r="BP4" s="100"/>
      <c r="BQ4" s="100"/>
      <c r="BR4" s="100"/>
      <c r="BS4" s="100"/>
      <c r="BT4" s="100"/>
      <c r="BU4" s="100"/>
      <c r="BV4" s="100"/>
      <c r="BW4" s="100"/>
      <c r="BX4" s="100"/>
      <c r="BY4" s="100"/>
      <c r="BZ4" s="100"/>
      <c r="CA4" s="100"/>
      <c r="CB4" s="101"/>
    </row>
    <row r="5" spans="3:80" ht="9.75" customHeight="1">
      <c r="W5" s="93"/>
      <c r="X5" s="94"/>
      <c r="Y5" s="94"/>
      <c r="Z5" s="94"/>
      <c r="AA5" s="94"/>
      <c r="AB5" s="94"/>
      <c r="AC5" s="94"/>
      <c r="AD5" s="94"/>
      <c r="AE5" s="94"/>
      <c r="AF5" s="94"/>
      <c r="AG5" s="94"/>
      <c r="AH5" s="94"/>
      <c r="AI5" s="94"/>
      <c r="AJ5" s="94"/>
      <c r="AK5" s="94"/>
      <c r="AL5" s="94"/>
      <c r="AM5" s="94"/>
      <c r="AN5" s="95"/>
      <c r="AQ5" s="93"/>
      <c r="AR5" s="94"/>
      <c r="AS5" s="94"/>
      <c r="AT5" s="94"/>
      <c r="AU5" s="94"/>
      <c r="AV5" s="94"/>
      <c r="AW5" s="94"/>
      <c r="AX5" s="94"/>
      <c r="AY5" s="94"/>
      <c r="AZ5" s="94"/>
      <c r="BA5" s="94"/>
      <c r="BB5" s="94"/>
      <c r="BC5" s="94"/>
      <c r="BD5" s="94"/>
      <c r="BE5" s="94"/>
      <c r="BF5" s="94"/>
      <c r="BG5" s="94"/>
      <c r="BH5" s="95"/>
      <c r="BK5" s="102"/>
      <c r="BL5" s="103"/>
      <c r="BM5" s="103"/>
      <c r="BN5" s="103"/>
      <c r="BO5" s="103"/>
      <c r="BP5" s="103"/>
      <c r="BQ5" s="103"/>
      <c r="BR5" s="103"/>
      <c r="BS5" s="103"/>
      <c r="BT5" s="103"/>
      <c r="BU5" s="103"/>
      <c r="BV5" s="103"/>
      <c r="BW5" s="103"/>
      <c r="BX5" s="103"/>
      <c r="BY5" s="103"/>
      <c r="BZ5" s="103"/>
      <c r="CA5" s="103"/>
      <c r="CB5" s="104"/>
    </row>
    <row r="6" spans="3:80" ht="9.75" customHeight="1">
      <c r="W6" s="93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94"/>
      <c r="AJ6" s="94"/>
      <c r="AK6" s="94"/>
      <c r="AL6" s="94"/>
      <c r="AM6" s="94"/>
      <c r="AN6" s="95"/>
      <c r="AQ6" s="93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5"/>
      <c r="BK6" s="102"/>
      <c r="BL6" s="103"/>
      <c r="BM6" s="103"/>
      <c r="BN6" s="103"/>
      <c r="BO6" s="103"/>
      <c r="BP6" s="103"/>
      <c r="BQ6" s="103"/>
      <c r="BR6" s="103"/>
      <c r="BS6" s="103"/>
      <c r="BT6" s="103"/>
      <c r="BU6" s="103"/>
      <c r="BV6" s="103"/>
      <c r="BW6" s="103"/>
      <c r="BX6" s="103"/>
      <c r="BY6" s="103"/>
      <c r="BZ6" s="103"/>
      <c r="CA6" s="103"/>
      <c r="CB6" s="104"/>
    </row>
    <row r="7" spans="3:80" ht="9.75" customHeight="1" thickBot="1">
      <c r="W7" s="96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8"/>
      <c r="AQ7" s="96"/>
      <c r="AR7" s="97"/>
      <c r="AS7" s="97"/>
      <c r="AT7" s="97"/>
      <c r="AU7" s="97"/>
      <c r="AV7" s="97"/>
      <c r="AW7" s="97"/>
      <c r="AX7" s="97"/>
      <c r="AY7" s="97"/>
      <c r="AZ7" s="97"/>
      <c r="BA7" s="97"/>
      <c r="BB7" s="97"/>
      <c r="BC7" s="97"/>
      <c r="BD7" s="97"/>
      <c r="BE7" s="97"/>
      <c r="BF7" s="97"/>
      <c r="BG7" s="97"/>
      <c r="BH7" s="98"/>
      <c r="BK7" s="105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7"/>
    </row>
    <row r="8" spans="3:80" ht="9.75" customHeight="1" thickBot="1"/>
    <row r="9" spans="3:80" ht="9.75" customHeight="1">
      <c r="C9" s="84" t="s">
        <v>81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85"/>
      <c r="AT9" s="85"/>
      <c r="AU9" s="85"/>
      <c r="AV9" s="85"/>
      <c r="AW9" s="85"/>
      <c r="AX9" s="85"/>
      <c r="AY9" s="85"/>
      <c r="AZ9" s="85"/>
      <c r="BA9" s="85"/>
      <c r="BB9" s="85"/>
      <c r="BC9" s="85"/>
      <c r="BD9" s="85"/>
      <c r="BE9" s="85"/>
      <c r="BF9" s="85"/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5"/>
      <c r="BS9" s="85"/>
      <c r="BT9" s="85"/>
      <c r="BU9" s="85"/>
      <c r="BV9" s="85"/>
      <c r="BW9" s="85"/>
      <c r="BX9" s="85"/>
      <c r="BY9" s="85"/>
      <c r="BZ9" s="85"/>
      <c r="CA9" s="85"/>
      <c r="CB9" s="86"/>
    </row>
    <row r="10" spans="3:80" ht="9.75" customHeight="1" thickBot="1">
      <c r="C10" s="87"/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  <c r="AP10" s="88"/>
      <c r="AQ10" s="88"/>
      <c r="AR10" s="88"/>
      <c r="AS10" s="88"/>
      <c r="AT10" s="88"/>
      <c r="AU10" s="88"/>
      <c r="AV10" s="88"/>
      <c r="AW10" s="88"/>
      <c r="AX10" s="88"/>
      <c r="AY10" s="88"/>
      <c r="AZ10" s="88"/>
      <c r="BA10" s="88"/>
      <c r="BB10" s="88"/>
      <c r="BC10" s="88"/>
      <c r="BD10" s="88"/>
      <c r="BE10" s="88"/>
      <c r="BF10" s="88"/>
      <c r="BG10" s="88"/>
      <c r="BH10" s="88"/>
      <c r="BI10" s="88"/>
      <c r="BJ10" s="88"/>
      <c r="BK10" s="88"/>
      <c r="BL10" s="88"/>
      <c r="BM10" s="88"/>
      <c r="BN10" s="88"/>
      <c r="BO10" s="88"/>
      <c r="BP10" s="88"/>
      <c r="BQ10" s="88"/>
      <c r="BR10" s="88"/>
      <c r="BS10" s="88"/>
      <c r="BT10" s="88"/>
      <c r="BU10" s="88"/>
      <c r="BV10" s="88"/>
      <c r="BW10" s="88"/>
      <c r="BX10" s="88"/>
      <c r="BY10" s="88"/>
      <c r="BZ10" s="88"/>
      <c r="CA10" s="88"/>
      <c r="CB10" s="89"/>
    </row>
    <row r="11" spans="3:80" ht="9.75" customHeight="1">
      <c r="C11" s="108"/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  <c r="AV11" s="109"/>
      <c r="AW11" s="109"/>
      <c r="AX11" s="109"/>
      <c r="AY11" s="109"/>
      <c r="AZ11" s="109"/>
      <c r="BA11" s="109"/>
      <c r="BB11" s="109"/>
      <c r="BC11" s="109"/>
      <c r="BD11" s="109"/>
      <c r="BE11" s="109"/>
      <c r="BF11" s="109"/>
      <c r="BG11" s="109"/>
      <c r="BH11" s="109"/>
      <c r="BI11" s="109"/>
      <c r="BJ11" s="109"/>
      <c r="BK11" s="109"/>
      <c r="BL11" s="109"/>
      <c r="BM11" s="109"/>
      <c r="BN11" s="109"/>
      <c r="BO11" s="109"/>
      <c r="BP11" s="109"/>
      <c r="BQ11" s="109"/>
      <c r="BR11" s="109"/>
      <c r="BS11" s="109"/>
      <c r="BT11" s="109"/>
      <c r="BU11" s="109"/>
      <c r="BV11" s="109"/>
      <c r="BW11" s="109"/>
      <c r="BX11" s="109"/>
      <c r="BY11" s="109"/>
      <c r="BZ11" s="109"/>
      <c r="CA11" s="109"/>
      <c r="CB11" s="110"/>
    </row>
    <row r="12" spans="3:80" ht="9.75" customHeight="1">
      <c r="C12" s="111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2"/>
      <c r="W12" s="112"/>
      <c r="X12" s="112"/>
      <c r="Y12" s="112"/>
      <c r="Z12" s="112"/>
      <c r="AA12" s="112"/>
      <c r="AB12" s="112"/>
      <c r="AC12" s="112"/>
      <c r="AD12" s="112"/>
      <c r="AE12" s="112"/>
      <c r="AF12" s="112"/>
      <c r="AG12" s="112"/>
      <c r="AH12" s="112"/>
      <c r="AI12" s="112"/>
      <c r="AJ12" s="112"/>
      <c r="AK12" s="112"/>
      <c r="AL12" s="112"/>
      <c r="AM12" s="112"/>
      <c r="AN12" s="112"/>
      <c r="AO12" s="112"/>
      <c r="AP12" s="112"/>
      <c r="AQ12" s="112"/>
      <c r="AR12" s="112"/>
      <c r="AS12" s="112"/>
      <c r="AT12" s="112"/>
      <c r="AU12" s="112"/>
      <c r="AV12" s="112"/>
      <c r="AW12" s="112"/>
      <c r="AX12" s="112"/>
      <c r="AY12" s="112"/>
      <c r="AZ12" s="112"/>
      <c r="BA12" s="112"/>
      <c r="BB12" s="112"/>
      <c r="BC12" s="112"/>
      <c r="BD12" s="112"/>
      <c r="BE12" s="112"/>
      <c r="BF12" s="112"/>
      <c r="BG12" s="112"/>
      <c r="BH12" s="112"/>
      <c r="BI12" s="112"/>
      <c r="BJ12" s="112"/>
      <c r="BK12" s="112"/>
      <c r="BL12" s="112"/>
      <c r="BM12" s="112"/>
      <c r="BN12" s="112"/>
      <c r="BO12" s="112"/>
      <c r="BP12" s="112"/>
      <c r="BQ12" s="112"/>
      <c r="BR12" s="112"/>
      <c r="BS12" s="112"/>
      <c r="BT12" s="112"/>
      <c r="BU12" s="112"/>
      <c r="BV12" s="112"/>
      <c r="BW12" s="112"/>
      <c r="BX12" s="112"/>
      <c r="BY12" s="112"/>
      <c r="BZ12" s="112"/>
      <c r="CA12" s="112"/>
      <c r="CB12" s="113"/>
    </row>
    <row r="13" spans="3:80" ht="9.75" customHeight="1">
      <c r="C13" s="111"/>
      <c r="D13" s="112"/>
      <c r="E13" s="112"/>
      <c r="F13" s="112"/>
      <c r="G13" s="112"/>
      <c r="H13" s="112"/>
      <c r="I13" s="112"/>
      <c r="J13" s="112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12"/>
      <c r="W13" s="112"/>
      <c r="X13" s="112"/>
      <c r="Y13" s="112"/>
      <c r="Z13" s="112"/>
      <c r="AA13" s="112"/>
      <c r="AB13" s="112"/>
      <c r="AC13" s="112"/>
      <c r="AD13" s="112"/>
      <c r="AE13" s="112"/>
      <c r="AF13" s="112"/>
      <c r="AG13" s="112"/>
      <c r="AH13" s="112"/>
      <c r="AI13" s="112"/>
      <c r="AJ13" s="112"/>
      <c r="AK13" s="112"/>
      <c r="AL13" s="112"/>
      <c r="AM13" s="112"/>
      <c r="AN13" s="112"/>
      <c r="AO13" s="112"/>
      <c r="AP13" s="112"/>
      <c r="AQ13" s="112"/>
      <c r="AR13" s="112"/>
      <c r="AS13" s="112"/>
      <c r="AT13" s="112"/>
      <c r="AU13" s="112"/>
      <c r="AV13" s="112"/>
      <c r="AW13" s="112"/>
      <c r="AX13" s="112"/>
      <c r="AY13" s="112"/>
      <c r="AZ13" s="112"/>
      <c r="BA13" s="112"/>
      <c r="BB13" s="112"/>
      <c r="BC13" s="112"/>
      <c r="BD13" s="112"/>
      <c r="BE13" s="112"/>
      <c r="BF13" s="112"/>
      <c r="BG13" s="112"/>
      <c r="BH13" s="112"/>
      <c r="BI13" s="112"/>
      <c r="BJ13" s="112"/>
      <c r="BK13" s="112"/>
      <c r="BL13" s="112"/>
      <c r="BM13" s="112"/>
      <c r="BN13" s="112"/>
      <c r="BO13" s="112"/>
      <c r="BP13" s="112"/>
      <c r="BQ13" s="112"/>
      <c r="BR13" s="112"/>
      <c r="BS13" s="112"/>
      <c r="BT13" s="112"/>
      <c r="BU13" s="112"/>
      <c r="BV13" s="112"/>
      <c r="BW13" s="112"/>
      <c r="BX13" s="112"/>
      <c r="BY13" s="112"/>
      <c r="BZ13" s="112"/>
      <c r="CA13" s="112"/>
      <c r="CB13" s="113"/>
    </row>
    <row r="14" spans="3:80" ht="9.75" customHeight="1">
      <c r="C14" s="111"/>
      <c r="D14" s="112"/>
      <c r="E14" s="112"/>
      <c r="F14" s="112"/>
      <c r="G14" s="112"/>
      <c r="H14" s="112"/>
      <c r="I14" s="112"/>
      <c r="J14" s="112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2"/>
      <c r="W14" s="112"/>
      <c r="X14" s="112"/>
      <c r="Y14" s="112"/>
      <c r="Z14" s="112"/>
      <c r="AA14" s="112"/>
      <c r="AB14" s="112"/>
      <c r="AC14" s="112"/>
      <c r="AD14" s="112"/>
      <c r="AE14" s="112"/>
      <c r="AF14" s="112"/>
      <c r="AG14" s="112"/>
      <c r="AH14" s="112"/>
      <c r="AI14" s="112"/>
      <c r="AJ14" s="112"/>
      <c r="AK14" s="112"/>
      <c r="AL14" s="112"/>
      <c r="AM14" s="112"/>
      <c r="AN14" s="112"/>
      <c r="AO14" s="112"/>
      <c r="AP14" s="112"/>
      <c r="AQ14" s="112"/>
      <c r="AR14" s="112"/>
      <c r="AS14" s="112"/>
      <c r="AT14" s="112"/>
      <c r="AU14" s="112"/>
      <c r="AV14" s="112"/>
      <c r="AW14" s="112"/>
      <c r="AX14" s="112"/>
      <c r="AY14" s="112"/>
      <c r="AZ14" s="112"/>
      <c r="BA14" s="112"/>
      <c r="BB14" s="112"/>
      <c r="BC14" s="112"/>
      <c r="BD14" s="112"/>
      <c r="BE14" s="112"/>
      <c r="BF14" s="112"/>
      <c r="BG14" s="112"/>
      <c r="BH14" s="112"/>
      <c r="BI14" s="112"/>
      <c r="BJ14" s="112"/>
      <c r="BK14" s="112"/>
      <c r="BL14" s="112"/>
      <c r="BM14" s="112"/>
      <c r="BN14" s="112"/>
      <c r="BO14" s="112"/>
      <c r="BP14" s="112"/>
      <c r="BQ14" s="112"/>
      <c r="BR14" s="112"/>
      <c r="BS14" s="112"/>
      <c r="BT14" s="112"/>
      <c r="BU14" s="112"/>
      <c r="BV14" s="112"/>
      <c r="BW14" s="112"/>
      <c r="BX14" s="112"/>
      <c r="BY14" s="112"/>
      <c r="BZ14" s="112"/>
      <c r="CA14" s="112"/>
      <c r="CB14" s="113"/>
    </row>
    <row r="15" spans="3:80" ht="9.75" customHeight="1">
      <c r="C15" s="111"/>
      <c r="D15" s="112"/>
      <c r="E15" s="112"/>
      <c r="F15" s="112"/>
      <c r="G15" s="112"/>
      <c r="H15" s="112"/>
      <c r="I15" s="112"/>
      <c r="J15" s="112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12"/>
      <c r="W15" s="112"/>
      <c r="X15" s="112"/>
      <c r="Y15" s="112"/>
      <c r="Z15" s="112"/>
      <c r="AA15" s="112"/>
      <c r="AB15" s="112"/>
      <c r="AC15" s="112"/>
      <c r="AD15" s="112"/>
      <c r="AE15" s="112"/>
      <c r="AF15" s="112"/>
      <c r="AG15" s="112"/>
      <c r="AH15" s="112"/>
      <c r="AI15" s="112"/>
      <c r="AJ15" s="112"/>
      <c r="AK15" s="112"/>
      <c r="AL15" s="112"/>
      <c r="AM15" s="112"/>
      <c r="AN15" s="112"/>
      <c r="AO15" s="112"/>
      <c r="AP15" s="112"/>
      <c r="AQ15" s="112"/>
      <c r="AR15" s="112"/>
      <c r="AS15" s="112"/>
      <c r="AT15" s="112"/>
      <c r="AU15" s="112"/>
      <c r="AV15" s="112"/>
      <c r="AW15" s="112"/>
      <c r="AX15" s="112"/>
      <c r="AY15" s="112"/>
      <c r="AZ15" s="112"/>
      <c r="BA15" s="112"/>
      <c r="BB15" s="112"/>
      <c r="BC15" s="112"/>
      <c r="BD15" s="112"/>
      <c r="BE15" s="112"/>
      <c r="BF15" s="112"/>
      <c r="BG15" s="112"/>
      <c r="BH15" s="112"/>
      <c r="BI15" s="112"/>
      <c r="BJ15" s="112"/>
      <c r="BK15" s="112"/>
      <c r="BL15" s="112"/>
      <c r="BM15" s="112"/>
      <c r="BN15" s="112"/>
      <c r="BO15" s="112"/>
      <c r="BP15" s="112"/>
      <c r="BQ15" s="112"/>
      <c r="BR15" s="112"/>
      <c r="BS15" s="112"/>
      <c r="BT15" s="112"/>
      <c r="BU15" s="112"/>
      <c r="BV15" s="112"/>
      <c r="BW15" s="112"/>
      <c r="BX15" s="112"/>
      <c r="BY15" s="112"/>
      <c r="BZ15" s="112"/>
      <c r="CA15" s="112"/>
      <c r="CB15" s="113"/>
    </row>
    <row r="16" spans="3:80" ht="9.75" customHeight="1">
      <c r="C16" s="111"/>
      <c r="D16" s="112"/>
      <c r="E16" s="112"/>
      <c r="F16" s="112"/>
      <c r="G16" s="112"/>
      <c r="H16" s="112"/>
      <c r="I16" s="112"/>
      <c r="J16" s="112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2"/>
      <c r="W16" s="112"/>
      <c r="X16" s="112"/>
      <c r="Y16" s="112"/>
      <c r="Z16" s="112"/>
      <c r="AA16" s="112"/>
      <c r="AB16" s="112"/>
      <c r="AC16" s="112"/>
      <c r="AD16" s="112"/>
      <c r="AE16" s="112"/>
      <c r="AF16" s="112"/>
      <c r="AG16" s="112"/>
      <c r="AH16" s="112"/>
      <c r="AI16" s="112"/>
      <c r="AJ16" s="112"/>
      <c r="AK16" s="112"/>
      <c r="AL16" s="112"/>
      <c r="AM16" s="112"/>
      <c r="AN16" s="112"/>
      <c r="AO16" s="112"/>
      <c r="AP16" s="112"/>
      <c r="AQ16" s="112"/>
      <c r="AR16" s="112"/>
      <c r="AS16" s="112"/>
      <c r="AT16" s="112"/>
      <c r="AU16" s="112"/>
      <c r="AV16" s="112"/>
      <c r="AW16" s="112"/>
      <c r="AX16" s="112"/>
      <c r="AY16" s="112"/>
      <c r="AZ16" s="112"/>
      <c r="BA16" s="112"/>
      <c r="BB16" s="112"/>
      <c r="BC16" s="112"/>
      <c r="BD16" s="112"/>
      <c r="BE16" s="112"/>
      <c r="BF16" s="112"/>
      <c r="BG16" s="112"/>
      <c r="BH16" s="112"/>
      <c r="BI16" s="112"/>
      <c r="BJ16" s="112"/>
      <c r="BK16" s="112"/>
      <c r="BL16" s="112"/>
      <c r="BM16" s="112"/>
      <c r="BN16" s="112"/>
      <c r="BO16" s="112"/>
      <c r="BP16" s="112"/>
      <c r="BQ16" s="112"/>
      <c r="BR16" s="112"/>
      <c r="BS16" s="112"/>
      <c r="BT16" s="112"/>
      <c r="BU16" s="112"/>
      <c r="BV16" s="112"/>
      <c r="BW16" s="112"/>
      <c r="BX16" s="112"/>
      <c r="BY16" s="112"/>
      <c r="BZ16" s="112"/>
      <c r="CA16" s="112"/>
      <c r="CB16" s="113"/>
    </row>
    <row r="17" spans="3:80" ht="9.75" customHeight="1">
      <c r="C17" s="111"/>
      <c r="D17" s="112"/>
      <c r="E17" s="112"/>
      <c r="F17" s="112"/>
      <c r="G17" s="112"/>
      <c r="H17" s="112"/>
      <c r="I17" s="112"/>
      <c r="J17" s="112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12"/>
      <c r="W17" s="112"/>
      <c r="X17" s="112"/>
      <c r="Y17" s="112"/>
      <c r="Z17" s="112"/>
      <c r="AA17" s="112"/>
      <c r="AB17" s="112"/>
      <c r="AC17" s="112"/>
      <c r="AD17" s="112"/>
      <c r="AE17" s="112"/>
      <c r="AF17" s="112"/>
      <c r="AG17" s="112"/>
      <c r="AH17" s="112"/>
      <c r="AI17" s="112"/>
      <c r="AJ17" s="112"/>
      <c r="AK17" s="112"/>
      <c r="AL17" s="112"/>
      <c r="AM17" s="112"/>
      <c r="AN17" s="112"/>
      <c r="AO17" s="112"/>
      <c r="AP17" s="112"/>
      <c r="AQ17" s="112"/>
      <c r="AR17" s="112"/>
      <c r="AS17" s="112"/>
      <c r="AT17" s="112"/>
      <c r="AU17" s="112"/>
      <c r="AV17" s="112"/>
      <c r="AW17" s="112"/>
      <c r="AX17" s="112"/>
      <c r="AY17" s="112"/>
      <c r="AZ17" s="112"/>
      <c r="BA17" s="112"/>
      <c r="BB17" s="112"/>
      <c r="BC17" s="112"/>
      <c r="BD17" s="112"/>
      <c r="BE17" s="112"/>
      <c r="BF17" s="112"/>
      <c r="BG17" s="112"/>
      <c r="BH17" s="112"/>
      <c r="BI17" s="112"/>
      <c r="BJ17" s="112"/>
      <c r="BK17" s="112"/>
      <c r="BL17" s="112"/>
      <c r="BM17" s="112"/>
      <c r="BN17" s="112"/>
      <c r="BO17" s="112"/>
      <c r="BP17" s="112"/>
      <c r="BQ17" s="112"/>
      <c r="BR17" s="112"/>
      <c r="BS17" s="112"/>
      <c r="BT17" s="112"/>
      <c r="BU17" s="112"/>
      <c r="BV17" s="112"/>
      <c r="BW17" s="112"/>
      <c r="BX17" s="112"/>
      <c r="BY17" s="112"/>
      <c r="BZ17" s="112"/>
      <c r="CA17" s="112"/>
      <c r="CB17" s="113"/>
    </row>
    <row r="18" spans="3:80" ht="9.75" customHeight="1">
      <c r="C18" s="111"/>
      <c r="D18" s="112"/>
      <c r="E18" s="112"/>
      <c r="F18" s="112"/>
      <c r="G18" s="112"/>
      <c r="H18" s="112"/>
      <c r="I18" s="112"/>
      <c r="J18" s="112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2"/>
      <c r="W18" s="112"/>
      <c r="X18" s="112"/>
      <c r="Y18" s="112"/>
      <c r="Z18" s="112"/>
      <c r="AA18" s="112"/>
      <c r="AB18" s="112"/>
      <c r="AC18" s="112"/>
      <c r="AD18" s="112"/>
      <c r="AE18" s="112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Q18" s="112"/>
      <c r="AR18" s="112"/>
      <c r="AS18" s="112"/>
      <c r="AT18" s="112"/>
      <c r="AU18" s="112"/>
      <c r="AV18" s="112"/>
      <c r="AW18" s="112"/>
      <c r="AX18" s="112"/>
      <c r="AY18" s="112"/>
      <c r="AZ18" s="112"/>
      <c r="BA18" s="112"/>
      <c r="BB18" s="112"/>
      <c r="BC18" s="112"/>
      <c r="BD18" s="112"/>
      <c r="BE18" s="112"/>
      <c r="BF18" s="112"/>
      <c r="BG18" s="112"/>
      <c r="BH18" s="112"/>
      <c r="BI18" s="112"/>
      <c r="BJ18" s="112"/>
      <c r="BK18" s="112"/>
      <c r="BL18" s="112"/>
      <c r="BM18" s="112"/>
      <c r="BN18" s="112"/>
      <c r="BO18" s="112"/>
      <c r="BP18" s="112"/>
      <c r="BQ18" s="112"/>
      <c r="BR18" s="112"/>
      <c r="BS18" s="112"/>
      <c r="BT18" s="112"/>
      <c r="BU18" s="112"/>
      <c r="BV18" s="112"/>
      <c r="BW18" s="112"/>
      <c r="BX18" s="112"/>
      <c r="BY18" s="112"/>
      <c r="BZ18" s="112"/>
      <c r="CA18" s="112"/>
      <c r="CB18" s="113"/>
    </row>
    <row r="19" spans="3:80" ht="9.75" customHeight="1">
      <c r="C19" s="111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2"/>
      <c r="O19" s="112"/>
      <c r="P19" s="112"/>
      <c r="Q19" s="112"/>
      <c r="R19" s="112"/>
      <c r="S19" s="112"/>
      <c r="T19" s="112"/>
      <c r="U19" s="112"/>
      <c r="V19" s="112"/>
      <c r="W19" s="112"/>
      <c r="X19" s="112"/>
      <c r="Y19" s="112"/>
      <c r="Z19" s="112"/>
      <c r="AA19" s="112"/>
      <c r="AB19" s="112"/>
      <c r="AC19" s="112"/>
      <c r="AD19" s="112"/>
      <c r="AE19" s="112"/>
      <c r="AF19" s="112"/>
      <c r="AG19" s="112"/>
      <c r="AH19" s="112"/>
      <c r="AI19" s="112"/>
      <c r="AJ19" s="112"/>
      <c r="AK19" s="112"/>
      <c r="AL19" s="112"/>
      <c r="AM19" s="112"/>
      <c r="AN19" s="112"/>
      <c r="AO19" s="112"/>
      <c r="AP19" s="112"/>
      <c r="AQ19" s="112"/>
      <c r="AR19" s="112"/>
      <c r="AS19" s="112"/>
      <c r="AT19" s="112"/>
      <c r="AU19" s="112"/>
      <c r="AV19" s="112"/>
      <c r="AW19" s="112"/>
      <c r="AX19" s="112"/>
      <c r="AY19" s="112"/>
      <c r="AZ19" s="112"/>
      <c r="BA19" s="112"/>
      <c r="BB19" s="112"/>
      <c r="BC19" s="112"/>
      <c r="BD19" s="112"/>
      <c r="BE19" s="112"/>
      <c r="BF19" s="112"/>
      <c r="BG19" s="112"/>
      <c r="BH19" s="112"/>
      <c r="BI19" s="112"/>
      <c r="BJ19" s="112"/>
      <c r="BK19" s="112"/>
      <c r="BL19" s="112"/>
      <c r="BM19" s="112"/>
      <c r="BN19" s="112"/>
      <c r="BO19" s="112"/>
      <c r="BP19" s="112"/>
      <c r="BQ19" s="112"/>
      <c r="BR19" s="112"/>
      <c r="BS19" s="112"/>
      <c r="BT19" s="112"/>
      <c r="BU19" s="112"/>
      <c r="BV19" s="112"/>
      <c r="BW19" s="112"/>
      <c r="BX19" s="112"/>
      <c r="BY19" s="112"/>
      <c r="BZ19" s="112"/>
      <c r="CA19" s="112"/>
      <c r="CB19" s="113"/>
    </row>
    <row r="20" spans="3:80" ht="9.75" customHeight="1">
      <c r="C20" s="111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2"/>
      <c r="Q20" s="112"/>
      <c r="R20" s="112"/>
      <c r="S20" s="112"/>
      <c r="T20" s="112"/>
      <c r="U20" s="112"/>
      <c r="V20" s="112"/>
      <c r="W20" s="112"/>
      <c r="X20" s="112"/>
      <c r="Y20" s="112"/>
      <c r="Z20" s="112"/>
      <c r="AA20" s="112"/>
      <c r="AB20" s="112"/>
      <c r="AC20" s="112"/>
      <c r="AD20" s="112"/>
      <c r="AE20" s="112"/>
      <c r="AF20" s="112"/>
      <c r="AG20" s="112"/>
      <c r="AH20" s="112"/>
      <c r="AI20" s="112"/>
      <c r="AJ20" s="112"/>
      <c r="AK20" s="112"/>
      <c r="AL20" s="112"/>
      <c r="AM20" s="112"/>
      <c r="AN20" s="112"/>
      <c r="AO20" s="112"/>
      <c r="AP20" s="112"/>
      <c r="AQ20" s="112"/>
      <c r="AR20" s="112"/>
      <c r="AS20" s="112"/>
      <c r="AT20" s="112"/>
      <c r="AU20" s="112"/>
      <c r="AV20" s="112"/>
      <c r="AW20" s="112"/>
      <c r="AX20" s="112"/>
      <c r="AY20" s="112"/>
      <c r="AZ20" s="112"/>
      <c r="BA20" s="112"/>
      <c r="BB20" s="112"/>
      <c r="BC20" s="112"/>
      <c r="BD20" s="112"/>
      <c r="BE20" s="112"/>
      <c r="BF20" s="112"/>
      <c r="BG20" s="112"/>
      <c r="BH20" s="112"/>
      <c r="BI20" s="112"/>
      <c r="BJ20" s="112"/>
      <c r="BK20" s="112"/>
      <c r="BL20" s="112"/>
      <c r="BM20" s="112"/>
      <c r="BN20" s="112"/>
      <c r="BO20" s="112"/>
      <c r="BP20" s="112"/>
      <c r="BQ20" s="112"/>
      <c r="BR20" s="112"/>
      <c r="BS20" s="112"/>
      <c r="BT20" s="112"/>
      <c r="BU20" s="112"/>
      <c r="BV20" s="112"/>
      <c r="BW20" s="112"/>
      <c r="BX20" s="112"/>
      <c r="BY20" s="112"/>
      <c r="BZ20" s="112"/>
      <c r="CA20" s="112"/>
      <c r="CB20" s="113"/>
    </row>
    <row r="21" spans="3:80" ht="9.75" customHeight="1">
      <c r="C21" s="111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2"/>
      <c r="O21" s="112"/>
      <c r="P21" s="112"/>
      <c r="Q21" s="112"/>
      <c r="R21" s="112"/>
      <c r="S21" s="112"/>
      <c r="T21" s="112"/>
      <c r="U21" s="112"/>
      <c r="V21" s="112"/>
      <c r="W21" s="112"/>
      <c r="X21" s="112"/>
      <c r="Y21" s="112"/>
      <c r="Z21" s="112"/>
      <c r="AA21" s="112"/>
      <c r="AB21" s="112"/>
      <c r="AC21" s="112"/>
      <c r="AD21" s="112"/>
      <c r="AE21" s="112"/>
      <c r="AF21" s="112"/>
      <c r="AG21" s="112"/>
      <c r="AH21" s="112"/>
      <c r="AI21" s="112"/>
      <c r="AJ21" s="112"/>
      <c r="AK21" s="112"/>
      <c r="AL21" s="112"/>
      <c r="AM21" s="112"/>
      <c r="AN21" s="112"/>
      <c r="AO21" s="112"/>
      <c r="AP21" s="112"/>
      <c r="AQ21" s="112"/>
      <c r="AR21" s="112"/>
      <c r="AS21" s="112"/>
      <c r="AT21" s="112"/>
      <c r="AU21" s="112"/>
      <c r="AV21" s="112"/>
      <c r="AW21" s="112"/>
      <c r="AX21" s="112"/>
      <c r="AY21" s="112"/>
      <c r="AZ21" s="112"/>
      <c r="BA21" s="112"/>
      <c r="BB21" s="112"/>
      <c r="BC21" s="112"/>
      <c r="BD21" s="112"/>
      <c r="BE21" s="112"/>
      <c r="BF21" s="112"/>
      <c r="BG21" s="112"/>
      <c r="BH21" s="112"/>
      <c r="BI21" s="112"/>
      <c r="BJ21" s="112"/>
      <c r="BK21" s="112"/>
      <c r="BL21" s="112"/>
      <c r="BM21" s="112"/>
      <c r="BN21" s="112"/>
      <c r="BO21" s="112"/>
      <c r="BP21" s="112"/>
      <c r="BQ21" s="112"/>
      <c r="BR21" s="112"/>
      <c r="BS21" s="112"/>
      <c r="BT21" s="112"/>
      <c r="BU21" s="112"/>
      <c r="BV21" s="112"/>
      <c r="BW21" s="112"/>
      <c r="BX21" s="112"/>
      <c r="BY21" s="112"/>
      <c r="BZ21" s="112"/>
      <c r="CA21" s="112"/>
      <c r="CB21" s="113"/>
    </row>
    <row r="22" spans="3:80" ht="9.75" customHeight="1">
      <c r="C22" s="111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2"/>
      <c r="O22" s="112"/>
      <c r="P22" s="112"/>
      <c r="Q22" s="112"/>
      <c r="R22" s="112"/>
      <c r="S22" s="112"/>
      <c r="T22" s="112"/>
      <c r="U22" s="112"/>
      <c r="V22" s="112"/>
      <c r="W22" s="112"/>
      <c r="X22" s="112"/>
      <c r="Y22" s="112"/>
      <c r="Z22" s="112"/>
      <c r="AA22" s="112"/>
      <c r="AB22" s="112"/>
      <c r="AC22" s="112"/>
      <c r="AD22" s="112"/>
      <c r="AE22" s="112"/>
      <c r="AF22" s="112"/>
      <c r="AG22" s="112"/>
      <c r="AH22" s="112"/>
      <c r="AI22" s="112"/>
      <c r="AJ22" s="112"/>
      <c r="AK22" s="112"/>
      <c r="AL22" s="112"/>
      <c r="AM22" s="112"/>
      <c r="AN22" s="112"/>
      <c r="AO22" s="112"/>
      <c r="AP22" s="112"/>
      <c r="AQ22" s="112"/>
      <c r="AR22" s="112"/>
      <c r="AS22" s="112"/>
      <c r="AT22" s="112"/>
      <c r="AU22" s="112"/>
      <c r="AV22" s="112"/>
      <c r="AW22" s="112"/>
      <c r="AX22" s="112"/>
      <c r="AY22" s="112"/>
      <c r="AZ22" s="112"/>
      <c r="BA22" s="112"/>
      <c r="BB22" s="112"/>
      <c r="BC22" s="112"/>
      <c r="BD22" s="112"/>
      <c r="BE22" s="112"/>
      <c r="BF22" s="112"/>
      <c r="BG22" s="112"/>
      <c r="BH22" s="112"/>
      <c r="BI22" s="112"/>
      <c r="BJ22" s="112"/>
      <c r="BK22" s="112"/>
      <c r="BL22" s="112"/>
      <c r="BM22" s="112"/>
      <c r="BN22" s="112"/>
      <c r="BO22" s="112"/>
      <c r="BP22" s="112"/>
      <c r="BQ22" s="112"/>
      <c r="BR22" s="112"/>
      <c r="BS22" s="112"/>
      <c r="BT22" s="112"/>
      <c r="BU22" s="112"/>
      <c r="BV22" s="112"/>
      <c r="BW22" s="112"/>
      <c r="BX22" s="112"/>
      <c r="BY22" s="112"/>
      <c r="BZ22" s="112"/>
      <c r="CA22" s="112"/>
      <c r="CB22" s="113"/>
    </row>
    <row r="23" spans="3:80" ht="9.75" customHeight="1">
      <c r="C23" s="111"/>
      <c r="D23" s="112"/>
      <c r="E23" s="112"/>
      <c r="F23" s="112"/>
      <c r="G23" s="112"/>
      <c r="H23" s="112"/>
      <c r="I23" s="112"/>
      <c r="J23" s="112"/>
      <c r="K23" s="112"/>
      <c r="L23" s="112"/>
      <c r="M23" s="112"/>
      <c r="N23" s="112"/>
      <c r="O23" s="112"/>
      <c r="P23" s="112"/>
      <c r="Q23" s="112"/>
      <c r="R23" s="112"/>
      <c r="S23" s="112"/>
      <c r="T23" s="112"/>
      <c r="U23" s="112"/>
      <c r="V23" s="112"/>
      <c r="W23" s="112"/>
      <c r="X23" s="112"/>
      <c r="Y23" s="112"/>
      <c r="Z23" s="112"/>
      <c r="AA23" s="112"/>
      <c r="AB23" s="112"/>
      <c r="AC23" s="112"/>
      <c r="AD23" s="112"/>
      <c r="AE23" s="112"/>
      <c r="AF23" s="112"/>
      <c r="AG23" s="112"/>
      <c r="AH23" s="112"/>
      <c r="AI23" s="112"/>
      <c r="AJ23" s="112"/>
      <c r="AK23" s="112"/>
      <c r="AL23" s="112"/>
      <c r="AM23" s="112"/>
      <c r="AN23" s="112"/>
      <c r="AO23" s="112"/>
      <c r="AP23" s="112"/>
      <c r="AQ23" s="112"/>
      <c r="AR23" s="112"/>
      <c r="AS23" s="112"/>
      <c r="AT23" s="112"/>
      <c r="AU23" s="112"/>
      <c r="AV23" s="112"/>
      <c r="AW23" s="112"/>
      <c r="AX23" s="112"/>
      <c r="AY23" s="112"/>
      <c r="AZ23" s="112"/>
      <c r="BA23" s="112"/>
      <c r="BB23" s="112"/>
      <c r="BC23" s="112"/>
      <c r="BD23" s="112"/>
      <c r="BE23" s="112"/>
      <c r="BF23" s="112"/>
      <c r="BG23" s="112"/>
      <c r="BH23" s="112"/>
      <c r="BI23" s="112"/>
      <c r="BJ23" s="112"/>
      <c r="BK23" s="112"/>
      <c r="BL23" s="112"/>
      <c r="BM23" s="112"/>
      <c r="BN23" s="112"/>
      <c r="BO23" s="112"/>
      <c r="BP23" s="112"/>
      <c r="BQ23" s="112"/>
      <c r="BR23" s="112"/>
      <c r="BS23" s="112"/>
      <c r="BT23" s="112"/>
      <c r="BU23" s="112"/>
      <c r="BV23" s="112"/>
      <c r="BW23" s="112"/>
      <c r="BX23" s="112"/>
      <c r="BY23" s="112"/>
      <c r="BZ23" s="112"/>
      <c r="CA23" s="112"/>
      <c r="CB23" s="113"/>
    </row>
    <row r="24" spans="3:80" ht="9.75" customHeight="1" thickBot="1">
      <c r="C24" s="114"/>
      <c r="D24" s="115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15"/>
      <c r="W24" s="115"/>
      <c r="X24" s="115"/>
      <c r="Y24" s="115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  <c r="AP24" s="115"/>
      <c r="AQ24" s="115"/>
      <c r="AR24" s="115"/>
      <c r="AS24" s="115"/>
      <c r="AT24" s="115"/>
      <c r="AU24" s="115"/>
      <c r="AV24" s="115"/>
      <c r="AW24" s="115"/>
      <c r="AX24" s="115"/>
      <c r="AY24" s="115"/>
      <c r="AZ24" s="115"/>
      <c r="BA24" s="115"/>
      <c r="BB24" s="115"/>
      <c r="BC24" s="115"/>
      <c r="BD24" s="115"/>
      <c r="BE24" s="115"/>
      <c r="BF24" s="115"/>
      <c r="BG24" s="115"/>
      <c r="BH24" s="115"/>
      <c r="BI24" s="115"/>
      <c r="BJ24" s="115"/>
      <c r="BK24" s="115"/>
      <c r="BL24" s="115"/>
      <c r="BM24" s="115"/>
      <c r="BN24" s="115"/>
      <c r="BO24" s="115"/>
      <c r="BP24" s="115"/>
      <c r="BQ24" s="115"/>
      <c r="BR24" s="115"/>
      <c r="BS24" s="115"/>
      <c r="BT24" s="115"/>
      <c r="BU24" s="115"/>
      <c r="BV24" s="115"/>
      <c r="BW24" s="115"/>
      <c r="BX24" s="115"/>
      <c r="BY24" s="115"/>
      <c r="BZ24" s="115"/>
      <c r="CA24" s="115"/>
      <c r="CB24" s="116"/>
    </row>
    <row r="25" spans="3:80" ht="9.75" customHeight="1" thickBot="1"/>
    <row r="26" spans="3:80" ht="9.75" customHeight="1">
      <c r="C26" s="84" t="s">
        <v>82</v>
      </c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/>
      <c r="AD26" s="85"/>
      <c r="AE26" s="85"/>
      <c r="AF26" s="85"/>
      <c r="AG26" s="85"/>
      <c r="AH26" s="85"/>
      <c r="AI26" s="85"/>
      <c r="AJ26" s="85"/>
      <c r="AK26" s="85"/>
      <c r="AL26" s="85"/>
      <c r="AM26" s="85"/>
      <c r="AN26" s="86"/>
      <c r="AO26" s="13"/>
      <c r="AP26" s="13"/>
      <c r="AQ26" s="84" t="s">
        <v>83</v>
      </c>
      <c r="AR26" s="85"/>
      <c r="AS26" s="85"/>
      <c r="AT26" s="85"/>
      <c r="AU26" s="85"/>
      <c r="AV26" s="85"/>
      <c r="AW26" s="85"/>
      <c r="AX26" s="85"/>
      <c r="AY26" s="85"/>
      <c r="AZ26" s="85"/>
      <c r="BA26" s="85"/>
      <c r="BB26" s="85"/>
      <c r="BC26" s="85"/>
      <c r="BD26" s="85"/>
      <c r="BE26" s="85"/>
      <c r="BF26" s="85"/>
      <c r="BG26" s="85"/>
      <c r="BH26" s="85"/>
      <c r="BI26" s="85"/>
      <c r="BJ26" s="85"/>
      <c r="BK26" s="85"/>
      <c r="BL26" s="85"/>
      <c r="BM26" s="85"/>
      <c r="BN26" s="85"/>
      <c r="BO26" s="85"/>
      <c r="BP26" s="85"/>
      <c r="BQ26" s="85"/>
      <c r="BR26" s="85"/>
      <c r="BS26" s="85"/>
      <c r="BT26" s="85"/>
      <c r="BU26" s="85"/>
      <c r="BV26" s="85"/>
      <c r="BW26" s="85"/>
      <c r="BX26" s="85"/>
      <c r="BY26" s="85"/>
      <c r="BZ26" s="85"/>
      <c r="CA26" s="85"/>
      <c r="CB26" s="86"/>
    </row>
    <row r="27" spans="3:80" ht="9.75" customHeight="1" thickBot="1">
      <c r="C27" s="87"/>
      <c r="D27" s="88"/>
      <c r="E27" s="88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88"/>
      <c r="AJ27" s="88"/>
      <c r="AK27" s="88"/>
      <c r="AL27" s="88"/>
      <c r="AM27" s="88"/>
      <c r="AN27" s="89"/>
      <c r="AO27" s="13"/>
      <c r="AP27" s="13"/>
      <c r="AQ27" s="87"/>
      <c r="AR27" s="88"/>
      <c r="AS27" s="88"/>
      <c r="AT27" s="88"/>
      <c r="AU27" s="88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88"/>
      <c r="BG27" s="88"/>
      <c r="BH27" s="88"/>
      <c r="BI27" s="88"/>
      <c r="BJ27" s="88"/>
      <c r="BK27" s="88"/>
      <c r="BL27" s="88"/>
      <c r="BM27" s="88"/>
      <c r="BN27" s="88"/>
      <c r="BO27" s="88"/>
      <c r="BP27" s="88"/>
      <c r="BQ27" s="88"/>
      <c r="BR27" s="88"/>
      <c r="BS27" s="88"/>
      <c r="BT27" s="88"/>
      <c r="BU27" s="88"/>
      <c r="BV27" s="88"/>
      <c r="BW27" s="88"/>
      <c r="BX27" s="88"/>
      <c r="BY27" s="88"/>
      <c r="BZ27" s="88"/>
      <c r="CA27" s="88"/>
      <c r="CB27" s="89"/>
    </row>
    <row r="28" spans="3:80" ht="9.75" customHeight="1">
      <c r="C28" s="108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109"/>
      <c r="AL28" s="109"/>
      <c r="AM28" s="109"/>
      <c r="AN28" s="110"/>
      <c r="AQ28" s="108"/>
      <c r="AR28" s="109"/>
      <c r="AS28" s="109"/>
      <c r="AT28" s="109"/>
      <c r="AU28" s="109"/>
      <c r="AV28" s="109"/>
      <c r="AW28" s="109"/>
      <c r="AX28" s="109"/>
      <c r="AY28" s="109"/>
      <c r="AZ28" s="109"/>
      <c r="BA28" s="109"/>
      <c r="BB28" s="109"/>
      <c r="BC28" s="109"/>
      <c r="BD28" s="109"/>
      <c r="BE28" s="109"/>
      <c r="BF28" s="109"/>
      <c r="BG28" s="109"/>
      <c r="BH28" s="109"/>
      <c r="BI28" s="109"/>
      <c r="BJ28" s="109"/>
      <c r="BK28" s="109"/>
      <c r="BL28" s="109"/>
      <c r="BM28" s="109"/>
      <c r="BN28" s="109"/>
      <c r="BO28" s="109"/>
      <c r="BP28" s="109"/>
      <c r="BQ28" s="109"/>
      <c r="BR28" s="109"/>
      <c r="BS28" s="109"/>
      <c r="BT28" s="109"/>
      <c r="BU28" s="109"/>
      <c r="BV28" s="109"/>
      <c r="BW28" s="109"/>
      <c r="BX28" s="109"/>
      <c r="BY28" s="109"/>
      <c r="BZ28" s="109"/>
      <c r="CA28" s="109"/>
      <c r="CB28" s="110"/>
    </row>
    <row r="29" spans="3:80" ht="9.75" customHeight="1">
      <c r="C29" s="111"/>
      <c r="D29" s="112"/>
      <c r="E29" s="112"/>
      <c r="F29" s="112"/>
      <c r="G29" s="112"/>
      <c r="H29" s="112"/>
      <c r="I29" s="112"/>
      <c r="J29" s="112"/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2"/>
      <c r="AC29" s="112"/>
      <c r="AD29" s="112"/>
      <c r="AE29" s="112"/>
      <c r="AF29" s="112"/>
      <c r="AG29" s="112"/>
      <c r="AH29" s="112"/>
      <c r="AI29" s="112"/>
      <c r="AJ29" s="112"/>
      <c r="AK29" s="112"/>
      <c r="AL29" s="112"/>
      <c r="AM29" s="112"/>
      <c r="AN29" s="113"/>
      <c r="AQ29" s="111"/>
      <c r="AR29" s="112"/>
      <c r="AS29" s="112"/>
      <c r="AT29" s="112"/>
      <c r="AU29" s="112"/>
      <c r="AV29" s="112"/>
      <c r="AW29" s="112"/>
      <c r="AX29" s="112"/>
      <c r="AY29" s="112"/>
      <c r="AZ29" s="112"/>
      <c r="BA29" s="112"/>
      <c r="BB29" s="112"/>
      <c r="BC29" s="112"/>
      <c r="BD29" s="112"/>
      <c r="BE29" s="112"/>
      <c r="BF29" s="112"/>
      <c r="BG29" s="112"/>
      <c r="BH29" s="112"/>
      <c r="BI29" s="112"/>
      <c r="BJ29" s="112"/>
      <c r="BK29" s="112"/>
      <c r="BL29" s="112"/>
      <c r="BM29" s="112"/>
      <c r="BN29" s="112"/>
      <c r="BO29" s="112"/>
      <c r="BP29" s="112"/>
      <c r="BQ29" s="112"/>
      <c r="BR29" s="112"/>
      <c r="BS29" s="112"/>
      <c r="BT29" s="112"/>
      <c r="BU29" s="112"/>
      <c r="BV29" s="112"/>
      <c r="BW29" s="112"/>
      <c r="BX29" s="112"/>
      <c r="BY29" s="112"/>
      <c r="BZ29" s="112"/>
      <c r="CA29" s="112"/>
      <c r="CB29" s="113"/>
    </row>
    <row r="30" spans="3:80" ht="9.75" customHeight="1">
      <c r="C30" s="111"/>
      <c r="D30" s="112"/>
      <c r="E30" s="112"/>
      <c r="F30" s="112"/>
      <c r="G30" s="112"/>
      <c r="H30" s="112"/>
      <c r="I30" s="112"/>
      <c r="J30" s="112"/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2"/>
      <c r="AC30" s="112"/>
      <c r="AD30" s="112"/>
      <c r="AE30" s="112"/>
      <c r="AF30" s="112"/>
      <c r="AG30" s="112"/>
      <c r="AH30" s="112"/>
      <c r="AI30" s="112"/>
      <c r="AJ30" s="112"/>
      <c r="AK30" s="112"/>
      <c r="AL30" s="112"/>
      <c r="AM30" s="112"/>
      <c r="AN30" s="113"/>
      <c r="AQ30" s="111"/>
      <c r="AR30" s="112"/>
      <c r="AS30" s="112"/>
      <c r="AT30" s="112"/>
      <c r="AU30" s="112"/>
      <c r="AV30" s="112"/>
      <c r="AW30" s="112"/>
      <c r="AX30" s="112"/>
      <c r="AY30" s="112"/>
      <c r="AZ30" s="112"/>
      <c r="BA30" s="112"/>
      <c r="BB30" s="112"/>
      <c r="BC30" s="112"/>
      <c r="BD30" s="112"/>
      <c r="BE30" s="112"/>
      <c r="BF30" s="112"/>
      <c r="BG30" s="112"/>
      <c r="BH30" s="112"/>
      <c r="BI30" s="112"/>
      <c r="BJ30" s="112"/>
      <c r="BK30" s="112"/>
      <c r="BL30" s="112"/>
      <c r="BM30" s="112"/>
      <c r="BN30" s="112"/>
      <c r="BO30" s="112"/>
      <c r="BP30" s="112"/>
      <c r="BQ30" s="112"/>
      <c r="BR30" s="112"/>
      <c r="BS30" s="112"/>
      <c r="BT30" s="112"/>
      <c r="BU30" s="112"/>
      <c r="BV30" s="112"/>
      <c r="BW30" s="112"/>
      <c r="BX30" s="112"/>
      <c r="BY30" s="112"/>
      <c r="BZ30" s="112"/>
      <c r="CA30" s="112"/>
      <c r="CB30" s="113"/>
    </row>
    <row r="31" spans="3:80" ht="9.75" customHeight="1">
      <c r="C31" s="111"/>
      <c r="D31" s="112"/>
      <c r="E31" s="112"/>
      <c r="F31" s="112"/>
      <c r="G31" s="112"/>
      <c r="H31" s="112"/>
      <c r="I31" s="112"/>
      <c r="J31" s="112"/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2"/>
      <c r="AC31" s="112"/>
      <c r="AD31" s="112"/>
      <c r="AE31" s="112"/>
      <c r="AF31" s="112"/>
      <c r="AG31" s="112"/>
      <c r="AH31" s="112"/>
      <c r="AI31" s="112"/>
      <c r="AJ31" s="112"/>
      <c r="AK31" s="112"/>
      <c r="AL31" s="112"/>
      <c r="AM31" s="112"/>
      <c r="AN31" s="113"/>
      <c r="AQ31" s="111"/>
      <c r="AR31" s="112"/>
      <c r="AS31" s="112"/>
      <c r="AT31" s="112"/>
      <c r="AU31" s="112"/>
      <c r="AV31" s="112"/>
      <c r="AW31" s="112"/>
      <c r="AX31" s="112"/>
      <c r="AY31" s="112"/>
      <c r="AZ31" s="112"/>
      <c r="BA31" s="112"/>
      <c r="BB31" s="112"/>
      <c r="BC31" s="112"/>
      <c r="BD31" s="112"/>
      <c r="BE31" s="112"/>
      <c r="BF31" s="112"/>
      <c r="BG31" s="112"/>
      <c r="BH31" s="112"/>
      <c r="BI31" s="112"/>
      <c r="BJ31" s="112"/>
      <c r="BK31" s="112"/>
      <c r="BL31" s="112"/>
      <c r="BM31" s="112"/>
      <c r="BN31" s="112"/>
      <c r="BO31" s="112"/>
      <c r="BP31" s="112"/>
      <c r="BQ31" s="112"/>
      <c r="BR31" s="112"/>
      <c r="BS31" s="112"/>
      <c r="BT31" s="112"/>
      <c r="BU31" s="112"/>
      <c r="BV31" s="112"/>
      <c r="BW31" s="112"/>
      <c r="BX31" s="112"/>
      <c r="BY31" s="112"/>
      <c r="BZ31" s="112"/>
      <c r="CA31" s="112"/>
      <c r="CB31" s="113"/>
    </row>
    <row r="32" spans="3:80" ht="9.75" customHeight="1">
      <c r="C32" s="111"/>
      <c r="D32" s="112"/>
      <c r="E32" s="112"/>
      <c r="F32" s="112"/>
      <c r="G32" s="112"/>
      <c r="H32" s="112"/>
      <c r="I32" s="112"/>
      <c r="J32" s="112"/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2"/>
      <c r="AC32" s="112"/>
      <c r="AD32" s="112"/>
      <c r="AE32" s="112"/>
      <c r="AF32" s="112"/>
      <c r="AG32" s="112"/>
      <c r="AH32" s="112"/>
      <c r="AI32" s="112"/>
      <c r="AJ32" s="112"/>
      <c r="AK32" s="112"/>
      <c r="AL32" s="112"/>
      <c r="AM32" s="112"/>
      <c r="AN32" s="113"/>
      <c r="AQ32" s="111"/>
      <c r="AR32" s="112"/>
      <c r="AS32" s="112"/>
      <c r="AT32" s="112"/>
      <c r="AU32" s="112"/>
      <c r="AV32" s="112"/>
      <c r="AW32" s="112"/>
      <c r="AX32" s="112"/>
      <c r="AY32" s="112"/>
      <c r="AZ32" s="112"/>
      <c r="BA32" s="112"/>
      <c r="BB32" s="112"/>
      <c r="BC32" s="112"/>
      <c r="BD32" s="112"/>
      <c r="BE32" s="112"/>
      <c r="BF32" s="112"/>
      <c r="BG32" s="112"/>
      <c r="BH32" s="112"/>
      <c r="BI32" s="112"/>
      <c r="BJ32" s="112"/>
      <c r="BK32" s="112"/>
      <c r="BL32" s="112"/>
      <c r="BM32" s="112"/>
      <c r="BN32" s="112"/>
      <c r="BO32" s="112"/>
      <c r="BP32" s="112"/>
      <c r="BQ32" s="112"/>
      <c r="BR32" s="112"/>
      <c r="BS32" s="112"/>
      <c r="BT32" s="112"/>
      <c r="BU32" s="112"/>
      <c r="BV32" s="112"/>
      <c r="BW32" s="112"/>
      <c r="BX32" s="112"/>
      <c r="BY32" s="112"/>
      <c r="BZ32" s="112"/>
      <c r="CA32" s="112"/>
      <c r="CB32" s="113"/>
    </row>
    <row r="33" spans="3:80" ht="9.75" customHeight="1">
      <c r="C33" s="111"/>
      <c r="D33" s="112"/>
      <c r="E33" s="112"/>
      <c r="F33" s="112"/>
      <c r="G33" s="112"/>
      <c r="H33" s="112"/>
      <c r="I33" s="112"/>
      <c r="J33" s="112"/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2"/>
      <c r="AC33" s="112"/>
      <c r="AD33" s="112"/>
      <c r="AE33" s="112"/>
      <c r="AF33" s="112"/>
      <c r="AG33" s="112"/>
      <c r="AH33" s="112"/>
      <c r="AI33" s="112"/>
      <c r="AJ33" s="112"/>
      <c r="AK33" s="112"/>
      <c r="AL33" s="112"/>
      <c r="AM33" s="112"/>
      <c r="AN33" s="113"/>
      <c r="AQ33" s="111"/>
      <c r="AR33" s="112"/>
      <c r="AS33" s="112"/>
      <c r="AT33" s="112"/>
      <c r="AU33" s="112"/>
      <c r="AV33" s="112"/>
      <c r="AW33" s="112"/>
      <c r="AX33" s="112"/>
      <c r="AY33" s="112"/>
      <c r="AZ33" s="112"/>
      <c r="BA33" s="112"/>
      <c r="BB33" s="112"/>
      <c r="BC33" s="112"/>
      <c r="BD33" s="112"/>
      <c r="BE33" s="112"/>
      <c r="BF33" s="112"/>
      <c r="BG33" s="112"/>
      <c r="BH33" s="112"/>
      <c r="BI33" s="112"/>
      <c r="BJ33" s="112"/>
      <c r="BK33" s="112"/>
      <c r="BL33" s="112"/>
      <c r="BM33" s="112"/>
      <c r="BN33" s="112"/>
      <c r="BO33" s="112"/>
      <c r="BP33" s="112"/>
      <c r="BQ33" s="112"/>
      <c r="BR33" s="112"/>
      <c r="BS33" s="112"/>
      <c r="BT33" s="112"/>
      <c r="BU33" s="112"/>
      <c r="BV33" s="112"/>
      <c r="BW33" s="112"/>
      <c r="BX33" s="112"/>
      <c r="BY33" s="112"/>
      <c r="BZ33" s="112"/>
      <c r="CA33" s="112"/>
      <c r="CB33" s="113"/>
    </row>
    <row r="34" spans="3:80" ht="9.75" customHeight="1">
      <c r="C34" s="111"/>
      <c r="D34" s="112"/>
      <c r="E34" s="112"/>
      <c r="F34" s="112"/>
      <c r="G34" s="112"/>
      <c r="H34" s="112"/>
      <c r="I34" s="112"/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2"/>
      <c r="AC34" s="112"/>
      <c r="AD34" s="112"/>
      <c r="AE34" s="112"/>
      <c r="AF34" s="112"/>
      <c r="AG34" s="112"/>
      <c r="AH34" s="112"/>
      <c r="AI34" s="112"/>
      <c r="AJ34" s="112"/>
      <c r="AK34" s="112"/>
      <c r="AL34" s="112"/>
      <c r="AM34" s="112"/>
      <c r="AN34" s="113"/>
      <c r="AQ34" s="111"/>
      <c r="AR34" s="112"/>
      <c r="AS34" s="112"/>
      <c r="AT34" s="112"/>
      <c r="AU34" s="112"/>
      <c r="AV34" s="112"/>
      <c r="AW34" s="112"/>
      <c r="AX34" s="112"/>
      <c r="AY34" s="112"/>
      <c r="AZ34" s="112"/>
      <c r="BA34" s="112"/>
      <c r="BB34" s="112"/>
      <c r="BC34" s="112"/>
      <c r="BD34" s="112"/>
      <c r="BE34" s="112"/>
      <c r="BF34" s="112"/>
      <c r="BG34" s="112"/>
      <c r="BH34" s="112"/>
      <c r="BI34" s="112"/>
      <c r="BJ34" s="112"/>
      <c r="BK34" s="112"/>
      <c r="BL34" s="112"/>
      <c r="BM34" s="112"/>
      <c r="BN34" s="112"/>
      <c r="BO34" s="112"/>
      <c r="BP34" s="112"/>
      <c r="BQ34" s="112"/>
      <c r="BR34" s="112"/>
      <c r="BS34" s="112"/>
      <c r="BT34" s="112"/>
      <c r="BU34" s="112"/>
      <c r="BV34" s="112"/>
      <c r="BW34" s="112"/>
      <c r="BX34" s="112"/>
      <c r="BY34" s="112"/>
      <c r="BZ34" s="112"/>
      <c r="CA34" s="112"/>
      <c r="CB34" s="113"/>
    </row>
    <row r="35" spans="3:80" ht="9.75" customHeight="1">
      <c r="C35" s="111"/>
      <c r="D35" s="112"/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2"/>
      <c r="AC35" s="112"/>
      <c r="AD35" s="112"/>
      <c r="AE35" s="112"/>
      <c r="AF35" s="112"/>
      <c r="AG35" s="112"/>
      <c r="AH35" s="112"/>
      <c r="AI35" s="112"/>
      <c r="AJ35" s="112"/>
      <c r="AK35" s="112"/>
      <c r="AL35" s="112"/>
      <c r="AM35" s="112"/>
      <c r="AN35" s="113"/>
      <c r="AQ35" s="111"/>
      <c r="AR35" s="112"/>
      <c r="AS35" s="112"/>
      <c r="AT35" s="112"/>
      <c r="AU35" s="112"/>
      <c r="AV35" s="112"/>
      <c r="AW35" s="112"/>
      <c r="AX35" s="112"/>
      <c r="AY35" s="112"/>
      <c r="AZ35" s="112"/>
      <c r="BA35" s="112"/>
      <c r="BB35" s="112"/>
      <c r="BC35" s="112"/>
      <c r="BD35" s="112"/>
      <c r="BE35" s="112"/>
      <c r="BF35" s="112"/>
      <c r="BG35" s="112"/>
      <c r="BH35" s="112"/>
      <c r="BI35" s="112"/>
      <c r="BJ35" s="112"/>
      <c r="BK35" s="112"/>
      <c r="BL35" s="112"/>
      <c r="BM35" s="112"/>
      <c r="BN35" s="112"/>
      <c r="BO35" s="112"/>
      <c r="BP35" s="112"/>
      <c r="BQ35" s="112"/>
      <c r="BR35" s="112"/>
      <c r="BS35" s="112"/>
      <c r="BT35" s="112"/>
      <c r="BU35" s="112"/>
      <c r="BV35" s="112"/>
      <c r="BW35" s="112"/>
      <c r="BX35" s="112"/>
      <c r="BY35" s="112"/>
      <c r="BZ35" s="112"/>
      <c r="CA35" s="112"/>
      <c r="CB35" s="113"/>
    </row>
    <row r="36" spans="3:80" ht="9.75" customHeight="1">
      <c r="C36" s="111"/>
      <c r="D36" s="112"/>
      <c r="E36" s="112"/>
      <c r="F36" s="112"/>
      <c r="G36" s="112"/>
      <c r="H36" s="112"/>
      <c r="I36" s="112"/>
      <c r="J36" s="112"/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2"/>
      <c r="AC36" s="112"/>
      <c r="AD36" s="112"/>
      <c r="AE36" s="112"/>
      <c r="AF36" s="112"/>
      <c r="AG36" s="112"/>
      <c r="AH36" s="112"/>
      <c r="AI36" s="112"/>
      <c r="AJ36" s="112"/>
      <c r="AK36" s="112"/>
      <c r="AL36" s="112"/>
      <c r="AM36" s="112"/>
      <c r="AN36" s="113"/>
      <c r="AQ36" s="111"/>
      <c r="AR36" s="112"/>
      <c r="AS36" s="112"/>
      <c r="AT36" s="112"/>
      <c r="AU36" s="112"/>
      <c r="AV36" s="112"/>
      <c r="AW36" s="112"/>
      <c r="AX36" s="112"/>
      <c r="AY36" s="112"/>
      <c r="AZ36" s="112"/>
      <c r="BA36" s="112"/>
      <c r="BB36" s="112"/>
      <c r="BC36" s="112"/>
      <c r="BD36" s="112"/>
      <c r="BE36" s="112"/>
      <c r="BF36" s="112"/>
      <c r="BG36" s="112"/>
      <c r="BH36" s="112"/>
      <c r="BI36" s="112"/>
      <c r="BJ36" s="112"/>
      <c r="BK36" s="112"/>
      <c r="BL36" s="112"/>
      <c r="BM36" s="112"/>
      <c r="BN36" s="112"/>
      <c r="BO36" s="112"/>
      <c r="BP36" s="112"/>
      <c r="BQ36" s="112"/>
      <c r="BR36" s="112"/>
      <c r="BS36" s="112"/>
      <c r="BT36" s="112"/>
      <c r="BU36" s="112"/>
      <c r="BV36" s="112"/>
      <c r="BW36" s="112"/>
      <c r="BX36" s="112"/>
      <c r="BY36" s="112"/>
      <c r="BZ36" s="112"/>
      <c r="CA36" s="112"/>
      <c r="CB36" s="113"/>
    </row>
    <row r="37" spans="3:80" ht="9.75" customHeight="1">
      <c r="C37" s="111"/>
      <c r="D37" s="112"/>
      <c r="E37" s="112"/>
      <c r="F37" s="112"/>
      <c r="G37" s="112"/>
      <c r="H37" s="112"/>
      <c r="I37" s="112"/>
      <c r="J37" s="112"/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2"/>
      <c r="AC37" s="112"/>
      <c r="AD37" s="112"/>
      <c r="AE37" s="112"/>
      <c r="AF37" s="112"/>
      <c r="AG37" s="112"/>
      <c r="AH37" s="112"/>
      <c r="AI37" s="112"/>
      <c r="AJ37" s="112"/>
      <c r="AK37" s="112"/>
      <c r="AL37" s="112"/>
      <c r="AM37" s="112"/>
      <c r="AN37" s="113"/>
      <c r="AQ37" s="111"/>
      <c r="AR37" s="112"/>
      <c r="AS37" s="112"/>
      <c r="AT37" s="112"/>
      <c r="AU37" s="112"/>
      <c r="AV37" s="112"/>
      <c r="AW37" s="112"/>
      <c r="AX37" s="112"/>
      <c r="AY37" s="112"/>
      <c r="AZ37" s="112"/>
      <c r="BA37" s="112"/>
      <c r="BB37" s="112"/>
      <c r="BC37" s="112"/>
      <c r="BD37" s="112"/>
      <c r="BE37" s="112"/>
      <c r="BF37" s="112"/>
      <c r="BG37" s="112"/>
      <c r="BH37" s="112"/>
      <c r="BI37" s="112"/>
      <c r="BJ37" s="112"/>
      <c r="BK37" s="112"/>
      <c r="BL37" s="112"/>
      <c r="BM37" s="112"/>
      <c r="BN37" s="112"/>
      <c r="BO37" s="112"/>
      <c r="BP37" s="112"/>
      <c r="BQ37" s="112"/>
      <c r="BR37" s="112"/>
      <c r="BS37" s="112"/>
      <c r="BT37" s="112"/>
      <c r="BU37" s="112"/>
      <c r="BV37" s="112"/>
      <c r="BW37" s="112"/>
      <c r="BX37" s="112"/>
      <c r="BY37" s="112"/>
      <c r="BZ37" s="112"/>
      <c r="CA37" s="112"/>
      <c r="CB37" s="113"/>
    </row>
    <row r="38" spans="3:80" ht="9.75" customHeight="1">
      <c r="C38" s="111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3"/>
      <c r="AQ38" s="111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2"/>
      <c r="BQ38" s="112"/>
      <c r="BR38" s="112"/>
      <c r="BS38" s="112"/>
      <c r="BT38" s="112"/>
      <c r="BU38" s="112"/>
      <c r="BV38" s="112"/>
      <c r="BW38" s="112"/>
      <c r="BX38" s="112"/>
      <c r="BY38" s="112"/>
      <c r="BZ38" s="112"/>
      <c r="CA38" s="112"/>
      <c r="CB38" s="113"/>
    </row>
    <row r="39" spans="3:80" ht="9.75" customHeight="1">
      <c r="C39" s="11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2"/>
      <c r="AC39" s="112"/>
      <c r="AD39" s="112"/>
      <c r="AE39" s="112"/>
      <c r="AF39" s="112"/>
      <c r="AG39" s="112"/>
      <c r="AH39" s="112"/>
      <c r="AI39" s="112"/>
      <c r="AJ39" s="112"/>
      <c r="AK39" s="112"/>
      <c r="AL39" s="112"/>
      <c r="AM39" s="112"/>
      <c r="AN39" s="113"/>
      <c r="AQ39" s="111"/>
      <c r="AR39" s="112"/>
      <c r="AS39" s="112"/>
      <c r="AT39" s="112"/>
      <c r="AU39" s="112"/>
      <c r="AV39" s="112"/>
      <c r="AW39" s="112"/>
      <c r="AX39" s="112"/>
      <c r="AY39" s="112"/>
      <c r="AZ39" s="112"/>
      <c r="BA39" s="112"/>
      <c r="BB39" s="112"/>
      <c r="BC39" s="112"/>
      <c r="BD39" s="112"/>
      <c r="BE39" s="112"/>
      <c r="BF39" s="112"/>
      <c r="BG39" s="112"/>
      <c r="BH39" s="112"/>
      <c r="BI39" s="112"/>
      <c r="BJ39" s="112"/>
      <c r="BK39" s="112"/>
      <c r="BL39" s="112"/>
      <c r="BM39" s="112"/>
      <c r="BN39" s="112"/>
      <c r="BO39" s="112"/>
      <c r="BP39" s="112"/>
      <c r="BQ39" s="112"/>
      <c r="BR39" s="112"/>
      <c r="BS39" s="112"/>
      <c r="BT39" s="112"/>
      <c r="BU39" s="112"/>
      <c r="BV39" s="112"/>
      <c r="BW39" s="112"/>
      <c r="BX39" s="112"/>
      <c r="BY39" s="112"/>
      <c r="BZ39" s="112"/>
      <c r="CA39" s="112"/>
      <c r="CB39" s="113"/>
    </row>
    <row r="40" spans="3:80" ht="9.75" customHeight="1">
      <c r="C40" s="111"/>
      <c r="D40" s="112"/>
      <c r="E40" s="112"/>
      <c r="F40" s="112"/>
      <c r="G40" s="112"/>
      <c r="H40" s="112"/>
      <c r="I40" s="112"/>
      <c r="J40" s="112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2"/>
      <c r="AC40" s="112"/>
      <c r="AD40" s="112"/>
      <c r="AE40" s="112"/>
      <c r="AF40" s="112"/>
      <c r="AG40" s="112"/>
      <c r="AH40" s="112"/>
      <c r="AI40" s="112"/>
      <c r="AJ40" s="112"/>
      <c r="AK40" s="112"/>
      <c r="AL40" s="112"/>
      <c r="AM40" s="112"/>
      <c r="AN40" s="113"/>
      <c r="AQ40" s="111"/>
      <c r="AR40" s="112"/>
      <c r="AS40" s="112"/>
      <c r="AT40" s="112"/>
      <c r="AU40" s="112"/>
      <c r="AV40" s="112"/>
      <c r="AW40" s="112"/>
      <c r="AX40" s="112"/>
      <c r="AY40" s="112"/>
      <c r="AZ40" s="112"/>
      <c r="BA40" s="112"/>
      <c r="BB40" s="112"/>
      <c r="BC40" s="112"/>
      <c r="BD40" s="112"/>
      <c r="BE40" s="112"/>
      <c r="BF40" s="112"/>
      <c r="BG40" s="112"/>
      <c r="BH40" s="112"/>
      <c r="BI40" s="112"/>
      <c r="BJ40" s="112"/>
      <c r="BK40" s="112"/>
      <c r="BL40" s="112"/>
      <c r="BM40" s="112"/>
      <c r="BN40" s="112"/>
      <c r="BO40" s="112"/>
      <c r="BP40" s="112"/>
      <c r="BQ40" s="112"/>
      <c r="BR40" s="112"/>
      <c r="BS40" s="112"/>
      <c r="BT40" s="112"/>
      <c r="BU40" s="112"/>
      <c r="BV40" s="112"/>
      <c r="BW40" s="112"/>
      <c r="BX40" s="112"/>
      <c r="BY40" s="112"/>
      <c r="BZ40" s="112"/>
      <c r="CA40" s="112"/>
      <c r="CB40" s="113"/>
    </row>
    <row r="41" spans="3:80" ht="9.75" customHeight="1">
      <c r="C41" s="111"/>
      <c r="D41" s="112"/>
      <c r="E41" s="112"/>
      <c r="F41" s="112"/>
      <c r="G41" s="112"/>
      <c r="H41" s="112"/>
      <c r="I41" s="112"/>
      <c r="J41" s="112"/>
      <c r="K41" s="112"/>
      <c r="L41" s="112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2"/>
      <c r="X41" s="112"/>
      <c r="Y41" s="112"/>
      <c r="Z41" s="112"/>
      <c r="AA41" s="112"/>
      <c r="AB41" s="112"/>
      <c r="AC41" s="112"/>
      <c r="AD41" s="112"/>
      <c r="AE41" s="112"/>
      <c r="AF41" s="112"/>
      <c r="AG41" s="112"/>
      <c r="AH41" s="112"/>
      <c r="AI41" s="112"/>
      <c r="AJ41" s="112"/>
      <c r="AK41" s="112"/>
      <c r="AL41" s="112"/>
      <c r="AM41" s="112"/>
      <c r="AN41" s="113"/>
      <c r="AQ41" s="111"/>
      <c r="AR41" s="112"/>
      <c r="AS41" s="112"/>
      <c r="AT41" s="112"/>
      <c r="AU41" s="112"/>
      <c r="AV41" s="112"/>
      <c r="AW41" s="112"/>
      <c r="AX41" s="112"/>
      <c r="AY41" s="112"/>
      <c r="AZ41" s="112"/>
      <c r="BA41" s="112"/>
      <c r="BB41" s="112"/>
      <c r="BC41" s="112"/>
      <c r="BD41" s="112"/>
      <c r="BE41" s="112"/>
      <c r="BF41" s="112"/>
      <c r="BG41" s="112"/>
      <c r="BH41" s="112"/>
      <c r="BI41" s="112"/>
      <c r="BJ41" s="112"/>
      <c r="BK41" s="112"/>
      <c r="BL41" s="112"/>
      <c r="BM41" s="112"/>
      <c r="BN41" s="112"/>
      <c r="BO41" s="112"/>
      <c r="BP41" s="112"/>
      <c r="BQ41" s="112"/>
      <c r="BR41" s="112"/>
      <c r="BS41" s="112"/>
      <c r="BT41" s="112"/>
      <c r="BU41" s="112"/>
      <c r="BV41" s="112"/>
      <c r="BW41" s="112"/>
      <c r="BX41" s="112"/>
      <c r="BY41" s="112"/>
      <c r="BZ41" s="112"/>
      <c r="CA41" s="112"/>
      <c r="CB41" s="113"/>
    </row>
    <row r="42" spans="3:80" ht="9.75" customHeight="1">
      <c r="C42" s="111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2"/>
      <c r="X42" s="112"/>
      <c r="Y42" s="112"/>
      <c r="Z42" s="112"/>
      <c r="AA42" s="112"/>
      <c r="AB42" s="112"/>
      <c r="AC42" s="112"/>
      <c r="AD42" s="112"/>
      <c r="AE42" s="112"/>
      <c r="AF42" s="112"/>
      <c r="AG42" s="112"/>
      <c r="AH42" s="112"/>
      <c r="AI42" s="112"/>
      <c r="AJ42" s="112"/>
      <c r="AK42" s="112"/>
      <c r="AL42" s="112"/>
      <c r="AM42" s="112"/>
      <c r="AN42" s="113"/>
      <c r="AQ42" s="111"/>
      <c r="AR42" s="112"/>
      <c r="AS42" s="112"/>
      <c r="AT42" s="112"/>
      <c r="AU42" s="112"/>
      <c r="AV42" s="112"/>
      <c r="AW42" s="112"/>
      <c r="AX42" s="112"/>
      <c r="AY42" s="112"/>
      <c r="AZ42" s="112"/>
      <c r="BA42" s="112"/>
      <c r="BB42" s="112"/>
      <c r="BC42" s="112"/>
      <c r="BD42" s="112"/>
      <c r="BE42" s="112"/>
      <c r="BF42" s="112"/>
      <c r="BG42" s="112"/>
      <c r="BH42" s="112"/>
      <c r="BI42" s="112"/>
      <c r="BJ42" s="112"/>
      <c r="BK42" s="112"/>
      <c r="BL42" s="112"/>
      <c r="BM42" s="112"/>
      <c r="BN42" s="112"/>
      <c r="BO42" s="112"/>
      <c r="BP42" s="112"/>
      <c r="BQ42" s="112"/>
      <c r="BR42" s="112"/>
      <c r="BS42" s="112"/>
      <c r="BT42" s="112"/>
      <c r="BU42" s="112"/>
      <c r="BV42" s="112"/>
      <c r="BW42" s="112"/>
      <c r="BX42" s="112"/>
      <c r="BY42" s="112"/>
      <c r="BZ42" s="112"/>
      <c r="CA42" s="112"/>
      <c r="CB42" s="113"/>
    </row>
    <row r="43" spans="3:80" ht="9.75" customHeight="1">
      <c r="C43" s="111"/>
      <c r="D43" s="112"/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2"/>
      <c r="X43" s="112"/>
      <c r="Y43" s="112"/>
      <c r="Z43" s="112"/>
      <c r="AA43" s="112"/>
      <c r="AB43" s="112"/>
      <c r="AC43" s="112"/>
      <c r="AD43" s="112"/>
      <c r="AE43" s="112"/>
      <c r="AF43" s="112"/>
      <c r="AG43" s="112"/>
      <c r="AH43" s="112"/>
      <c r="AI43" s="112"/>
      <c r="AJ43" s="112"/>
      <c r="AK43" s="112"/>
      <c r="AL43" s="112"/>
      <c r="AM43" s="112"/>
      <c r="AN43" s="113"/>
      <c r="AQ43" s="111"/>
      <c r="AR43" s="112"/>
      <c r="AS43" s="112"/>
      <c r="AT43" s="112"/>
      <c r="AU43" s="112"/>
      <c r="AV43" s="112"/>
      <c r="AW43" s="112"/>
      <c r="AX43" s="112"/>
      <c r="AY43" s="112"/>
      <c r="AZ43" s="112"/>
      <c r="BA43" s="112"/>
      <c r="BB43" s="112"/>
      <c r="BC43" s="112"/>
      <c r="BD43" s="112"/>
      <c r="BE43" s="112"/>
      <c r="BF43" s="112"/>
      <c r="BG43" s="112"/>
      <c r="BH43" s="112"/>
      <c r="BI43" s="112"/>
      <c r="BJ43" s="112"/>
      <c r="BK43" s="112"/>
      <c r="BL43" s="112"/>
      <c r="BM43" s="112"/>
      <c r="BN43" s="112"/>
      <c r="BO43" s="112"/>
      <c r="BP43" s="112"/>
      <c r="BQ43" s="112"/>
      <c r="BR43" s="112"/>
      <c r="BS43" s="112"/>
      <c r="BT43" s="112"/>
      <c r="BU43" s="112"/>
      <c r="BV43" s="112"/>
      <c r="BW43" s="112"/>
      <c r="BX43" s="112"/>
      <c r="BY43" s="112"/>
      <c r="BZ43" s="112"/>
      <c r="CA43" s="112"/>
      <c r="CB43" s="113"/>
    </row>
    <row r="44" spans="3:80" ht="9.75" customHeight="1">
      <c r="C44" s="111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3"/>
      <c r="AQ44" s="111"/>
      <c r="AR44" s="112"/>
      <c r="AS44" s="112"/>
      <c r="AT44" s="112"/>
      <c r="AU44" s="112"/>
      <c r="AV44" s="112"/>
      <c r="AW44" s="112"/>
      <c r="AX44" s="112"/>
      <c r="AY44" s="112"/>
      <c r="AZ44" s="112"/>
      <c r="BA44" s="112"/>
      <c r="BB44" s="112"/>
      <c r="BC44" s="112"/>
      <c r="BD44" s="112"/>
      <c r="BE44" s="112"/>
      <c r="BF44" s="112"/>
      <c r="BG44" s="112"/>
      <c r="BH44" s="112"/>
      <c r="BI44" s="112"/>
      <c r="BJ44" s="112"/>
      <c r="BK44" s="112"/>
      <c r="BL44" s="112"/>
      <c r="BM44" s="112"/>
      <c r="BN44" s="112"/>
      <c r="BO44" s="112"/>
      <c r="BP44" s="112"/>
      <c r="BQ44" s="112"/>
      <c r="BR44" s="112"/>
      <c r="BS44" s="112"/>
      <c r="BT44" s="112"/>
      <c r="BU44" s="112"/>
      <c r="BV44" s="112"/>
      <c r="BW44" s="112"/>
      <c r="BX44" s="112"/>
      <c r="BY44" s="112"/>
      <c r="BZ44" s="112"/>
      <c r="CA44" s="112"/>
      <c r="CB44" s="113"/>
    </row>
    <row r="45" spans="3:80" ht="9.75" customHeight="1">
      <c r="C45" s="111"/>
      <c r="D45" s="112"/>
      <c r="E45" s="112"/>
      <c r="F45" s="112"/>
      <c r="G45" s="112"/>
      <c r="H45" s="112"/>
      <c r="I45" s="112"/>
      <c r="J45" s="112"/>
      <c r="K45" s="112"/>
      <c r="L45" s="112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2"/>
      <c r="X45" s="112"/>
      <c r="Y45" s="112"/>
      <c r="Z45" s="112"/>
      <c r="AA45" s="112"/>
      <c r="AB45" s="112"/>
      <c r="AC45" s="112"/>
      <c r="AD45" s="112"/>
      <c r="AE45" s="112"/>
      <c r="AF45" s="112"/>
      <c r="AG45" s="112"/>
      <c r="AH45" s="112"/>
      <c r="AI45" s="112"/>
      <c r="AJ45" s="112"/>
      <c r="AK45" s="112"/>
      <c r="AL45" s="112"/>
      <c r="AM45" s="112"/>
      <c r="AN45" s="113"/>
      <c r="AQ45" s="111"/>
      <c r="AR45" s="112"/>
      <c r="AS45" s="112"/>
      <c r="AT45" s="112"/>
      <c r="AU45" s="112"/>
      <c r="AV45" s="112"/>
      <c r="AW45" s="112"/>
      <c r="AX45" s="112"/>
      <c r="AY45" s="112"/>
      <c r="AZ45" s="112"/>
      <c r="BA45" s="112"/>
      <c r="BB45" s="112"/>
      <c r="BC45" s="112"/>
      <c r="BD45" s="112"/>
      <c r="BE45" s="112"/>
      <c r="BF45" s="112"/>
      <c r="BG45" s="112"/>
      <c r="BH45" s="112"/>
      <c r="BI45" s="112"/>
      <c r="BJ45" s="112"/>
      <c r="BK45" s="112"/>
      <c r="BL45" s="112"/>
      <c r="BM45" s="112"/>
      <c r="BN45" s="112"/>
      <c r="BO45" s="112"/>
      <c r="BP45" s="112"/>
      <c r="BQ45" s="112"/>
      <c r="BR45" s="112"/>
      <c r="BS45" s="112"/>
      <c r="BT45" s="112"/>
      <c r="BU45" s="112"/>
      <c r="BV45" s="112"/>
      <c r="BW45" s="112"/>
      <c r="BX45" s="112"/>
      <c r="BY45" s="112"/>
      <c r="BZ45" s="112"/>
      <c r="CA45" s="112"/>
      <c r="CB45" s="113"/>
    </row>
    <row r="46" spans="3:80" ht="9.75" customHeight="1" thickBot="1">
      <c r="C46" s="114"/>
      <c r="D46" s="115"/>
      <c r="E46" s="115"/>
      <c r="F46" s="115"/>
      <c r="G46" s="115"/>
      <c r="H46" s="115"/>
      <c r="I46" s="115"/>
      <c r="J46" s="115"/>
      <c r="K46" s="115"/>
      <c r="L46" s="115"/>
      <c r="M46" s="115"/>
      <c r="N46" s="115"/>
      <c r="O46" s="115"/>
      <c r="P46" s="115"/>
      <c r="Q46" s="115"/>
      <c r="R46" s="115"/>
      <c r="S46" s="115"/>
      <c r="T46" s="115"/>
      <c r="U46" s="115"/>
      <c r="V46" s="115"/>
      <c r="W46" s="115"/>
      <c r="X46" s="115"/>
      <c r="Y46" s="115"/>
      <c r="Z46" s="115"/>
      <c r="AA46" s="115"/>
      <c r="AB46" s="115"/>
      <c r="AC46" s="115"/>
      <c r="AD46" s="115"/>
      <c r="AE46" s="115"/>
      <c r="AF46" s="115"/>
      <c r="AG46" s="115"/>
      <c r="AH46" s="115"/>
      <c r="AI46" s="115"/>
      <c r="AJ46" s="115"/>
      <c r="AK46" s="115"/>
      <c r="AL46" s="115"/>
      <c r="AM46" s="115"/>
      <c r="AN46" s="116"/>
      <c r="AQ46" s="114"/>
      <c r="AR46" s="115"/>
      <c r="AS46" s="115"/>
      <c r="AT46" s="115"/>
      <c r="AU46" s="115"/>
      <c r="AV46" s="115"/>
      <c r="AW46" s="115"/>
      <c r="AX46" s="115"/>
      <c r="AY46" s="115"/>
      <c r="AZ46" s="115"/>
      <c r="BA46" s="115"/>
      <c r="BB46" s="115"/>
      <c r="BC46" s="115"/>
      <c r="BD46" s="115"/>
      <c r="BE46" s="115"/>
      <c r="BF46" s="115"/>
      <c r="BG46" s="115"/>
      <c r="BH46" s="115"/>
      <c r="BI46" s="115"/>
      <c r="BJ46" s="115"/>
      <c r="BK46" s="115"/>
      <c r="BL46" s="115"/>
      <c r="BM46" s="115"/>
      <c r="BN46" s="115"/>
      <c r="BO46" s="115"/>
      <c r="BP46" s="115"/>
      <c r="BQ46" s="115"/>
      <c r="BR46" s="115"/>
      <c r="BS46" s="115"/>
      <c r="BT46" s="115"/>
      <c r="BU46" s="115"/>
      <c r="BV46" s="115"/>
      <c r="BW46" s="115"/>
      <c r="BX46" s="115"/>
      <c r="BY46" s="115"/>
      <c r="BZ46" s="115"/>
      <c r="CA46" s="115"/>
      <c r="CB46" s="116"/>
    </row>
  </sheetData>
  <mergeCells count="12">
    <mergeCell ref="C9:CB10"/>
    <mergeCell ref="C11:CB24"/>
    <mergeCell ref="C26:AN27"/>
    <mergeCell ref="C28:AN46"/>
    <mergeCell ref="AQ26:CB27"/>
    <mergeCell ref="AQ28:CB46"/>
    <mergeCell ref="W2:AN3"/>
    <mergeCell ref="W4:AN7"/>
    <mergeCell ref="AQ2:BH3"/>
    <mergeCell ref="AQ4:BH7"/>
    <mergeCell ref="BK2:CB3"/>
    <mergeCell ref="BK4:CB7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</vt:i4>
      </vt:variant>
    </vt:vector>
  </HeadingPairs>
  <TitlesOfParts>
    <vt:vector size="12" baseType="lpstr">
      <vt:lpstr>Menu</vt:lpstr>
      <vt:lpstr>Produtos</vt:lpstr>
      <vt:lpstr>Vendedores</vt:lpstr>
      <vt:lpstr>Vendas</vt:lpstr>
      <vt:lpstr>Consultas</vt:lpstr>
      <vt:lpstr>Cadastros Auxiliares</vt:lpstr>
      <vt:lpstr>Planilha1</vt:lpstr>
      <vt:lpstr>Dados para Gráficos</vt:lpstr>
      <vt:lpstr>Dashboard</vt:lpstr>
      <vt:lpstr>Desc_Categorias</vt:lpstr>
      <vt:lpstr>Desc_Quantidades</vt:lpstr>
      <vt:lpstr>Desc_Tabela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Andrey de Freitas Souza</cp:lastModifiedBy>
  <cp:lastPrinted>2023-06-07T14:57:58Z</cp:lastPrinted>
  <dcterms:created xsi:type="dcterms:W3CDTF">2023-06-02T17:54:12Z</dcterms:created>
  <dcterms:modified xsi:type="dcterms:W3CDTF">2024-11-11T22:15:15Z</dcterms:modified>
</cp:coreProperties>
</file>