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PycharmProjects\xlsparser\modules\parser_module\"/>
    </mc:Choice>
  </mc:AlternateContent>
  <xr:revisionPtr revIDLastSave="0" documentId="13_ncr:1_{35280286-61A4-49E7-A06C-A29E8485447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  <sheet name="Правила форматирования" sheetId="2" r:id="rId2"/>
  </sheets>
  <externalReferences>
    <externalReference r:id="rId3"/>
    <externalReference r:id="rId4"/>
  </externalReferences>
  <definedNames>
    <definedName name="Atd">[1]Const!$D$30</definedName>
    <definedName name="g">[1]Const!$D$7</definedName>
    <definedName name="k">[1]Const!$D$9</definedName>
    <definedName name="k_прив">#REF!</definedName>
    <definedName name="k0">[1]Const!$D$18</definedName>
    <definedName name="ko">#REF!</definedName>
    <definedName name="kp">#REF!</definedName>
    <definedName name="kоgas">#REF!</definedName>
    <definedName name="n__прив">#REF!</definedName>
    <definedName name="no">#REF!</definedName>
    <definedName name="np">#REF!</definedName>
    <definedName name="nоgas">#REF!</definedName>
    <definedName name="omega">#REF!</definedName>
    <definedName name="Pp">#REF!</definedName>
    <definedName name="Pкр">[1]Graph!$AH$4</definedName>
    <definedName name="Pн__прив">#REF!</definedName>
    <definedName name="Run">#REF!</definedName>
    <definedName name="Rz">#REF!</definedName>
    <definedName name="Tp">#REF!</definedName>
    <definedName name="Tоgas">#REF!</definedName>
    <definedName name="Ua">#REF!</definedName>
    <definedName name="UA0">#REF!</definedName>
    <definedName name="Ualf">#REF!</definedName>
    <definedName name="Ub">#REF!</definedName>
    <definedName name="UB0">#REF!</definedName>
    <definedName name="Uc">#REF!</definedName>
    <definedName name="UC0">#REF!</definedName>
    <definedName name="Ud">#REF!</definedName>
    <definedName name="UD0">#REF!</definedName>
    <definedName name="UE0">#REF!</definedName>
    <definedName name="UG">#REF!</definedName>
    <definedName name="W">#REF!</definedName>
    <definedName name="Wa">#REF!</definedName>
    <definedName name="WA0">#REF!</definedName>
    <definedName name="Walf">#REF!</definedName>
    <definedName name="Wb">#REF!</definedName>
    <definedName name="WB0">#REF!</definedName>
    <definedName name="Wc">#REF!</definedName>
    <definedName name="WC0">#REF!</definedName>
    <definedName name="Wd">#REF!</definedName>
    <definedName name="WD0">#REF!</definedName>
    <definedName name="WE0">#REF!</definedName>
    <definedName name="WG">#REF!</definedName>
    <definedName name="WM">#REF!</definedName>
    <definedName name="WR">#REF!</definedName>
    <definedName name="zR">[1]Const!$D$8</definedName>
    <definedName name="zR__прив">#REF!</definedName>
    <definedName name="zR0">[1]Const!$D$16</definedName>
    <definedName name="zRo">#REF!</definedName>
    <definedName name="zRogas">#REF!</definedName>
    <definedName name="zRp">#REF!</definedName>
    <definedName name="αtd">[1]Const!$D$31</definedName>
    <definedName name="β">[1]Const!$D$21</definedName>
    <definedName name="ω_в">[1]Graph!$AH$2</definedName>
    <definedName name="а11">#REF!</definedName>
    <definedName name="а12">#REF!</definedName>
    <definedName name="а13">#REF!</definedName>
    <definedName name="а14">#REF!</definedName>
    <definedName name="Газ_пост">#REF!</definedName>
    <definedName name="и11">#REF!</definedName>
    <definedName name="и12">#REF!</definedName>
    <definedName name="и13">#REF!</definedName>
    <definedName name="и14">#REF!</definedName>
    <definedName name="М1">#REF!</definedName>
    <definedName name="мол_вес_возд">[1]Graph!$AI$2</definedName>
    <definedName name="пок_ад">#REF!</definedName>
    <definedName name="Реж1">#REF!</definedName>
    <definedName name="Режnew1gas">#REF!</definedName>
    <definedName name="Режnew2">#REF!</definedName>
    <definedName name="РежnewGas">#REF!</definedName>
    <definedName name="режрасх">#REF!</definedName>
    <definedName name="Режтаб">#REF!</definedName>
    <definedName name="Роgas">#REF!</definedName>
    <definedName name="Ткр">[1]Graph!$AG$4</definedName>
    <definedName name="Тн__прив_I">#REF!</definedName>
    <definedName name="Тн_прив_II">'[2]ГДХ по секциям'!$D$56</definedName>
  </definedNames>
  <calcPr calcId="191029" iterateCount="2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16" i="1" l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E148" i="1"/>
  <c r="E149" i="1" s="1"/>
  <c r="F148" i="1"/>
  <c r="G148" i="1"/>
  <c r="H148" i="1"/>
  <c r="H149" i="1" s="1"/>
  <c r="I148" i="1"/>
  <c r="J148" i="1"/>
  <c r="J149" i="1" s="1"/>
  <c r="K148" i="1"/>
  <c r="K149" i="1" s="1"/>
  <c r="L148" i="1"/>
  <c r="L149" i="1" s="1"/>
  <c r="M148" i="1"/>
  <c r="M149" i="1" s="1"/>
  <c r="N148" i="1"/>
  <c r="O148" i="1"/>
  <c r="P148" i="1"/>
  <c r="P149" i="1" s="1"/>
  <c r="Q148" i="1"/>
  <c r="R148" i="1"/>
  <c r="S148" i="1"/>
  <c r="F149" i="1"/>
  <c r="G149" i="1"/>
  <c r="I149" i="1"/>
  <c r="N149" i="1"/>
  <c r="O149" i="1"/>
  <c r="Q149" i="1"/>
  <c r="R149" i="1"/>
  <c r="S149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E152" i="1"/>
  <c r="E154" i="1" s="1"/>
  <c r="F152" i="1"/>
  <c r="F154" i="1" s="1"/>
  <c r="G152" i="1"/>
  <c r="G154" i="1" s="1"/>
  <c r="H152" i="1"/>
  <c r="H154" i="1" s="1"/>
  <c r="I152" i="1"/>
  <c r="J152" i="1"/>
  <c r="K152" i="1"/>
  <c r="K154" i="1" s="1"/>
  <c r="L152" i="1"/>
  <c r="L154" i="1" s="1"/>
  <c r="M152" i="1"/>
  <c r="M154" i="1" s="1"/>
  <c r="N152" i="1"/>
  <c r="N154" i="1" s="1"/>
  <c r="O152" i="1"/>
  <c r="O154" i="1" s="1"/>
  <c r="P152" i="1"/>
  <c r="P154" i="1" s="1"/>
  <c r="Q152" i="1"/>
  <c r="R152" i="1"/>
  <c r="S152" i="1"/>
  <c r="S154" i="1" s="1"/>
  <c r="E153" i="1"/>
  <c r="F153" i="1"/>
  <c r="G153" i="1"/>
  <c r="H153" i="1"/>
  <c r="I153" i="1"/>
  <c r="I154" i="1" s="1"/>
  <c r="J153" i="1"/>
  <c r="K153" i="1"/>
  <c r="L153" i="1"/>
  <c r="M153" i="1"/>
  <c r="N153" i="1"/>
  <c r="O153" i="1"/>
  <c r="P153" i="1"/>
  <c r="Q153" i="1"/>
  <c r="Q154" i="1" s="1"/>
  <c r="R153" i="1"/>
  <c r="S153" i="1"/>
  <c r="J154" i="1"/>
  <c r="R154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E157" i="1"/>
  <c r="F157" i="1"/>
  <c r="G157" i="1"/>
  <c r="G159" i="1" s="1"/>
  <c r="H157" i="1"/>
  <c r="H159" i="1" s="1"/>
  <c r="I157" i="1"/>
  <c r="I159" i="1" s="1"/>
  <c r="J157" i="1"/>
  <c r="J159" i="1" s="1"/>
  <c r="K157" i="1"/>
  <c r="K159" i="1" s="1"/>
  <c r="L157" i="1"/>
  <c r="L159" i="1" s="1"/>
  <c r="M157" i="1"/>
  <c r="N157" i="1"/>
  <c r="O157" i="1"/>
  <c r="O159" i="1" s="1"/>
  <c r="P157" i="1"/>
  <c r="P159" i="1" s="1"/>
  <c r="Q157" i="1"/>
  <c r="Q159" i="1" s="1"/>
  <c r="R157" i="1"/>
  <c r="R159" i="1" s="1"/>
  <c r="S157" i="1"/>
  <c r="S159" i="1" s="1"/>
  <c r="E158" i="1"/>
  <c r="E159" i="1" s="1"/>
  <c r="F158" i="1"/>
  <c r="G158" i="1"/>
  <c r="H158" i="1"/>
  <c r="I158" i="1"/>
  <c r="J158" i="1"/>
  <c r="K158" i="1"/>
  <c r="L158" i="1"/>
  <c r="M158" i="1"/>
  <c r="M159" i="1" s="1"/>
  <c r="N158" i="1"/>
  <c r="O158" i="1"/>
  <c r="P158" i="1"/>
  <c r="Q158" i="1"/>
  <c r="R158" i="1"/>
  <c r="S158" i="1"/>
  <c r="F159" i="1"/>
  <c r="N159" i="1"/>
  <c r="O13" i="2"/>
  <c r="O11" i="2"/>
  <c r="O10" i="2"/>
  <c r="O9" i="2"/>
  <c r="O12" i="2" s="1"/>
  <c r="O14" i="2" s="1"/>
  <c r="E369" i="1"/>
  <c r="E363" i="1"/>
  <c r="E317" i="1"/>
  <c r="E316" i="1"/>
  <c r="E368" i="1" s="1"/>
  <c r="E315" i="1"/>
  <c r="E314" i="1"/>
  <c r="E312" i="1"/>
  <c r="E311" i="1"/>
  <c r="N294" i="1"/>
  <c r="R292" i="1"/>
  <c r="M292" i="1" a="1"/>
  <c r="Q293" i="1" s="1"/>
  <c r="C292" i="1" a="1"/>
  <c r="D294" i="1" s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214" i="1" s="1" a="1"/>
  <c r="E106" i="1"/>
  <c r="E105" i="1"/>
  <c r="E104" i="1"/>
  <c r="E107" i="1" s="1"/>
  <c r="E94" i="1"/>
  <c r="E93" i="1"/>
  <c r="E90" i="1"/>
  <c r="E89" i="1"/>
  <c r="E84" i="1"/>
  <c r="E83" i="1"/>
  <c r="E80" i="1"/>
  <c r="E79" i="1"/>
  <c r="E68" i="1"/>
  <c r="E66" i="1"/>
  <c r="E67" i="1" s="1"/>
  <c r="E65" i="1"/>
  <c r="E64" i="1"/>
  <c r="E63" i="1"/>
  <c r="E72" i="1" s="1"/>
  <c r="E55" i="1"/>
  <c r="E56" i="1" s="1"/>
  <c r="E54" i="1"/>
  <c r="E53" i="1"/>
  <c r="E52" i="1"/>
  <c r="E61" i="1" s="1"/>
  <c r="E50" i="1"/>
  <c r="E46" i="1"/>
  <c r="E44" i="1"/>
  <c r="E43" i="1"/>
  <c r="E42" i="1"/>
  <c r="E41" i="1"/>
  <c r="E313" i="1" s="1"/>
  <c r="E30" i="1"/>
  <c r="E29" i="1"/>
  <c r="E81" i="1" l="1"/>
  <c r="E82" i="1" s="1"/>
  <c r="E45" i="1"/>
  <c r="E57" i="1"/>
  <c r="E60" i="1" s="1"/>
  <c r="E337" i="1" s="1"/>
  <c r="H216" i="1"/>
  <c r="F215" i="1"/>
  <c r="D214" i="1"/>
  <c r="G216" i="1"/>
  <c r="E215" i="1"/>
  <c r="F216" i="1"/>
  <c r="D215" i="1"/>
  <c r="C214" i="1"/>
  <c r="E216" i="1"/>
  <c r="C215" i="1"/>
  <c r="D216" i="1"/>
  <c r="H214" i="1"/>
  <c r="H215" i="1"/>
  <c r="F214" i="1"/>
  <c r="G215" i="1"/>
  <c r="E214" i="1"/>
  <c r="C216" i="1"/>
  <c r="E34" i="1"/>
  <c r="E37" i="1" s="1"/>
  <c r="E33" i="1"/>
  <c r="E350" i="1"/>
  <c r="E69" i="1"/>
  <c r="E71" i="1"/>
  <c r="E351" i="1" s="1"/>
  <c r="E318" i="1"/>
  <c r="E365" i="1"/>
  <c r="E58" i="1"/>
  <c r="E336" i="1"/>
  <c r="G214" i="1"/>
  <c r="E91" i="1"/>
  <c r="E92" i="1" s="1"/>
  <c r="C293" i="1"/>
  <c r="E294" i="1"/>
  <c r="P292" i="1"/>
  <c r="R293" i="1"/>
  <c r="C292" i="1"/>
  <c r="D293" i="1"/>
  <c r="F294" i="1"/>
  <c r="Q292" i="1"/>
  <c r="M294" i="1"/>
  <c r="E364" i="1"/>
  <c r="E293" i="1"/>
  <c r="G294" i="1"/>
  <c r="D292" i="1"/>
  <c r="F293" i="1"/>
  <c r="H294" i="1"/>
  <c r="M293" i="1"/>
  <c r="O294" i="1"/>
  <c r="E366" i="1"/>
  <c r="E292" i="1"/>
  <c r="G293" i="1"/>
  <c r="M292" i="1"/>
  <c r="N293" i="1"/>
  <c r="P294" i="1"/>
  <c r="E367" i="1"/>
  <c r="O293" i="1"/>
  <c r="Q294" i="1"/>
  <c r="F292" i="1"/>
  <c r="H293" i="1"/>
  <c r="G292" i="1"/>
  <c r="C294" i="1"/>
  <c r="N292" i="1"/>
  <c r="P293" i="1"/>
  <c r="R294" i="1"/>
  <c r="H292" i="1"/>
  <c r="O292" i="1"/>
  <c r="E70" i="1" l="1"/>
  <c r="E47" i="1"/>
  <c r="E322" i="1"/>
  <c r="E59" i="1"/>
  <c r="E73" i="1"/>
  <c r="E62" i="1"/>
  <c r="E48" i="1"/>
  <c r="E74" i="1" s="1"/>
  <c r="E108" i="1" s="1"/>
  <c r="E78" i="1"/>
  <c r="E51" i="1"/>
  <c r="E319" i="1" s="1"/>
  <c r="E370" i="1"/>
  <c r="E49" i="1"/>
  <c r="E323" i="1" s="1"/>
  <c r="E321" i="1" l="1"/>
  <c r="E371" i="1"/>
  <c r="E372" i="1" s="1"/>
  <c r="E320" i="1"/>
  <c r="E109" i="1"/>
  <c r="E326" i="1"/>
  <c r="E324" i="1"/>
  <c r="E325" i="1" s="1"/>
  <c r="E355" i="1"/>
  <c r="E357" i="1" s="1"/>
  <c r="E299" i="1"/>
  <c r="E304" i="1"/>
  <c r="E95" i="1"/>
  <c r="E96" i="1" s="1"/>
  <c r="E87" i="1"/>
  <c r="E88" i="1" s="1"/>
  <c r="E300" i="1"/>
  <c r="E227" i="1"/>
  <c r="E305" i="1"/>
  <c r="E307" i="1" l="1"/>
  <c r="E396" i="1"/>
  <c r="E345" i="1"/>
  <c r="E230" i="1"/>
  <c r="E374" i="1"/>
  <c r="E331" i="1"/>
  <c r="E302" i="1"/>
  <c r="E392" i="1"/>
  <c r="E341" i="1"/>
  <c r="E306" i="1"/>
  <c r="E378" i="1"/>
  <c r="E327" i="1"/>
  <c r="E328" i="1" s="1"/>
  <c r="E301" i="1"/>
  <c r="E358" i="1"/>
  <c r="E359" i="1" s="1"/>
  <c r="E382" i="1" l="1"/>
  <c r="E329" i="1"/>
  <c r="E330" i="1" s="1"/>
  <c r="E332" i="1" s="1"/>
  <c r="E333" i="1" s="1"/>
  <c r="E334" i="1" s="1"/>
  <c r="E335" i="1" s="1"/>
  <c r="E340" i="1"/>
  <c r="E342" i="1" s="1"/>
  <c r="E338" i="1"/>
  <c r="E343" i="1" l="1"/>
  <c r="E352" i="1"/>
  <c r="E339" i="1"/>
  <c r="E344" i="1" l="1"/>
  <c r="E346" i="1" s="1"/>
  <c r="E347" i="1" s="1"/>
  <c r="E348" i="1" l="1"/>
  <c r="E349" i="1" s="1"/>
  <c r="E353" i="1"/>
  <c r="E354" i="1" s="1"/>
  <c r="E356" i="1" s="1"/>
  <c r="C218" i="1" a="1"/>
  <c r="E219" i="1"/>
  <c r="G220" i="1"/>
  <c r="F220" i="1"/>
  <c r="D219" i="1"/>
  <c r="C218" i="1"/>
  <c r="Y218" i="1" a="1"/>
  <c r="AA219" i="1"/>
  <c r="AC220" i="1"/>
  <c r="Z218" i="1"/>
  <c r="AB219" i="1"/>
  <c r="AD220" i="1"/>
  <c r="AA218" i="1"/>
  <c r="AC219" i="1"/>
  <c r="E220" i="1"/>
  <c r="C219" i="1"/>
  <c r="C210" i="1" a="1"/>
  <c r="E211" i="1"/>
  <c r="G212" i="1"/>
  <c r="D210" i="1"/>
  <c r="F211" i="1"/>
  <c r="H212" i="1"/>
  <c r="C211" i="1"/>
  <c r="E210" i="1"/>
  <c r="G211" i="1"/>
  <c r="F218" i="1"/>
  <c r="E212" i="1"/>
  <c r="AB220" i="1"/>
  <c r="Z219" i="1"/>
  <c r="Y218" i="1"/>
  <c r="AB218" i="1"/>
  <c r="AC218" i="1"/>
  <c r="E240" i="1"/>
  <c r="E243" i="1"/>
  <c r="D220" i="1"/>
  <c r="H218" i="1"/>
  <c r="Y214" i="1" a="1"/>
  <c r="AA215" i="1"/>
  <c r="AC216" i="1"/>
  <c r="Z214" i="1"/>
  <c r="AB215" i="1"/>
  <c r="AD216" i="1"/>
  <c r="AA214" i="1"/>
  <c r="AC215" i="1"/>
  <c r="AA216" i="1"/>
  <c r="AB214" i="1"/>
  <c r="AD215" i="1"/>
  <c r="F212" i="1"/>
  <c r="D211" i="1"/>
  <c r="C210" i="1"/>
  <c r="F210" i="1"/>
  <c r="G210" i="1"/>
  <c r="E225" i="1"/>
  <c r="E228" i="1"/>
  <c r="AA220" i="1"/>
  <c r="Y219" i="1"/>
  <c r="C220" i="1"/>
  <c r="G218" i="1"/>
  <c r="AB216" i="1"/>
  <c r="Z215" i="1"/>
  <c r="Y214" i="1"/>
  <c r="AC214" i="1"/>
  <c r="E241" i="1"/>
  <c r="M210" i="1" a="1"/>
  <c r="M210" i="1"/>
  <c r="E373" i="1"/>
  <c r="E375" i="1"/>
  <c r="E376" i="1"/>
  <c r="E377" i="1"/>
  <c r="E379" i="1"/>
  <c r="E380" i="1"/>
  <c r="E381" i="1"/>
  <c r="E383" i="1"/>
  <c r="E384" i="1"/>
  <c r="E385" i="1"/>
  <c r="E386" i="1"/>
  <c r="N210" i="1"/>
  <c r="O210" i="1"/>
  <c r="P210" i="1"/>
  <c r="Q210" i="1"/>
  <c r="E387" i="1"/>
  <c r="M214" i="1" a="1"/>
  <c r="M214" i="1"/>
  <c r="N214" i="1"/>
  <c r="O214" i="1"/>
  <c r="P214" i="1"/>
  <c r="Q214" i="1"/>
  <c r="E388" i="1"/>
  <c r="E389" i="1"/>
  <c r="E390" i="1"/>
  <c r="E391" i="1"/>
  <c r="E393" i="1"/>
  <c r="E394" i="1"/>
  <c r="E395" i="1"/>
  <c r="E397" i="1"/>
  <c r="E398" i="1"/>
  <c r="E399" i="1"/>
  <c r="E400" i="1"/>
  <c r="E402" i="1"/>
  <c r="Y210" i="1" a="1"/>
  <c r="AA211" i="1"/>
  <c r="AC212" i="1"/>
  <c r="Z210" i="1"/>
  <c r="AB211" i="1"/>
  <c r="AD212" i="1"/>
  <c r="AA210" i="1"/>
  <c r="AC211" i="1"/>
  <c r="AB210" i="1"/>
  <c r="AD211" i="1"/>
  <c r="AC210" i="1"/>
  <c r="Y212" i="1"/>
  <c r="Y210" i="1"/>
  <c r="E401" i="1"/>
  <c r="E406" i="1"/>
  <c r="Y220" i="1"/>
  <c r="G219" i="1"/>
  <c r="E218" i="1"/>
  <c r="Z216" i="1"/>
  <c r="AD214" i="1"/>
  <c r="O215" i="1"/>
  <c r="Q216" i="1"/>
  <c r="Q215" i="1"/>
  <c r="R215" i="1"/>
  <c r="M216" i="1"/>
  <c r="R214" i="1"/>
  <c r="N216" i="1"/>
  <c r="P215" i="1"/>
  <c r="M215" i="1"/>
  <c r="O216" i="1"/>
  <c r="AA212" i="1"/>
  <c r="Y211" i="1"/>
  <c r="C212" i="1"/>
  <c r="AD218" i="1"/>
  <c r="M218" i="1" a="1"/>
  <c r="M218" i="1"/>
  <c r="N218" i="1"/>
  <c r="O218" i="1"/>
  <c r="P218" i="1"/>
  <c r="Q218" i="1"/>
  <c r="E233" i="1"/>
  <c r="E236" i="1"/>
  <c r="N219" i="1"/>
  <c r="P220" i="1"/>
  <c r="P219" i="1"/>
  <c r="R220" i="1"/>
  <c r="Q219" i="1"/>
  <c r="R219" i="1"/>
  <c r="M220" i="1"/>
  <c r="R218" i="1"/>
  <c r="N220" i="1"/>
  <c r="E244" i="1"/>
  <c r="D218" i="1"/>
  <c r="E226" i="1"/>
  <c r="E229" i="1"/>
  <c r="AD219" i="1"/>
  <c r="O220" i="1"/>
  <c r="M219" i="1"/>
  <c r="H220" i="1"/>
  <c r="F219" i="1"/>
  <c r="Y216" i="1"/>
  <c r="P216" i="1"/>
  <c r="N215" i="1"/>
  <c r="E234" i="1"/>
  <c r="E237" i="1"/>
  <c r="Z212" i="1"/>
  <c r="AD210" i="1"/>
  <c r="O211" i="1"/>
  <c r="Q212" i="1"/>
  <c r="P211" i="1"/>
  <c r="R212" i="1"/>
  <c r="M212" i="1"/>
  <c r="R210" i="1"/>
  <c r="N212" i="1"/>
  <c r="M211" i="1"/>
  <c r="O212" i="1"/>
  <c r="E232" i="1"/>
  <c r="E235" i="1"/>
  <c r="N211" i="1"/>
  <c r="P212" i="1"/>
  <c r="H211" i="1"/>
  <c r="R211" i="1"/>
  <c r="Z220" i="1"/>
  <c r="Q220" i="1"/>
  <c r="O219" i="1"/>
  <c r="H219" i="1"/>
  <c r="Y215" i="1"/>
  <c r="R216" i="1"/>
  <c r="AB212" i="1"/>
  <c r="Z211" i="1"/>
  <c r="E239" i="1"/>
  <c r="E242" i="1"/>
  <c r="E403" i="1"/>
  <c r="E404" i="1"/>
  <c r="E405" i="1"/>
  <c r="Q211" i="1"/>
  <c r="D212" i="1"/>
  <c r="H210" i="1"/>
  <c r="E408" i="1"/>
  <c r="E407" i="1"/>
  <c r="E409" i="1"/>
  <c r="E410" i="1"/>
  <c r="E411" i="1"/>
  <c r="E412" i="1"/>
</calcChain>
</file>

<file path=xl/sharedStrings.xml><?xml version="1.0" encoding="utf-8"?>
<sst xmlns="http://schemas.openxmlformats.org/spreadsheetml/2006/main" count="905" uniqueCount="408">
  <si>
    <t>Измеренные параметры на текущем режиме</t>
  </si>
  <si>
    <t>№ п/п</t>
  </si>
  <si>
    <t>Наименование</t>
  </si>
  <si>
    <t>Обозначение</t>
  </si>
  <si>
    <t>Единицы измерения</t>
  </si>
  <si>
    <t>Режимы</t>
  </si>
  <si>
    <t>КИП</t>
  </si>
  <si>
    <t>Барометрическое давление</t>
  </si>
  <si>
    <r>
      <rPr>
        <sz val="12"/>
        <rFont val="Arial"/>
        <family val="2"/>
        <charset val="204"/>
      </rPr>
      <t>P</t>
    </r>
    <r>
      <rPr>
        <vertAlign val="subscript"/>
        <sz val="12"/>
        <rFont val="Arial"/>
        <family val="2"/>
        <charset val="204"/>
      </rPr>
      <t>бар</t>
    </r>
  </si>
  <si>
    <t>кПа</t>
  </si>
  <si>
    <t>PIT160</t>
  </si>
  <si>
    <t>Разрежение перед сегментной диафрагмой</t>
  </si>
  <si>
    <r>
      <rPr>
        <sz val="12"/>
        <rFont val="Arial"/>
        <family val="2"/>
        <charset val="204"/>
      </rPr>
      <t>h</t>
    </r>
    <r>
      <rPr>
        <vertAlign val="subscript"/>
        <sz val="12"/>
        <rFont val="Arial"/>
        <family val="2"/>
        <charset val="204"/>
      </rPr>
      <t>д</t>
    </r>
  </si>
  <si>
    <t>PDIT120</t>
  </si>
  <si>
    <t>Перепад давления на сегментной диафрагме</t>
  </si>
  <si>
    <r>
      <rPr>
        <sz val="12"/>
        <rFont val="Arial"/>
        <family val="2"/>
        <charset val="204"/>
      </rPr>
      <t>ΔР</t>
    </r>
    <r>
      <rPr>
        <vertAlign val="subscript"/>
        <sz val="12"/>
        <rFont val="Arial"/>
        <family val="2"/>
        <charset val="204"/>
      </rPr>
      <t>д</t>
    </r>
  </si>
  <si>
    <t>PDIT121</t>
  </si>
  <si>
    <t>Температура перед сегментной диафрагмой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</si>
  <si>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д</t>
    </r>
  </si>
  <si>
    <t>°С</t>
  </si>
  <si>
    <t>TE020</t>
  </si>
  <si>
    <t>Разрежение перед I секцией</t>
  </si>
  <si>
    <r>
      <rPr>
        <sz val="12"/>
        <rFont val="Arial"/>
        <family val="2"/>
        <charset val="204"/>
      </rPr>
      <t>h</t>
    </r>
    <r>
      <rPr>
        <vertAlign val="subscript"/>
        <sz val="12"/>
        <rFont val="Arial"/>
        <family val="2"/>
        <charset val="204"/>
      </rPr>
      <t>н I</t>
    </r>
  </si>
  <si>
    <t>PDIT023</t>
  </si>
  <si>
    <t>Давление после I секции, изб.</t>
  </si>
  <si>
    <r>
      <rPr>
        <sz val="12"/>
        <rFont val="Arial"/>
        <family val="2"/>
        <charset val="204"/>
      </rPr>
      <t>h</t>
    </r>
    <r>
      <rPr>
        <vertAlign val="subscript"/>
        <sz val="12"/>
        <rFont val="Arial"/>
        <family val="2"/>
        <charset val="204"/>
      </rPr>
      <t>к I</t>
    </r>
  </si>
  <si>
    <t>PIT024</t>
  </si>
  <si>
    <t>Температура перед I секцией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</si>
  <si>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н I</t>
    </r>
  </si>
  <si>
    <t>TE023</t>
  </si>
  <si>
    <t>Температура после I секции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</si>
  <si>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к I</t>
    </r>
  </si>
  <si>
    <t>TE024</t>
  </si>
  <si>
    <t>Давление перед II секцией, изб.</t>
  </si>
  <si>
    <r>
      <rPr>
        <sz val="12"/>
        <rFont val="Arial"/>
        <family val="2"/>
        <charset val="204"/>
      </rPr>
      <t>h</t>
    </r>
    <r>
      <rPr>
        <vertAlign val="subscript"/>
        <sz val="12"/>
        <rFont val="Arial"/>
        <family val="2"/>
        <charset val="204"/>
      </rPr>
      <t>н II</t>
    </r>
  </si>
  <si>
    <t>PIT026</t>
  </si>
  <si>
    <t>Давление после II секции, изб.</t>
  </si>
  <si>
    <r>
      <rPr>
        <sz val="12"/>
        <rFont val="Arial"/>
        <family val="2"/>
        <charset val="204"/>
      </rPr>
      <t>h</t>
    </r>
    <r>
      <rPr>
        <vertAlign val="subscript"/>
        <sz val="12"/>
        <rFont val="Arial"/>
        <family val="2"/>
        <charset val="204"/>
      </rPr>
      <t>к II</t>
    </r>
  </si>
  <si>
    <t>PIT027</t>
  </si>
  <si>
    <t>Температура перед II секцией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</si>
  <si>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н II</t>
    </r>
  </si>
  <si>
    <t>TE026</t>
  </si>
  <si>
    <t>Температура после II секции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</si>
  <si>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к II</t>
    </r>
  </si>
  <si>
    <t>TE027</t>
  </si>
  <si>
    <t>Давление перед III секцией, изб.</t>
  </si>
  <si>
    <r>
      <rPr>
        <sz val="12"/>
        <rFont val="Arial"/>
        <family val="2"/>
        <charset val="204"/>
      </rPr>
      <t>h</t>
    </r>
    <r>
      <rPr>
        <vertAlign val="subscript"/>
        <sz val="12"/>
        <rFont val="Arial"/>
        <family val="2"/>
        <charset val="204"/>
      </rPr>
      <t>н III</t>
    </r>
  </si>
  <si>
    <t>PIT028</t>
  </si>
  <si>
    <t>Давление после III секции, изб.</t>
  </si>
  <si>
    <r>
      <rPr>
        <sz val="12"/>
        <rFont val="Arial"/>
        <family val="2"/>
        <charset val="204"/>
      </rPr>
      <t>h</t>
    </r>
    <r>
      <rPr>
        <vertAlign val="subscript"/>
        <sz val="12"/>
        <rFont val="Arial"/>
        <family val="2"/>
        <charset val="204"/>
      </rPr>
      <t>к III</t>
    </r>
  </si>
  <si>
    <t>PIT029</t>
  </si>
  <si>
    <t>Температура перед III секцией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</si>
  <si>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н III</t>
    </r>
  </si>
  <si>
    <t>TE028</t>
  </si>
  <si>
    <t>Температура после III секции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</si>
  <si>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к III</t>
    </r>
  </si>
  <si>
    <t>TE029</t>
  </si>
  <si>
    <t>Температура воды перед 1ым холодильником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</si>
  <si>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wн 1</t>
    </r>
  </si>
  <si>
    <t>TE625</t>
  </si>
  <si>
    <t>Температура воды перед 2ым холодильником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</si>
  <si>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wн 2</t>
    </r>
  </si>
  <si>
    <t>TE626</t>
  </si>
  <si>
    <t>Температура воды после 1го холодильника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</si>
  <si>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wк 1</t>
    </r>
  </si>
  <si>
    <t>TE627</t>
  </si>
  <si>
    <t>Температура воды после 2го холодильника</t>
  </si>
  <si>
    <r>
      <rPr>
        <sz val="12"/>
        <rFont val="Arial"/>
        <family val="2"/>
        <charset val="204"/>
      </rPr>
      <t>t</t>
    </r>
    <r>
      <rPr>
        <vertAlign val="subscript"/>
        <sz val="12"/>
        <rFont val="Arial"/>
        <family val="2"/>
        <charset val="204"/>
      </rPr>
      <t>wк 2</t>
    </r>
  </si>
  <si>
    <t>TE628</t>
  </si>
  <si>
    <t>Частота вращения ротора компрессора</t>
  </si>
  <si>
    <t>n</t>
  </si>
  <si>
    <t>об/мин</t>
  </si>
  <si>
    <t>F0</t>
  </si>
  <si>
    <t>Определение массового расхода через сегментную диафрагму на текущем режиме</t>
  </si>
  <si>
    <t>Давление перед сегментной диафрагмой, абс.</t>
  </si>
  <si>
    <r>
      <rPr>
        <sz val="12"/>
        <rFont val="Arial"/>
        <family val="2"/>
        <charset val="204"/>
      </rPr>
      <t>Р</t>
    </r>
    <r>
      <rPr>
        <vertAlign val="subscript"/>
        <sz val="12"/>
        <rFont val="Arial"/>
        <family val="2"/>
        <charset val="204"/>
      </rPr>
      <t>д</t>
    </r>
  </si>
  <si>
    <r>
      <rPr>
        <sz val="12"/>
        <rFont val="Arial"/>
        <family val="2"/>
        <charset val="204"/>
      </rPr>
      <t>Т</t>
    </r>
    <r>
      <rPr>
        <vertAlign val="subscript"/>
        <sz val="12"/>
        <rFont val="Arial"/>
        <family val="2"/>
        <charset val="204"/>
      </rPr>
      <t>д</t>
    </r>
  </si>
  <si>
    <t>К</t>
  </si>
  <si>
    <t>Уд. газовая постоянная</t>
  </si>
  <si>
    <t>R</t>
  </si>
  <si>
    <t>Дж/(кг·К)</t>
  </si>
  <si>
    <t>Показатель адиабаты</t>
  </si>
  <si>
    <t>k</t>
  </si>
  <si>
    <t>-</t>
  </si>
  <si>
    <t>Плотность перед сегментной диафрагмой</t>
  </si>
  <si>
    <r>
      <rPr>
        <sz val="12"/>
        <rFont val="Arial"/>
        <family val="2"/>
        <charset val="204"/>
      </rPr>
      <t>ρ</t>
    </r>
    <r>
      <rPr>
        <vertAlign val="subscript"/>
        <sz val="12"/>
        <rFont val="Arial"/>
        <family val="2"/>
        <charset val="204"/>
      </rPr>
      <t>д</t>
    </r>
  </si>
  <si>
    <r>
      <rPr>
        <sz val="12"/>
        <rFont val="Arial"/>
        <family val="2"/>
        <charset val="204"/>
      </rPr>
      <t>кг/м</t>
    </r>
    <r>
      <rPr>
        <vertAlign val="superscript"/>
        <sz val="12"/>
        <rFont val="Arial"/>
        <family val="2"/>
        <charset val="204"/>
      </rPr>
      <t>3</t>
    </r>
  </si>
  <si>
    <t>Коэффициент расширения</t>
  </si>
  <si>
    <t>ε</t>
  </si>
  <si>
    <t>Коэффициент расхода</t>
  </si>
  <si>
    <t>α</t>
  </si>
  <si>
    <t>Площадь сегмента</t>
  </si>
  <si>
    <t>F</t>
  </si>
  <si>
    <r>
      <rPr>
        <sz val="12"/>
        <rFont val="Arial"/>
        <family val="2"/>
        <charset val="204"/>
      </rPr>
      <t>м</t>
    </r>
    <r>
      <rPr>
        <vertAlign val="superscript"/>
        <sz val="12"/>
        <rFont val="Arial"/>
        <family val="2"/>
        <charset val="204"/>
      </rPr>
      <t>2</t>
    </r>
  </si>
  <si>
    <t>Массовый расход</t>
  </si>
  <si>
    <t>G</t>
  </si>
  <si>
    <t>кг/мин</t>
  </si>
  <si>
    <t>Определение основных параметров секций на текущем режиме</t>
  </si>
  <si>
    <t>Давление на входе в I секцию, абс.</t>
  </si>
  <si>
    <t>Рн I</t>
  </si>
  <si>
    <t>Давление на выходе из I секции, абс.</t>
  </si>
  <si>
    <t>Рк I</t>
  </si>
  <si>
    <t>Температура на входе в I секцию</t>
  </si>
  <si>
    <t>Тн I</t>
  </si>
  <si>
    <t>Температура на выходе из I секции</t>
  </si>
  <si>
    <t>Тк I</t>
  </si>
  <si>
    <t>Повышение температуры в I секции</t>
  </si>
  <si>
    <t>ΔТI</t>
  </si>
  <si>
    <t>Отношение давления в I секции</t>
  </si>
  <si>
    <t>εI</t>
  </si>
  <si>
    <t>Полный напор I секции</t>
  </si>
  <si>
    <t>НI</t>
  </si>
  <si>
    <t>кДж/кг</t>
  </si>
  <si>
    <t>Мощность внутренняя I секции</t>
  </si>
  <si>
    <t>Ni I</t>
  </si>
  <si>
    <t>МВт</t>
  </si>
  <si>
    <t>КПД политропный I секции</t>
  </si>
  <si>
    <t>ηпол I</t>
  </si>
  <si>
    <t>Плотность на входе в I секцию</t>
  </si>
  <si>
    <t>ρн I</t>
  </si>
  <si>
    <t>кг/м3</t>
  </si>
  <si>
    <t>Объемный расход на входе в I секцию</t>
  </si>
  <si>
    <t>Qн I</t>
  </si>
  <si>
    <t>м3/мин</t>
  </si>
  <si>
    <t>Давление на входе во II секцию, абс.</t>
  </si>
  <si>
    <t>Рн II</t>
  </si>
  <si>
    <t>Давление на выходе из II секции, абс.</t>
  </si>
  <si>
    <t>Рк II</t>
  </si>
  <si>
    <t>Температура на входе во II секцию</t>
  </si>
  <si>
    <t>Тн II</t>
  </si>
  <si>
    <t>Температура на выходе из II секции</t>
  </si>
  <si>
    <t>Тк II</t>
  </si>
  <si>
    <t>Повышение температуры во II секции</t>
  </si>
  <si>
    <t>ΔТII</t>
  </si>
  <si>
    <t>Отношение давления во II секции</t>
  </si>
  <si>
    <t>εII</t>
  </si>
  <si>
    <t>Полный напор II секции</t>
  </si>
  <si>
    <t>НII</t>
  </si>
  <si>
    <t>Мощность внутренняя II секции</t>
  </si>
  <si>
    <t>Ni II</t>
  </si>
  <si>
    <t>КПД политропный II секции</t>
  </si>
  <si>
    <t>ηпол II</t>
  </si>
  <si>
    <t>Плотность на входе во II секцию</t>
  </si>
  <si>
    <t>ρн II</t>
  </si>
  <si>
    <t>Объемный расход на входе во II секцию</t>
  </si>
  <si>
    <t>Qн II</t>
  </si>
  <si>
    <t>Давление на входе в III секцию, абс.</t>
  </si>
  <si>
    <t>Рн III</t>
  </si>
  <si>
    <t>Давление на выходе из III секции, абс.</t>
  </si>
  <si>
    <t>Рк III</t>
  </si>
  <si>
    <t>Температура на входе во III секцию</t>
  </si>
  <si>
    <t>Тн III</t>
  </si>
  <si>
    <t>Температура на выходе из III секции</t>
  </si>
  <si>
    <t>Тк III</t>
  </si>
  <si>
    <t>Повышение температуры в III секции</t>
  </si>
  <si>
    <t>ΔТIII</t>
  </si>
  <si>
    <t>Отношение давления во III секции</t>
  </si>
  <si>
    <t>εIII</t>
  </si>
  <si>
    <t>Полный напор III секции</t>
  </si>
  <si>
    <t>НIII</t>
  </si>
  <si>
    <t>Мощность внутренняя III секции</t>
  </si>
  <si>
    <t>Ni III</t>
  </si>
  <si>
    <t>КПД политропный III секции</t>
  </si>
  <si>
    <t>ηпол III</t>
  </si>
  <si>
    <t>Плотность на входе в III секцию</t>
  </si>
  <si>
    <t>ρн III</t>
  </si>
  <si>
    <t>Объемный расход на входе в III секцию</t>
  </si>
  <si>
    <t>Qн III</t>
  </si>
  <si>
    <t xml:space="preserve">Мощность компрессора,  внутренняя </t>
  </si>
  <si>
    <t>Ni</t>
  </si>
  <si>
    <t>Определение основных параметров газоохладителей на текущем режиме</t>
  </si>
  <si>
    <t>Массовый расход воздуха через газоохладители</t>
  </si>
  <si>
    <t>Коэффициент недоохлаждения 1го ГО</t>
  </si>
  <si>
    <t>ψ1</t>
  </si>
  <si>
    <t>Потери давления воздуха в 1ом ГО</t>
  </si>
  <si>
    <t>δP1</t>
  </si>
  <si>
    <t>Средняя плотность воздуха, проходящего через 1ый ГО</t>
  </si>
  <si>
    <t>ρm1</t>
  </si>
  <si>
    <t>Величина, характеризующая потери в 1ом ГО</t>
  </si>
  <si>
    <t>(ρm·δP)1</t>
  </si>
  <si>
    <t>кПа·кг/м3</t>
  </si>
  <si>
    <t>Повышение температуры воды в 1ом ГО</t>
  </si>
  <si>
    <t>Δtw1</t>
  </si>
  <si>
    <t>Понижение температуры воздуха в 1ом ГО</t>
  </si>
  <si>
    <t>Δtвозд1</t>
  </si>
  <si>
    <t>Изобарная теплоемкость воздуха</t>
  </si>
  <si>
    <t>cр возд</t>
  </si>
  <si>
    <t>Изобарная теплоемкость воды</t>
  </si>
  <si>
    <t>cр w</t>
  </si>
  <si>
    <t>Количество тепла, отданного воздухом 1му ГО</t>
  </si>
  <si>
    <t>qв1</t>
  </si>
  <si>
    <t>МДж/мин</t>
  </si>
  <si>
    <t>Расход охлаждающей воды на 1ый ГО</t>
  </si>
  <si>
    <t>w1</t>
  </si>
  <si>
    <t>т/ч</t>
  </si>
  <si>
    <t>Коэффициент недоохлаждения 2го ГО</t>
  </si>
  <si>
    <t>ψ2</t>
  </si>
  <si>
    <t>Потери давления воздуха во 2ом ГО</t>
  </si>
  <si>
    <t>δP2</t>
  </si>
  <si>
    <t>Средняя плотность воздуха, проходящего через 2ой ГО</t>
  </si>
  <si>
    <t>ρm2</t>
  </si>
  <si>
    <t>Величина, характеризующая потери во 2ом ГО</t>
  </si>
  <si>
    <t>(ρm·δP)2</t>
  </si>
  <si>
    <t>Повышение температуры воды во 2ом ГО</t>
  </si>
  <si>
    <t>Δtw2</t>
  </si>
  <si>
    <t>Понижение температуры воздуха во 2ом ГО</t>
  </si>
  <si>
    <t>Δtвозд2</t>
  </si>
  <si>
    <t>Количество тепла, отданного воздухом 2ому ГО</t>
  </si>
  <si>
    <t>qв2</t>
  </si>
  <si>
    <t>Расход охлаждающей воды на 2ой ГО</t>
  </si>
  <si>
    <t>w2</t>
  </si>
  <si>
    <t>Проверка расчета мощности</t>
  </si>
  <si>
    <t>Расход пара</t>
  </si>
  <si>
    <t>Gпар</t>
  </si>
  <si>
    <t>РТ30</t>
  </si>
  <si>
    <t>Gпар, т/ч</t>
  </si>
  <si>
    <t>Давление пара перед стопорным клапаном</t>
  </si>
  <si>
    <t>Рпар</t>
  </si>
  <si>
    <t>МПа</t>
  </si>
  <si>
    <t>ТЕ 31</t>
  </si>
  <si>
    <t>Рпар, МПа</t>
  </si>
  <si>
    <t>Температура пара перед стопорным клапаном</t>
  </si>
  <si>
    <t>tпар</t>
  </si>
  <si>
    <t>tпар, °С</t>
  </si>
  <si>
    <t>Механические потери мощнсоти при n=3000 об/мин</t>
  </si>
  <si>
    <r>
      <rPr>
        <sz val="12"/>
        <rFont val="Calibri"/>
        <family val="2"/>
        <charset val="204"/>
      </rPr>
      <t>Δ</t>
    </r>
    <r>
      <rPr>
        <sz val="12"/>
        <rFont val="Arial"/>
        <family val="2"/>
        <charset val="204"/>
      </rPr>
      <t>Nмех</t>
    </r>
  </si>
  <si>
    <t>Мощность турбины приведенная к номинальным условиям</t>
  </si>
  <si>
    <t>Ne пр</t>
  </si>
  <si>
    <t>Nе пр, МВт</t>
  </si>
  <si>
    <t>Поправочный коэффициент на давление пара перед стопорным клапаном</t>
  </si>
  <si>
    <t>Кро</t>
  </si>
  <si>
    <t>Поправочный коэффициент на температуру пара перед стопорным клапаном</t>
  </si>
  <si>
    <t>Кто</t>
  </si>
  <si>
    <t>Мощность выдаваемая паровой турбиной на текущем режиме работы</t>
  </si>
  <si>
    <t>Nпт</t>
  </si>
  <si>
    <t>Расчетная мощность потребляемая компрессором</t>
  </si>
  <si>
    <t>Nкомпр</t>
  </si>
  <si>
    <t>Разница между мощностями компрессора и турбины</t>
  </si>
  <si>
    <t>Δ</t>
  </si>
  <si>
    <t>Задание эталонной характеристики</t>
  </si>
  <si>
    <t>Первая секция</t>
  </si>
  <si>
    <t>RIэ</t>
  </si>
  <si>
    <t>kIэ</t>
  </si>
  <si>
    <t>Начальная температура</t>
  </si>
  <si>
    <t>tнIэ</t>
  </si>
  <si>
    <t>Частота вращения ротора первой секции</t>
  </si>
  <si>
    <t>nIэ</t>
  </si>
  <si>
    <t>Объемный расход, приведенный к условиям всасывания</t>
  </si>
  <si>
    <t>QнIэ</t>
  </si>
  <si>
    <t>Повышение температуры</t>
  </si>
  <si>
    <t>ΔTIэ</t>
  </si>
  <si>
    <t>Коэффициент полезного действия</t>
  </si>
  <si>
    <t>ηIэ</t>
  </si>
  <si>
    <t>Отношение давлений</t>
  </si>
  <si>
    <t>εIэ</t>
  </si>
  <si>
    <t>Вторая секция</t>
  </si>
  <si>
    <t>RIIэ</t>
  </si>
  <si>
    <t>kIIэ</t>
  </si>
  <si>
    <t>tнIIэ</t>
  </si>
  <si>
    <t>nIIэ</t>
  </si>
  <si>
    <t>QнIIэ</t>
  </si>
  <si>
    <t>ΔTIIэ</t>
  </si>
  <si>
    <t>ηIIэ</t>
  </si>
  <si>
    <t>εIIэ</t>
  </si>
  <si>
    <t>Третья секция</t>
  </si>
  <si>
    <t>RIIIэ</t>
  </si>
  <si>
    <t>kIIIэ</t>
  </si>
  <si>
    <t>tнIIIэ</t>
  </si>
  <si>
    <t>nIIIэ</t>
  </si>
  <si>
    <t>QнIIIэ</t>
  </si>
  <si>
    <t>ΔTIIIэ</t>
  </si>
  <si>
    <t>ηIIIэ</t>
  </si>
  <si>
    <t>εIIIэ</t>
  </si>
  <si>
    <t>Приведение эталонной характеристики к начальным условиям текущего режима работы</t>
  </si>
  <si>
    <t>QнI</t>
  </si>
  <si>
    <t>ΔTI</t>
  </si>
  <si>
    <t>ηI</t>
  </si>
  <si>
    <t>Вывод о текущем состоянии проточной части компрессора</t>
  </si>
  <si>
    <t>Повышение температуры по эталону</t>
  </si>
  <si>
    <t>Δ'TIэ</t>
  </si>
  <si>
    <t>Отношение давлений по эталону</t>
  </si>
  <si>
    <t>ε'Iэ</t>
  </si>
  <si>
    <t>Коэффициент полезного действия по эталону</t>
  </si>
  <si>
    <t>η'Iэ</t>
  </si>
  <si>
    <t>Отличие от эталона повышения температуры</t>
  </si>
  <si>
    <t>δΔТI</t>
  </si>
  <si>
    <t>%</t>
  </si>
  <si>
    <t>Отличие от эталона отношения давлений</t>
  </si>
  <si>
    <t>δεI</t>
  </si>
  <si>
    <t>Отличие от эталона коэффициента полезного действия</t>
  </si>
  <si>
    <t>δηI</t>
  </si>
  <si>
    <t>Δ'TIIэ</t>
  </si>
  <si>
    <t>ε'IIэ</t>
  </si>
  <si>
    <t>η'IIэ</t>
  </si>
  <si>
    <t>δΔТII</t>
  </si>
  <si>
    <t>δεII</t>
  </si>
  <si>
    <t>δηII</t>
  </si>
  <si>
    <t>Δ'TIIIэ</t>
  </si>
  <si>
    <t>ε'IIIэ</t>
  </si>
  <si>
    <t>η'IIIэ</t>
  </si>
  <si>
    <t>δΔТIII</t>
  </si>
  <si>
    <t>δεIII</t>
  </si>
  <si>
    <t>δηIII</t>
  </si>
  <si>
    <t>Задание эталонной характеристики газоохладителей</t>
  </si>
  <si>
    <t>Газоохладитель между первой и второй секциями</t>
  </si>
  <si>
    <t>Массовый расход газа через газоохладитель</t>
  </si>
  <si>
    <t>Коэффициент недоохлаждения</t>
  </si>
  <si>
    <t>ψ</t>
  </si>
  <si>
    <t>Параметр учитывающий потери в газоохладителе</t>
  </si>
  <si>
    <t>ρm·δР</t>
  </si>
  <si>
    <t>Газоохладитель между второй и третьей секциями</t>
  </si>
  <si>
    <t>Вывод о текущем состоянии газоохладителей</t>
  </si>
  <si>
    <t>Коэффициент недоохлаждения по эталону</t>
  </si>
  <si>
    <t>ψэ</t>
  </si>
  <si>
    <t>Параметр учитывающий потери в газоохладителе по эталону</t>
  </si>
  <si>
    <t>ρm·δРэ</t>
  </si>
  <si>
    <t>Отличие от эталона коэффициента недоохлаждения</t>
  </si>
  <si>
    <t>δψ</t>
  </si>
  <si>
    <t>Отличие от эталона параметра потерь</t>
  </si>
  <si>
    <t>δρm·δРэ</t>
  </si>
  <si>
    <t>Экономия пара при восстановлении газоохладителей</t>
  </si>
  <si>
    <t>Давление перед I секцией, абсолютное</t>
  </si>
  <si>
    <t>Pн I</t>
  </si>
  <si>
    <t>tн I</t>
  </si>
  <si>
    <t>Температура воды на входе в ВО</t>
  </si>
  <si>
    <t>tн w</t>
  </si>
  <si>
    <t>Частота вращения ротора</t>
  </si>
  <si>
    <t>Мех. потери мощности при n = 3000 об/мин</t>
  </si>
  <si>
    <r>
      <rPr>
        <sz val="11"/>
        <rFont val="Arial"/>
        <family val="2"/>
        <charset val="204"/>
      </rPr>
      <t>N</t>
    </r>
    <r>
      <rPr>
        <vertAlign val="subscript"/>
        <sz val="11"/>
        <rFont val="Arial"/>
        <family val="2"/>
        <charset val="204"/>
      </rPr>
      <t>мех Gu</t>
    </r>
  </si>
  <si>
    <t>кВт</t>
  </si>
  <si>
    <r>
      <rPr>
        <sz val="11"/>
        <rFont val="Arial"/>
        <family val="2"/>
        <charset val="204"/>
      </rPr>
      <t>ρ</t>
    </r>
    <r>
      <rPr>
        <vertAlign val="subscript"/>
        <sz val="11"/>
        <rFont val="Arial"/>
        <family val="2"/>
        <charset val="204"/>
      </rPr>
      <t>н I</t>
    </r>
  </si>
  <si>
    <r>
      <rPr>
        <sz val="12"/>
        <rFont val="Arial"/>
        <family val="2"/>
        <charset val="204"/>
      </rPr>
      <t>кг/м</t>
    </r>
    <r>
      <rPr>
        <i/>
        <vertAlign val="superscript"/>
        <sz val="12"/>
        <rFont val="Arial"/>
        <family val="2"/>
        <charset val="204"/>
      </rPr>
      <t>3</t>
    </r>
  </si>
  <si>
    <r>
      <rPr>
        <sz val="11"/>
        <rFont val="Arial"/>
        <family val="2"/>
        <charset val="204"/>
      </rPr>
      <t>Q</t>
    </r>
    <r>
      <rPr>
        <vertAlign val="subscript"/>
        <sz val="11"/>
        <rFont val="Arial"/>
        <family val="2"/>
        <charset val="204"/>
      </rPr>
      <t>н I</t>
    </r>
  </si>
  <si>
    <r>
      <rPr>
        <sz val="12"/>
        <rFont val="Arial"/>
        <family val="2"/>
        <charset val="204"/>
      </rPr>
      <t>м</t>
    </r>
    <r>
      <rPr>
        <i/>
        <vertAlign val="superscript"/>
        <sz val="12"/>
        <rFont val="Arial"/>
        <family val="2"/>
        <charset val="204"/>
      </rPr>
      <t>3</t>
    </r>
    <r>
      <rPr>
        <i/>
        <sz val="12"/>
        <rFont val="Arial"/>
        <family val="2"/>
        <charset val="204"/>
      </rPr>
      <t>/мин</t>
    </r>
  </si>
  <si>
    <t>Объемный расход на входе в I секцию по эталону</t>
  </si>
  <si>
    <r>
      <rPr>
        <sz val="11"/>
        <rFont val="Arial"/>
        <family val="2"/>
        <charset val="204"/>
      </rPr>
      <t>Q</t>
    </r>
    <r>
      <rPr>
        <vertAlign val="subscript"/>
        <sz val="11"/>
        <rFont val="Arial"/>
        <family val="2"/>
        <charset val="204"/>
      </rPr>
      <t>н э</t>
    </r>
  </si>
  <si>
    <r>
      <rPr>
        <sz val="11"/>
        <rFont val="Arial"/>
        <family val="2"/>
        <charset val="204"/>
      </rPr>
      <t>ΔТ</t>
    </r>
    <r>
      <rPr>
        <vertAlign val="subscript"/>
        <sz val="11"/>
        <rFont val="Arial"/>
        <family val="2"/>
        <charset val="204"/>
      </rPr>
      <t>I</t>
    </r>
  </si>
  <si>
    <r>
      <rPr>
        <sz val="11"/>
        <rFont val="Arial"/>
        <family val="2"/>
        <charset val="204"/>
      </rPr>
      <t>η</t>
    </r>
    <r>
      <rPr>
        <vertAlign val="subscript"/>
        <sz val="11"/>
        <rFont val="Arial"/>
        <family val="2"/>
        <charset val="204"/>
      </rPr>
      <t>пол I</t>
    </r>
  </si>
  <si>
    <r>
      <rPr>
        <sz val="11"/>
        <rFont val="Arial"/>
        <family val="2"/>
        <charset val="204"/>
      </rPr>
      <t>ε</t>
    </r>
    <r>
      <rPr>
        <vertAlign val="subscript"/>
        <sz val="11"/>
        <rFont val="Arial"/>
        <family val="2"/>
        <charset val="204"/>
      </rPr>
      <t>I</t>
    </r>
  </si>
  <si>
    <r>
      <rPr>
        <sz val="11"/>
        <rFont val="Arial"/>
        <family val="2"/>
        <charset val="204"/>
      </rPr>
      <t>Р</t>
    </r>
    <r>
      <rPr>
        <vertAlign val="subscript"/>
        <sz val="11"/>
        <rFont val="Arial"/>
        <family val="2"/>
        <charset val="204"/>
      </rPr>
      <t>к I</t>
    </r>
  </si>
  <si>
    <r>
      <rPr>
        <sz val="11"/>
        <rFont val="Arial"/>
        <family val="2"/>
        <charset val="204"/>
      </rPr>
      <t>Т</t>
    </r>
    <r>
      <rPr>
        <vertAlign val="subscript"/>
        <sz val="11"/>
        <rFont val="Arial"/>
        <family val="2"/>
        <charset val="204"/>
      </rPr>
      <t>к I</t>
    </r>
  </si>
  <si>
    <r>
      <rPr>
        <sz val="11"/>
        <rFont val="Arial"/>
        <family val="2"/>
        <charset val="204"/>
      </rPr>
      <t>ψ</t>
    </r>
    <r>
      <rPr>
        <vertAlign val="subscript"/>
        <sz val="11"/>
        <rFont val="Arial"/>
        <family val="2"/>
        <charset val="204"/>
      </rPr>
      <t>1</t>
    </r>
  </si>
  <si>
    <r>
      <rPr>
        <sz val="11"/>
        <rFont val="Arial"/>
        <family val="2"/>
        <charset val="204"/>
      </rPr>
      <t>Т</t>
    </r>
    <r>
      <rPr>
        <vertAlign val="subscript"/>
        <sz val="11"/>
        <rFont val="Arial"/>
        <family val="2"/>
        <charset val="204"/>
      </rPr>
      <t>н II</t>
    </r>
  </si>
  <si>
    <t>Средняя температура 1го ГО</t>
  </si>
  <si>
    <r>
      <rPr>
        <sz val="11"/>
        <rFont val="Arial"/>
        <family val="2"/>
        <charset val="204"/>
      </rPr>
      <t>Т</t>
    </r>
    <r>
      <rPr>
        <vertAlign val="subscript"/>
        <sz val="11"/>
        <rFont val="Arial"/>
        <family val="2"/>
        <charset val="204"/>
      </rPr>
      <t>m1</t>
    </r>
  </si>
  <si>
    <r>
      <rPr>
        <sz val="11"/>
        <rFont val="Arial"/>
        <family val="2"/>
        <charset val="204"/>
      </rPr>
      <t>ρ</t>
    </r>
    <r>
      <rPr>
        <vertAlign val="subscript"/>
        <sz val="11"/>
        <rFont val="Arial"/>
        <family val="2"/>
        <charset val="204"/>
      </rPr>
      <t>m1</t>
    </r>
  </si>
  <si>
    <t>Величина, характеризующая потери 1го ГО</t>
  </si>
  <si>
    <r>
      <rPr>
        <sz val="11"/>
        <rFont val="Arial"/>
        <family val="2"/>
        <charset val="204"/>
      </rPr>
      <t>(ρ</t>
    </r>
    <r>
      <rPr>
        <vertAlign val="subscript"/>
        <sz val="11"/>
        <rFont val="Arial"/>
        <family val="2"/>
        <charset val="204"/>
      </rPr>
      <t>m</t>
    </r>
    <r>
      <rPr>
        <sz val="11"/>
        <rFont val="Arial"/>
        <family val="2"/>
        <charset val="204"/>
      </rPr>
      <t>·δP)</t>
    </r>
    <r>
      <rPr>
        <vertAlign val="subscript"/>
        <sz val="11"/>
        <rFont val="Arial"/>
        <family val="2"/>
        <charset val="204"/>
      </rPr>
      <t>1</t>
    </r>
  </si>
  <si>
    <r>
      <rPr>
        <sz val="12"/>
        <rFont val="Arial"/>
        <family val="2"/>
        <charset val="204"/>
      </rPr>
      <t>кПа·кг/м</t>
    </r>
    <r>
      <rPr>
        <i/>
        <vertAlign val="superscript"/>
        <sz val="12"/>
        <rFont val="Arial"/>
        <family val="2"/>
        <charset val="204"/>
      </rPr>
      <t>3</t>
    </r>
  </si>
  <si>
    <r>
      <rPr>
        <sz val="11"/>
        <rFont val="Arial"/>
        <family val="2"/>
        <charset val="204"/>
      </rPr>
      <t>δP</t>
    </r>
    <r>
      <rPr>
        <vertAlign val="subscript"/>
        <sz val="11"/>
        <rFont val="Arial"/>
        <family val="2"/>
        <charset val="204"/>
      </rPr>
      <t>1</t>
    </r>
  </si>
  <si>
    <r>
      <rPr>
        <sz val="11"/>
        <rFont val="Arial"/>
        <family val="2"/>
        <charset val="204"/>
      </rPr>
      <t>Р</t>
    </r>
    <r>
      <rPr>
        <vertAlign val="subscript"/>
        <sz val="11"/>
        <rFont val="Arial"/>
        <family val="2"/>
        <charset val="204"/>
      </rPr>
      <t>н II</t>
    </r>
  </si>
  <si>
    <r>
      <rPr>
        <sz val="11"/>
        <rFont val="Arial"/>
        <family val="2"/>
        <charset val="204"/>
      </rPr>
      <t>ρ</t>
    </r>
    <r>
      <rPr>
        <vertAlign val="subscript"/>
        <sz val="11"/>
        <rFont val="Arial"/>
        <family val="2"/>
        <charset val="204"/>
      </rPr>
      <t>н II</t>
    </r>
  </si>
  <si>
    <r>
      <rPr>
        <sz val="11"/>
        <rFont val="Arial"/>
        <family val="2"/>
        <charset val="204"/>
      </rPr>
      <t>Q</t>
    </r>
    <r>
      <rPr>
        <vertAlign val="subscript"/>
        <sz val="11"/>
        <rFont val="Arial"/>
        <family val="2"/>
        <charset val="204"/>
      </rPr>
      <t>н II</t>
    </r>
  </si>
  <si>
    <r>
      <rPr>
        <sz val="11"/>
        <rFont val="Arial"/>
        <family val="2"/>
        <charset val="204"/>
      </rPr>
      <t>ΔТ</t>
    </r>
    <r>
      <rPr>
        <vertAlign val="subscript"/>
        <sz val="11"/>
        <rFont val="Arial"/>
        <family val="2"/>
        <charset val="204"/>
      </rPr>
      <t>II</t>
    </r>
  </si>
  <si>
    <r>
      <rPr>
        <sz val="11"/>
        <rFont val="Arial"/>
        <family val="2"/>
        <charset val="204"/>
      </rPr>
      <t>η</t>
    </r>
    <r>
      <rPr>
        <vertAlign val="subscript"/>
        <sz val="11"/>
        <rFont val="Arial"/>
        <family val="2"/>
        <charset val="204"/>
      </rPr>
      <t>пол II</t>
    </r>
  </si>
  <si>
    <r>
      <rPr>
        <sz val="11"/>
        <rFont val="Arial"/>
        <family val="2"/>
        <charset val="204"/>
      </rPr>
      <t>ε</t>
    </r>
    <r>
      <rPr>
        <vertAlign val="subscript"/>
        <sz val="11"/>
        <rFont val="Arial"/>
        <family val="2"/>
        <charset val="204"/>
      </rPr>
      <t>II</t>
    </r>
  </si>
  <si>
    <r>
      <rPr>
        <sz val="11"/>
        <rFont val="Arial"/>
        <family val="2"/>
        <charset val="204"/>
      </rPr>
      <t>Р</t>
    </r>
    <r>
      <rPr>
        <vertAlign val="subscript"/>
        <sz val="11"/>
        <rFont val="Arial"/>
        <family val="2"/>
        <charset val="204"/>
      </rPr>
      <t>к II</t>
    </r>
  </si>
  <si>
    <r>
      <rPr>
        <sz val="11"/>
        <rFont val="Arial"/>
        <family val="2"/>
        <charset val="204"/>
      </rPr>
      <t>Т</t>
    </r>
    <r>
      <rPr>
        <vertAlign val="subscript"/>
        <sz val="11"/>
        <rFont val="Arial"/>
        <family val="2"/>
        <charset val="204"/>
      </rPr>
      <t>к II</t>
    </r>
  </si>
  <si>
    <r>
      <rPr>
        <sz val="11"/>
        <rFont val="Arial"/>
        <family val="2"/>
        <charset val="204"/>
      </rPr>
      <t>ψ</t>
    </r>
    <r>
      <rPr>
        <vertAlign val="subscript"/>
        <sz val="11"/>
        <rFont val="Arial"/>
        <family val="2"/>
        <charset val="204"/>
      </rPr>
      <t>2</t>
    </r>
  </si>
  <si>
    <t>Температура на входе в III секцию</t>
  </si>
  <si>
    <r>
      <rPr>
        <sz val="11"/>
        <rFont val="Arial"/>
        <family val="2"/>
        <charset val="204"/>
      </rPr>
      <t>Т</t>
    </r>
    <r>
      <rPr>
        <vertAlign val="subscript"/>
        <sz val="11"/>
        <rFont val="Arial"/>
        <family val="2"/>
        <charset val="204"/>
      </rPr>
      <t>н III</t>
    </r>
  </si>
  <si>
    <t>Средняя температура 2го ГО</t>
  </si>
  <si>
    <r>
      <rPr>
        <sz val="11"/>
        <rFont val="Arial"/>
        <family val="2"/>
        <charset val="204"/>
      </rPr>
      <t>Т</t>
    </r>
    <r>
      <rPr>
        <vertAlign val="subscript"/>
        <sz val="11"/>
        <rFont val="Arial"/>
        <family val="2"/>
        <charset val="204"/>
      </rPr>
      <t>m2</t>
    </r>
  </si>
  <si>
    <r>
      <rPr>
        <sz val="11"/>
        <rFont val="Arial"/>
        <family val="2"/>
        <charset val="204"/>
      </rPr>
      <t>ρ</t>
    </r>
    <r>
      <rPr>
        <vertAlign val="subscript"/>
        <sz val="11"/>
        <rFont val="Arial"/>
        <family val="2"/>
        <charset val="204"/>
      </rPr>
      <t>m2</t>
    </r>
  </si>
  <si>
    <t>Величина, характеризующая потери 2го ГО</t>
  </si>
  <si>
    <r>
      <rPr>
        <sz val="11"/>
        <rFont val="Arial"/>
        <family val="2"/>
        <charset val="204"/>
      </rPr>
      <t>(ρ</t>
    </r>
    <r>
      <rPr>
        <vertAlign val="subscript"/>
        <sz val="11"/>
        <rFont val="Arial"/>
        <family val="2"/>
        <charset val="204"/>
      </rPr>
      <t>m</t>
    </r>
    <r>
      <rPr>
        <sz val="11"/>
        <rFont val="Arial"/>
        <family val="2"/>
        <charset val="204"/>
      </rPr>
      <t>·δP)</t>
    </r>
    <r>
      <rPr>
        <vertAlign val="subscript"/>
        <sz val="11"/>
        <rFont val="Arial"/>
        <family val="2"/>
        <charset val="204"/>
      </rPr>
      <t>2</t>
    </r>
  </si>
  <si>
    <r>
      <rPr>
        <sz val="11"/>
        <rFont val="Arial"/>
        <family val="2"/>
        <charset val="204"/>
      </rPr>
      <t>δP</t>
    </r>
    <r>
      <rPr>
        <vertAlign val="subscript"/>
        <sz val="11"/>
        <rFont val="Arial"/>
        <family val="2"/>
        <charset val="204"/>
      </rPr>
      <t>2</t>
    </r>
  </si>
  <si>
    <r>
      <rPr>
        <sz val="11"/>
        <rFont val="Arial"/>
        <family val="2"/>
        <charset val="204"/>
      </rPr>
      <t>Р</t>
    </r>
    <r>
      <rPr>
        <vertAlign val="subscript"/>
        <sz val="11"/>
        <rFont val="Arial"/>
        <family val="2"/>
        <charset val="204"/>
      </rPr>
      <t>н III</t>
    </r>
  </si>
  <si>
    <r>
      <rPr>
        <sz val="11"/>
        <rFont val="Arial"/>
        <family val="2"/>
        <charset val="204"/>
      </rPr>
      <t>ρ</t>
    </r>
    <r>
      <rPr>
        <vertAlign val="subscript"/>
        <sz val="11"/>
        <rFont val="Arial"/>
        <family val="2"/>
        <charset val="204"/>
      </rPr>
      <t>н III</t>
    </r>
  </si>
  <si>
    <r>
      <rPr>
        <sz val="11"/>
        <rFont val="Arial"/>
        <family val="2"/>
        <charset val="204"/>
      </rPr>
      <t>Q</t>
    </r>
    <r>
      <rPr>
        <vertAlign val="subscript"/>
        <sz val="11"/>
        <rFont val="Arial"/>
        <family val="2"/>
        <charset val="204"/>
      </rPr>
      <t>н III</t>
    </r>
  </si>
  <si>
    <r>
      <rPr>
        <sz val="11"/>
        <rFont val="Arial"/>
        <family val="2"/>
        <charset val="204"/>
      </rPr>
      <t>ΔТ</t>
    </r>
    <r>
      <rPr>
        <vertAlign val="subscript"/>
        <sz val="11"/>
        <rFont val="Arial"/>
        <family val="2"/>
        <charset val="204"/>
      </rPr>
      <t>III</t>
    </r>
  </si>
  <si>
    <r>
      <rPr>
        <sz val="11"/>
        <rFont val="Arial"/>
        <family val="2"/>
        <charset val="204"/>
      </rPr>
      <t>η</t>
    </r>
    <r>
      <rPr>
        <vertAlign val="subscript"/>
        <sz val="11"/>
        <rFont val="Arial"/>
        <family val="2"/>
        <charset val="204"/>
      </rPr>
      <t>пол III</t>
    </r>
  </si>
  <si>
    <t>Отношение давления в III секции</t>
  </si>
  <si>
    <r>
      <rPr>
        <sz val="11"/>
        <rFont val="Arial"/>
        <family val="2"/>
        <charset val="204"/>
      </rPr>
      <t>ε</t>
    </r>
    <r>
      <rPr>
        <vertAlign val="subscript"/>
        <sz val="11"/>
        <rFont val="Arial"/>
        <family val="2"/>
        <charset val="204"/>
      </rPr>
      <t>III</t>
    </r>
  </si>
  <si>
    <r>
      <rPr>
        <sz val="11"/>
        <rFont val="Arial"/>
        <family val="2"/>
        <charset val="204"/>
      </rPr>
      <t>Р</t>
    </r>
    <r>
      <rPr>
        <vertAlign val="subscript"/>
        <sz val="11"/>
        <rFont val="Arial"/>
        <family val="2"/>
        <charset val="204"/>
      </rPr>
      <t>к III</t>
    </r>
  </si>
  <si>
    <t>Отношение давления компрессора</t>
  </si>
  <si>
    <t>Сумма повышений температур I, II и III секций</t>
  </si>
  <si>
    <t>ΣΔТ</t>
  </si>
  <si>
    <t>Изотермический КПД компрессора</t>
  </si>
  <si>
    <r>
      <rPr>
        <sz val="11"/>
        <rFont val="Arial"/>
        <family val="2"/>
        <charset val="204"/>
      </rPr>
      <t>η</t>
    </r>
    <r>
      <rPr>
        <vertAlign val="subscript"/>
        <sz val="11"/>
        <rFont val="Arial"/>
        <family val="2"/>
        <charset val="204"/>
      </rPr>
      <t>из</t>
    </r>
  </si>
  <si>
    <t>Теоретический (полный) напор компрессора</t>
  </si>
  <si>
    <t>Н</t>
  </si>
  <si>
    <t>Внутренняя мощность компрессора</t>
  </si>
  <si>
    <r>
      <rPr>
        <sz val="11"/>
        <rFont val="Arial"/>
        <family val="2"/>
        <charset val="204"/>
      </rPr>
      <t>N</t>
    </r>
    <r>
      <rPr>
        <vertAlign val="subscript"/>
        <sz val="11"/>
        <rFont val="Arial"/>
        <family val="2"/>
        <charset val="204"/>
      </rPr>
      <t>i</t>
    </r>
  </si>
  <si>
    <t>Мощность компрессора, потребляемая</t>
  </si>
  <si>
    <r>
      <rPr>
        <sz val="11"/>
        <rFont val="Arial"/>
        <family val="2"/>
        <charset val="204"/>
      </rPr>
      <t>N</t>
    </r>
    <r>
      <rPr>
        <vertAlign val="subscript"/>
        <sz val="11"/>
        <rFont val="Arial"/>
        <family val="2"/>
        <charset val="204"/>
      </rPr>
      <t>потр</t>
    </r>
  </si>
  <si>
    <t>Экономия пара при восстановлении проточной части</t>
  </si>
  <si>
    <t>Экономия мощности</t>
  </si>
  <si>
    <t>δ</t>
  </si>
  <si>
    <t>Экономия пара</t>
  </si>
  <si>
    <t>Правила форматирования таблицы</t>
  </si>
  <si>
    <t>Таблица должна иметь название в отдельной строке перед таблицей. 
Так же название должно быть отделено от таблицы пустой строкой.</t>
  </si>
  <si>
    <t>Сама таблица должна иметь шапку с конкретным названием столбца
ИЛИ
Она может не иметь шапку, но быть точно установленного формата</t>
  </si>
  <si>
    <t>Единицы 
Измерения</t>
  </si>
  <si>
    <t>значения+</t>
  </si>
  <si>
    <t>+</t>
  </si>
  <si>
    <t>таблица расчёт мощность должна быть оформлена так --→
Константы или эталонные значения должны быть на той же строке, что и сами переменные.</t>
  </si>
  <si>
    <t>Первой таблицей должны идти ВХОДНЫЕ данные</t>
  </si>
  <si>
    <t>Формулы должны зависеть только от ячеек выше.
 Не допускаются ссылки на ячейки ниже, чем та, в которой расположена формула</t>
  </si>
  <si>
    <t xml:space="preserve">Для точной идентификации переменной желательно указывать её КИП. </t>
  </si>
  <si>
    <t>Nе пр</t>
  </si>
  <si>
    <t>Повышение температуры верхний предел</t>
  </si>
  <si>
    <t>Повышение температуры нижний предел</t>
  </si>
  <si>
    <t>Диагнозы</t>
  </si>
  <si>
    <t>первая секция температура от расхода</t>
  </si>
  <si>
    <t>bool</t>
  </si>
  <si>
    <t>Диагнозы задаются специальными функциями по типу:
 =ТРИГЕР1(E145:S145; E144:S144; E51E45; 5%+1; -5% -0,2)
описание параметров ( X ; Y ; точка XY ; переделы верх ; низ ; лево ; право )</t>
  </si>
  <si>
    <t>diag1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</si>
</sst>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0"/>
      <name val="Arial"/>
      <charset val="204"/>
    </font>
    <font>
      <sz val="12"/>
      <name val="Arial"/>
      <family val="2"/>
      <charset val="204"/>
    </font>
    <font>
      <b/>
      <u/>
      <sz val="12"/>
      <name val="Arial"/>
      <family val="2"/>
      <charset val="204"/>
    </font>
    <font>
      <vertAlign val="subscript"/>
      <sz val="12"/>
      <name val="Arial"/>
      <family val="2"/>
      <charset val="204"/>
    </font>
    <font>
      <b/>
      <sz val="12"/>
      <color rgb="FF003366"/>
      <name val="Arial"/>
      <family val="2"/>
      <charset val="204"/>
    </font>
    <font>
      <b/>
      <sz val="12"/>
      <color rgb="FFFF0000"/>
      <name val="Arial"/>
      <family val="2"/>
      <charset val="204"/>
    </font>
    <font>
      <vertAlign val="superscript"/>
      <sz val="12"/>
      <name val="Arial"/>
      <family val="2"/>
      <charset val="204"/>
    </font>
    <font>
      <sz val="12"/>
      <name val="Calibri"/>
      <family val="2"/>
      <charset val="204"/>
    </font>
    <font>
      <sz val="11"/>
      <name val="Arial"/>
      <family val="2"/>
      <charset val="204"/>
    </font>
    <font>
      <vertAlign val="subscript"/>
      <sz val="11"/>
      <name val="Arial"/>
      <family val="2"/>
      <charset val="204"/>
    </font>
    <font>
      <i/>
      <vertAlign val="superscript"/>
      <sz val="12"/>
      <name val="Arial"/>
      <family val="2"/>
      <charset val="204"/>
    </font>
    <font>
      <i/>
      <sz val="12"/>
      <name val="Arial"/>
      <family val="2"/>
      <charset val="204"/>
    </font>
    <font>
      <b/>
      <sz val="13"/>
      <name val="Arial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" fontId="4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2" fontId="4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0" fillId="0" borderId="4" xfId="0" applyBorder="1"/>
    <xf numFmtId="165" fontId="1" fillId="0" borderId="6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14" fillId="0" borderId="13" xfId="0" applyFont="1" applyBorder="1" applyAlignment="1">
      <alignment horizontal="center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16" xfId="0" applyFont="1" applyBorder="1" applyAlignment="1">
      <alignment horizontal="center" vertical="top" wrapText="1"/>
    </xf>
    <xf numFmtId="0" fontId="14" fillId="0" borderId="17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40" b="1" strike="noStrike" spc="-1">
                <a:solidFill>
                  <a:srgbClr val="000000"/>
                </a:solidFill>
                <a:latin typeface="Arial"/>
              </a:defRPr>
            </a:pPr>
            <a:r>
              <a:rPr lang="ru-RU" sz="1440" b="1" strike="noStrike" spc="-1">
                <a:solidFill>
                  <a:srgbClr val="000000"/>
                </a:solidFill>
                <a:latin typeface="Arial"/>
              </a:rPr>
              <a:t>Первая секция</a:t>
            </a:r>
          </a:p>
        </c:rich>
      </c:tx>
      <c:layout>
        <c:manualLayout>
          <c:xMode val="edge"/>
          <c:yMode val="edge"/>
          <c:x val="0.40446177564160701"/>
          <c:y val="2.6581002771479002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1539856715335101"/>
          <c:y val="8.8435374149659907E-2"/>
          <c:w val="0.791965176385236"/>
          <c:h val="0.9110607205845300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xVal>
            <c:numRef>
              <c:f>Лист1!$E$144:$S$144</c:f>
              <c:numCache>
                <c:formatCode>0.0</c:formatCode>
                <c:ptCount val="15"/>
                <c:pt idx="0">
                  <c:v>2057.9</c:v>
                </c:pt>
                <c:pt idx="1">
                  <c:v>2144.5428666666667</c:v>
                </c:pt>
                <c:pt idx="2">
                  <c:v>2231.2912666666671</c:v>
                </c:pt>
                <c:pt idx="3">
                  <c:v>2317.9341333333336</c:v>
                </c:pt>
                <c:pt idx="4">
                  <c:v>2404.6825333333331</c:v>
                </c:pt>
                <c:pt idx="5">
                  <c:v>2491.3253999999997</c:v>
                </c:pt>
                <c:pt idx="6">
                  <c:v>2578.0738000000001</c:v>
                </c:pt>
                <c:pt idx="7">
                  <c:v>2664.7166666666667</c:v>
                </c:pt>
                <c:pt idx="8">
                  <c:v>2751.3595333333333</c:v>
                </c:pt>
                <c:pt idx="9">
                  <c:v>2838.1079333333337</c:v>
                </c:pt>
                <c:pt idx="10">
                  <c:v>2924.7508000000003</c:v>
                </c:pt>
                <c:pt idx="11">
                  <c:v>3011.4991999999997</c:v>
                </c:pt>
                <c:pt idx="12">
                  <c:v>3098.1420666666663</c:v>
                </c:pt>
                <c:pt idx="13">
                  <c:v>3184.8904666666667</c:v>
                </c:pt>
                <c:pt idx="14">
                  <c:v>3271.5333333333333</c:v>
                </c:pt>
              </c:numCache>
            </c:numRef>
          </c:xVal>
          <c:yVal>
            <c:numRef>
              <c:f>Лист1!$E$145:$S$145</c:f>
              <c:numCache>
                <c:formatCode>0.0</c:formatCode>
                <c:ptCount val="15"/>
                <c:pt idx="0">
                  <c:v>106.24969359999999</c:v>
                </c:pt>
                <c:pt idx="1">
                  <c:v>105.35871084444442</c:v>
                </c:pt>
                <c:pt idx="2">
                  <c:v>104.35635524444443</c:v>
                </c:pt>
                <c:pt idx="3">
                  <c:v>103.35399964444441</c:v>
                </c:pt>
                <c:pt idx="4">
                  <c:v>102.46301688888886</c:v>
                </c:pt>
                <c:pt idx="5">
                  <c:v>101.46066128888886</c:v>
                </c:pt>
                <c:pt idx="6">
                  <c:v>100.5696785333333</c:v>
                </c:pt>
                <c:pt idx="7">
                  <c:v>99.567322933333315</c:v>
                </c:pt>
                <c:pt idx="8">
                  <c:v>98.564967333333314</c:v>
                </c:pt>
                <c:pt idx="9">
                  <c:v>97.673984577777759</c:v>
                </c:pt>
                <c:pt idx="10">
                  <c:v>96.671628977777758</c:v>
                </c:pt>
                <c:pt idx="11">
                  <c:v>95.780646222222202</c:v>
                </c:pt>
                <c:pt idx="12">
                  <c:v>94.778290622222201</c:v>
                </c:pt>
                <c:pt idx="13">
                  <c:v>93.887307866666646</c:v>
                </c:pt>
                <c:pt idx="14">
                  <c:v>92.884952266666645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CE-473B-AD45-9FB5077AE483}"/>
            </c:ext>
          </c:extLst>
        </c:ser>
        <c:ser>
          <c:idx val="1"/>
          <c:order val="1"/>
          <c:spPr>
            <a:ln w="25200">
              <a:solidFill>
                <a:srgbClr val="993366"/>
              </a:solidFill>
              <a:round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Лист1!$E$51</c:f>
              <c:numCache>
                <c:formatCode>0.0</c:formatCode>
                <c:ptCount val="1"/>
                <c:pt idx="0">
                  <c:v>3356.9673790537481</c:v>
                </c:pt>
              </c:numCache>
            </c:numRef>
          </c:xVal>
          <c:yVal>
            <c:numRef>
              <c:f>Лист1!$E$45</c:f>
              <c:numCache>
                <c:formatCode>0.0</c:formatCode>
                <c:ptCount val="1"/>
                <c:pt idx="0">
                  <c:v>108.80000000000001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CE-473B-AD45-9FB5077AE483}"/>
            </c:ext>
          </c:extLst>
        </c:ser>
        <c:ser>
          <c:idx val="2"/>
          <c:order val="2"/>
          <c:tx>
            <c:v>Верхний предел</c:v>
          </c:tx>
          <c:spPr>
            <a:ln w="19050">
              <a:solidFill>
                <a:srgbClr val="808080"/>
              </a:solidFill>
            </a:ln>
          </c:spPr>
          <c:marker>
            <c:spPr>
              <a:ln>
                <a:noFill/>
              </a:ln>
            </c:spPr>
          </c:marker>
          <c:trendline>
            <c:spPr>
              <a:ln w="12700" cmpd="sng"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Лист1!$E$144:$S$144</c:f>
              <c:numCache>
                <c:formatCode>0.0</c:formatCode>
                <c:ptCount val="15"/>
                <c:pt idx="0">
                  <c:v>2057.9</c:v>
                </c:pt>
                <c:pt idx="1">
                  <c:v>2144.5428666666667</c:v>
                </c:pt>
                <c:pt idx="2">
                  <c:v>2231.2912666666671</c:v>
                </c:pt>
                <c:pt idx="3">
                  <c:v>2317.9341333333336</c:v>
                </c:pt>
                <c:pt idx="4">
                  <c:v>2404.6825333333331</c:v>
                </c:pt>
                <c:pt idx="5">
                  <c:v>2491.3253999999997</c:v>
                </c:pt>
                <c:pt idx="6">
                  <c:v>2578.0738000000001</c:v>
                </c:pt>
                <c:pt idx="7">
                  <c:v>2664.7166666666667</c:v>
                </c:pt>
                <c:pt idx="8">
                  <c:v>2751.3595333333333</c:v>
                </c:pt>
                <c:pt idx="9">
                  <c:v>2838.1079333333337</c:v>
                </c:pt>
                <c:pt idx="10">
                  <c:v>2924.7508000000003</c:v>
                </c:pt>
                <c:pt idx="11">
                  <c:v>3011.4991999999997</c:v>
                </c:pt>
                <c:pt idx="12">
                  <c:v>3098.1420666666663</c:v>
                </c:pt>
                <c:pt idx="13">
                  <c:v>3184.8904666666667</c:v>
                </c:pt>
                <c:pt idx="14">
                  <c:v>3271.5333333333333</c:v>
                </c:pt>
              </c:numCache>
            </c:numRef>
          </c:xVal>
          <c:yVal>
            <c:numRef>
              <c:f>Лист1!$E$146:$S$146</c:f>
              <c:numCache>
                <c:formatCode>0.0</c:formatCode>
                <c:ptCount val="15"/>
                <c:pt idx="0">
                  <c:v>116.87466295999999</c:v>
                </c:pt>
                <c:pt idx="1">
                  <c:v>115.89458192888887</c:v>
                </c:pt>
                <c:pt idx="2">
                  <c:v>114.79199076888888</c:v>
                </c:pt>
                <c:pt idx="3">
                  <c:v>113.68939960888886</c:v>
                </c:pt>
                <c:pt idx="4">
                  <c:v>112.70931857777775</c:v>
                </c:pt>
                <c:pt idx="5">
                  <c:v>111.60672741777775</c:v>
                </c:pt>
                <c:pt idx="6">
                  <c:v>110.62664638666664</c:v>
                </c:pt>
                <c:pt idx="7">
                  <c:v>109.52405522666666</c:v>
                </c:pt>
                <c:pt idx="8">
                  <c:v>108.42146406666666</c:v>
                </c:pt>
                <c:pt idx="9">
                  <c:v>107.44138303555555</c:v>
                </c:pt>
                <c:pt idx="10">
                  <c:v>106.33879187555554</c:v>
                </c:pt>
                <c:pt idx="11">
                  <c:v>105.35871084444443</c:v>
                </c:pt>
                <c:pt idx="12">
                  <c:v>104.25611968444443</c:v>
                </c:pt>
                <c:pt idx="13">
                  <c:v>103.27603865333332</c:v>
                </c:pt>
                <c:pt idx="14">
                  <c:v>102.17344749333331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CE-473B-AD45-9FB5077AE483}"/>
            </c:ext>
          </c:extLst>
        </c:ser>
        <c:ser>
          <c:idx val="3"/>
          <c:order val="3"/>
          <c:tx>
            <c:v>Нижний предел</c:v>
          </c:tx>
          <c:spPr>
            <a:ln w="19050">
              <a:solidFill>
                <a:schemeClr val="accent1"/>
              </a:solidFill>
            </a:ln>
          </c:spPr>
          <c:marker>
            <c:spPr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Лист1!$E$144:$S$144</c:f>
              <c:numCache>
                <c:formatCode>0.0</c:formatCode>
                <c:ptCount val="15"/>
                <c:pt idx="0">
                  <c:v>2057.9</c:v>
                </c:pt>
                <c:pt idx="1">
                  <c:v>2144.5428666666667</c:v>
                </c:pt>
                <c:pt idx="2">
                  <c:v>2231.2912666666671</c:v>
                </c:pt>
                <c:pt idx="3">
                  <c:v>2317.9341333333336</c:v>
                </c:pt>
                <c:pt idx="4">
                  <c:v>2404.6825333333331</c:v>
                </c:pt>
                <c:pt idx="5">
                  <c:v>2491.3253999999997</c:v>
                </c:pt>
                <c:pt idx="6">
                  <c:v>2578.0738000000001</c:v>
                </c:pt>
                <c:pt idx="7">
                  <c:v>2664.7166666666667</c:v>
                </c:pt>
                <c:pt idx="8">
                  <c:v>2751.3595333333333</c:v>
                </c:pt>
                <c:pt idx="9">
                  <c:v>2838.1079333333337</c:v>
                </c:pt>
                <c:pt idx="10">
                  <c:v>2924.7508000000003</c:v>
                </c:pt>
                <c:pt idx="11">
                  <c:v>3011.4991999999997</c:v>
                </c:pt>
                <c:pt idx="12">
                  <c:v>3098.1420666666663</c:v>
                </c:pt>
                <c:pt idx="13">
                  <c:v>3184.8904666666667</c:v>
                </c:pt>
                <c:pt idx="14">
                  <c:v>3271.5333333333333</c:v>
                </c:pt>
              </c:numCache>
            </c:numRef>
          </c:xVal>
          <c:yVal>
            <c:numRef>
              <c:f>Лист1!$E$147:$S$147</c:f>
              <c:numCache>
                <c:formatCode>0.0</c:formatCode>
                <c:ptCount val="15"/>
                <c:pt idx="0">
                  <c:v>95.624724239999992</c:v>
                </c:pt>
                <c:pt idx="1">
                  <c:v>94.822839759999979</c:v>
                </c:pt>
                <c:pt idx="2">
                  <c:v>93.920719719999994</c:v>
                </c:pt>
                <c:pt idx="3">
                  <c:v>93.01859967999998</c:v>
                </c:pt>
                <c:pt idx="4">
                  <c:v>92.216715199999982</c:v>
                </c:pt>
                <c:pt idx="5">
                  <c:v>91.314595159999968</c:v>
                </c:pt>
                <c:pt idx="6">
                  <c:v>90.512710679999969</c:v>
                </c:pt>
                <c:pt idx="7">
                  <c:v>89.610590639999984</c:v>
                </c:pt>
                <c:pt idx="8">
                  <c:v>88.708470599999984</c:v>
                </c:pt>
                <c:pt idx="9">
                  <c:v>87.906586119999986</c:v>
                </c:pt>
                <c:pt idx="10">
                  <c:v>87.004466079999986</c:v>
                </c:pt>
                <c:pt idx="11">
                  <c:v>86.202581599999988</c:v>
                </c:pt>
                <c:pt idx="12">
                  <c:v>85.300461559999988</c:v>
                </c:pt>
                <c:pt idx="13">
                  <c:v>84.49857707999999</c:v>
                </c:pt>
                <c:pt idx="14">
                  <c:v>83.596457039999976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CE-473B-AD45-9FB5077A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14354"/>
        <c:axId val="64224342"/>
      </c:scatterChart>
      <c:valAx>
        <c:axId val="76914354"/>
        <c:scaling>
          <c:orientation val="minMax"/>
          <c:max val="3500"/>
          <c:min val="20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numFmt formatCode="0.0" sourceLinked="1"/>
        <c:majorTickMark val="out"/>
        <c:minorTickMark val="none"/>
        <c:tickLblPos val="low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64224342"/>
        <c:crossesAt val="0"/>
        <c:crossBetween val="midCat"/>
        <c:majorUnit val="500"/>
      </c:valAx>
      <c:valAx>
        <c:axId val="64224342"/>
        <c:scaling>
          <c:orientation val="minMax"/>
          <c:max val="125"/>
          <c:min val="8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Δ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Т, К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7691435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40" b="1" strike="noStrike" spc="-1">
                <a:solidFill>
                  <a:srgbClr val="000000"/>
                </a:solidFill>
                <a:latin typeface="Arial"/>
              </a:defRPr>
            </a:pPr>
            <a:r>
              <a:rPr lang="ru-RU" sz="1440" b="1" strike="noStrike" spc="-1">
                <a:solidFill>
                  <a:srgbClr val="000000"/>
                </a:solidFill>
                <a:latin typeface="Arial"/>
              </a:rPr>
              <a:t>Газоохладитель между первой и второй секциями</a:t>
            </a:r>
          </a:p>
        </c:rich>
      </c:tx>
      <c:layout>
        <c:manualLayout>
          <c:xMode val="edge"/>
          <c:yMode val="edge"/>
          <c:x val="0.18803845107463499"/>
          <c:y val="2.6581002771479002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19842205495602"/>
          <c:y val="0.107205845301083"/>
          <c:w val="0.78702276231069201"/>
          <c:h val="0.8881330309901740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20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Лист1!$E$249:$O$249</c:f>
              <c:numCache>
                <c:formatCode>0.0</c:formatCode>
                <c:ptCount val="11"/>
                <c:pt idx="0">
                  <c:v>3803.5</c:v>
                </c:pt>
                <c:pt idx="1">
                  <c:v>3704.7</c:v>
                </c:pt>
                <c:pt idx="2">
                  <c:v>3474.4</c:v>
                </c:pt>
                <c:pt idx="3">
                  <c:v>3247</c:v>
                </c:pt>
                <c:pt idx="4">
                  <c:v>3186.5</c:v>
                </c:pt>
                <c:pt idx="5">
                  <c:v>3087.2</c:v>
                </c:pt>
                <c:pt idx="6">
                  <c:v>2955.6</c:v>
                </c:pt>
                <c:pt idx="7">
                  <c:v>2738.9</c:v>
                </c:pt>
                <c:pt idx="8">
                  <c:v>2510.9</c:v>
                </c:pt>
                <c:pt idx="9">
                  <c:v>2434</c:v>
                </c:pt>
                <c:pt idx="10">
                  <c:v>2127.9</c:v>
                </c:pt>
              </c:numCache>
            </c:numRef>
          </c:xVal>
          <c:yVal>
            <c:numRef>
              <c:f>Лист1!$E$250:$O$250</c:f>
              <c:numCache>
                <c:formatCode>0.000</c:formatCode>
                <c:ptCount val="11"/>
                <c:pt idx="0">
                  <c:v>0.22600000000000001</c:v>
                </c:pt>
                <c:pt idx="1">
                  <c:v>0.217</c:v>
                </c:pt>
                <c:pt idx="2">
                  <c:v>0.19400000000000001</c:v>
                </c:pt>
                <c:pt idx="3">
                  <c:v>0.18099999999999999</c:v>
                </c:pt>
                <c:pt idx="4">
                  <c:v>0.17599999999999999</c:v>
                </c:pt>
                <c:pt idx="5">
                  <c:v>0.16900000000000001</c:v>
                </c:pt>
                <c:pt idx="6">
                  <c:v>0.157</c:v>
                </c:pt>
                <c:pt idx="7">
                  <c:v>0.14000000000000001</c:v>
                </c:pt>
                <c:pt idx="8">
                  <c:v>0.128</c:v>
                </c:pt>
                <c:pt idx="9">
                  <c:v>0.125</c:v>
                </c:pt>
                <c:pt idx="10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33-46D8-81E9-E98B69CCD714}"/>
            </c:ext>
          </c:extLst>
        </c:ser>
        <c:ser>
          <c:idx val="1"/>
          <c:order val="1"/>
          <c:spPr>
            <a:ln w="25200">
              <a:solidFill>
                <a:srgbClr val="993366"/>
              </a:solidFill>
              <a:round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Лист1!$E$78</c:f>
              <c:numCache>
                <c:formatCode>0.0</c:formatCode>
                <c:ptCount val="1"/>
                <c:pt idx="0">
                  <c:v>4235.2354154829063</c:v>
                </c:pt>
              </c:numCache>
            </c:numRef>
          </c:xVal>
          <c:yVal>
            <c:numRef>
              <c:f>Лист1!$E$79</c:f>
              <c:numCache>
                <c:formatCode>0.000</c:formatCode>
                <c:ptCount val="1"/>
                <c:pt idx="0">
                  <c:v>8.3056478405315604E-2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33-46D8-81E9-E98B69CCD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3351"/>
        <c:axId val="56097648"/>
      </c:scatterChart>
      <c:valAx>
        <c:axId val="98333351"/>
        <c:scaling>
          <c:orientation val="minMax"/>
          <c:max val="4500"/>
          <c:min val="20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numFmt formatCode="0.0" sourceLinked="1"/>
        <c:majorTickMark val="out"/>
        <c:minorTickMark val="none"/>
        <c:tickLblPos val="none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6097648"/>
        <c:crossesAt val="0"/>
        <c:crossBetween val="midCat"/>
        <c:majorUnit val="500"/>
      </c:valAx>
      <c:valAx>
        <c:axId val="56097648"/>
        <c:scaling>
          <c:orientation val="minMax"/>
          <c:max val="0.3"/>
          <c:min val="0.1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ψ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98333351"/>
        <c:crossesAt val="0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8.3068831051056502E-2"/>
          <c:y val="2.9918118832668501E-2"/>
          <c:w val="0.85816631903509599"/>
          <c:h val="0.911295402057527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Эталон</c:nam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xVal>
            <c:numRef>
              <c:f>Лист1!$E$249:$O$249</c:f>
              <c:numCache>
                <c:formatCode>0.0</c:formatCode>
                <c:ptCount val="11"/>
                <c:pt idx="0">
                  <c:v>3803.5</c:v>
                </c:pt>
                <c:pt idx="1">
                  <c:v>3704.7</c:v>
                </c:pt>
                <c:pt idx="2">
                  <c:v>3474.4</c:v>
                </c:pt>
                <c:pt idx="3">
                  <c:v>3247</c:v>
                </c:pt>
                <c:pt idx="4">
                  <c:v>3186.5</c:v>
                </c:pt>
                <c:pt idx="5">
                  <c:v>3087.2</c:v>
                </c:pt>
                <c:pt idx="6">
                  <c:v>2955.6</c:v>
                </c:pt>
                <c:pt idx="7">
                  <c:v>2738.9</c:v>
                </c:pt>
                <c:pt idx="8">
                  <c:v>2510.9</c:v>
                </c:pt>
                <c:pt idx="9">
                  <c:v>2434</c:v>
                </c:pt>
                <c:pt idx="10">
                  <c:v>2127.9</c:v>
                </c:pt>
              </c:numCache>
            </c:numRef>
          </c:xVal>
          <c:yVal>
            <c:numRef>
              <c:f>Лист1!$E$251:$O$251</c:f>
              <c:numCache>
                <c:formatCode>0.00</c:formatCode>
                <c:ptCount val="11"/>
                <c:pt idx="0">
                  <c:v>29.245999999999999</c:v>
                </c:pt>
                <c:pt idx="1">
                  <c:v>27.599</c:v>
                </c:pt>
                <c:pt idx="2">
                  <c:v>24.013000000000002</c:v>
                </c:pt>
                <c:pt idx="3">
                  <c:v>21.812999999999999</c:v>
                </c:pt>
                <c:pt idx="4">
                  <c:v>19.95</c:v>
                </c:pt>
                <c:pt idx="5">
                  <c:v>20.13</c:v>
                </c:pt>
                <c:pt idx="6">
                  <c:v>18.225000000000001</c:v>
                </c:pt>
                <c:pt idx="7">
                  <c:v>16.367999999999999</c:v>
                </c:pt>
                <c:pt idx="8">
                  <c:v>14.455</c:v>
                </c:pt>
                <c:pt idx="9">
                  <c:v>14.49</c:v>
                </c:pt>
                <c:pt idx="10">
                  <c:v>12.342000000000001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D-4E6F-A766-FEC3AF0D7A92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Лист1!$E$78</c:f>
              <c:numCache>
                <c:formatCode>0.0</c:formatCode>
                <c:ptCount val="1"/>
                <c:pt idx="0">
                  <c:v>4235.2354154829063</c:v>
                </c:pt>
              </c:numCache>
            </c:numRef>
          </c:xVal>
          <c:yVal>
            <c:numRef>
              <c:f>Лист1!$E$82</c:f>
              <c:numCache>
                <c:formatCode>0.00</c:formatCode>
                <c:ptCount val="1"/>
                <c:pt idx="0">
                  <c:v>21.343946138638294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1D-4E6F-A766-FEC3AF0D7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8084"/>
        <c:axId val="72641602"/>
      </c:scatterChart>
      <c:valAx>
        <c:axId val="23578084"/>
        <c:scaling>
          <c:orientation val="minMax"/>
          <c:max val="4500"/>
          <c:min val="20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Arial"/>
                  </a:rPr>
                  <a:t>G, 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кг/мин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low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72641602"/>
        <c:crossesAt val="0"/>
        <c:crossBetween val="midCat"/>
        <c:majorUnit val="500"/>
      </c:valAx>
      <c:valAx>
        <c:axId val="72641602"/>
        <c:scaling>
          <c:orientation val="minMax"/>
          <c:max val="34.99"/>
          <c:min val="1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ρ</a:t>
                </a:r>
                <a:r>
                  <a:rPr lang="en-US" sz="1200" b="1" strike="noStrike" spc="-1">
                    <a:solidFill>
                      <a:srgbClr val="000000"/>
                    </a:solidFill>
                    <a:latin typeface="Arial"/>
                  </a:rPr>
                  <a:t>m·</a:t>
                </a: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δ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Р,
кПа·кг/м3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23578084"/>
        <c:crossesAt val="0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29645415797587699"/>
          <c:y val="0.925152214990552"/>
          <c:w val="0.35349596445089299"/>
          <c:h val="6.6659668276296505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40" b="1" strike="noStrike" spc="-1">
                <a:solidFill>
                  <a:srgbClr val="000000"/>
                </a:solidFill>
                <a:latin typeface="Arial"/>
              </a:defRPr>
            </a:pPr>
            <a:r>
              <a:rPr lang="ru-RU" sz="1440" b="1" strike="noStrike" spc="-1">
                <a:solidFill>
                  <a:srgbClr val="000000"/>
                </a:solidFill>
                <a:latin typeface="Arial"/>
              </a:rPr>
              <a:t>Газоохладитель между второй и третьей секциями</a:t>
            </a:r>
          </a:p>
        </c:rich>
      </c:tx>
      <c:layout>
        <c:manualLayout>
          <c:xMode val="edge"/>
          <c:yMode val="edge"/>
          <c:x val="0.184099660249151"/>
          <c:y val="2.6581002771479002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19864099660249"/>
          <c:y val="0.107205845301083"/>
          <c:w val="0.78727066817667002"/>
          <c:h val="0.8881330309901740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200">
                <a:solidFill>
                  <a:srgbClr val="000000"/>
                </a:solidFill>
                <a:round/>
              </a:ln>
            </c:spPr>
            <c:trendlineType val="linear"/>
            <c:dispRSqr val="0"/>
            <c:dispEq val="0"/>
          </c:trendline>
          <c:xVal>
            <c:numRef>
              <c:f>Лист1!$E$253:$O$253</c:f>
              <c:numCache>
                <c:formatCode>0.0</c:formatCode>
                <c:ptCount val="11"/>
                <c:pt idx="0">
                  <c:v>3803.5</c:v>
                </c:pt>
                <c:pt idx="1">
                  <c:v>3704.7</c:v>
                </c:pt>
                <c:pt idx="2">
                  <c:v>3474.4</c:v>
                </c:pt>
                <c:pt idx="3">
                  <c:v>3247</c:v>
                </c:pt>
                <c:pt idx="4">
                  <c:v>3186.5</c:v>
                </c:pt>
                <c:pt idx="5">
                  <c:v>3087.2</c:v>
                </c:pt>
                <c:pt idx="6">
                  <c:v>2955.6</c:v>
                </c:pt>
                <c:pt idx="7">
                  <c:v>2738.9</c:v>
                </c:pt>
                <c:pt idx="8">
                  <c:v>2510.9</c:v>
                </c:pt>
                <c:pt idx="9">
                  <c:v>2434</c:v>
                </c:pt>
                <c:pt idx="10">
                  <c:v>2127.9</c:v>
                </c:pt>
              </c:numCache>
            </c:numRef>
          </c:xVal>
          <c:yVal>
            <c:numRef>
              <c:f>Лист1!$E$254:$O$254</c:f>
              <c:numCache>
                <c:formatCode>0.000</c:formatCode>
                <c:ptCount val="11"/>
                <c:pt idx="0">
                  <c:v>0.21299999999999999</c:v>
                </c:pt>
                <c:pt idx="1">
                  <c:v>0.20899999999999999</c:v>
                </c:pt>
                <c:pt idx="2">
                  <c:v>0.19700000000000001</c:v>
                </c:pt>
                <c:pt idx="3">
                  <c:v>0.17499999999999999</c:v>
                </c:pt>
                <c:pt idx="4">
                  <c:v>0.17199999999999999</c:v>
                </c:pt>
                <c:pt idx="5">
                  <c:v>0.16700000000000001</c:v>
                </c:pt>
                <c:pt idx="6">
                  <c:v>0.158</c:v>
                </c:pt>
                <c:pt idx="7">
                  <c:v>0.14499999999999999</c:v>
                </c:pt>
                <c:pt idx="8">
                  <c:v>0.13100000000000001</c:v>
                </c:pt>
                <c:pt idx="9">
                  <c:v>0.127</c:v>
                </c:pt>
                <c:pt idx="10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75-484A-9894-BA32FFA5F4B7}"/>
            </c:ext>
          </c:extLst>
        </c:ser>
        <c:ser>
          <c:idx val="1"/>
          <c:order val="1"/>
          <c:spPr>
            <a:ln w="25200">
              <a:solidFill>
                <a:srgbClr val="993366"/>
              </a:solidFill>
              <a:round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Лист1!$E$78</c:f>
              <c:numCache>
                <c:formatCode>0.0</c:formatCode>
                <c:ptCount val="1"/>
                <c:pt idx="0">
                  <c:v>4235.2354154829063</c:v>
                </c:pt>
              </c:numCache>
            </c:numRef>
          </c:xVal>
          <c:yVal>
            <c:numRef>
              <c:f>Лист1!$E$89</c:f>
              <c:numCache>
                <c:formatCode>0.000</c:formatCode>
                <c:ptCount val="1"/>
                <c:pt idx="0">
                  <c:v>-5.723370429252779E-2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75-484A-9894-BA32FFA5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4634"/>
        <c:axId val="36110162"/>
      </c:scatterChart>
      <c:valAx>
        <c:axId val="57794634"/>
        <c:scaling>
          <c:orientation val="minMax"/>
          <c:max val="4500"/>
          <c:min val="20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numFmt formatCode="0.0" sourceLinked="1"/>
        <c:majorTickMark val="out"/>
        <c:minorTickMark val="none"/>
        <c:tickLblPos val="none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36110162"/>
        <c:crossesAt val="0"/>
        <c:crossBetween val="midCat"/>
        <c:majorUnit val="500"/>
      </c:valAx>
      <c:valAx>
        <c:axId val="36110162"/>
        <c:scaling>
          <c:orientation val="minMax"/>
          <c:max val="0.4"/>
          <c:min val="0.1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ψ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57794634"/>
        <c:crossesAt val="0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8.2310305775764397E-2"/>
          <c:y val="2.9918118832668501E-2"/>
          <c:w val="0.85916194790486999"/>
          <c:h val="0.911295402057527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Эталон</c:nam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xVal>
            <c:numRef>
              <c:f>Лист1!$E$253:$O$253</c:f>
              <c:numCache>
                <c:formatCode>0.0</c:formatCode>
                <c:ptCount val="11"/>
                <c:pt idx="0">
                  <c:v>3803.5</c:v>
                </c:pt>
                <c:pt idx="1">
                  <c:v>3704.7</c:v>
                </c:pt>
                <c:pt idx="2">
                  <c:v>3474.4</c:v>
                </c:pt>
                <c:pt idx="3">
                  <c:v>3247</c:v>
                </c:pt>
                <c:pt idx="4">
                  <c:v>3186.5</c:v>
                </c:pt>
                <c:pt idx="5">
                  <c:v>3087.2</c:v>
                </c:pt>
                <c:pt idx="6">
                  <c:v>2955.6</c:v>
                </c:pt>
                <c:pt idx="7">
                  <c:v>2738.9</c:v>
                </c:pt>
                <c:pt idx="8">
                  <c:v>2510.9</c:v>
                </c:pt>
                <c:pt idx="9">
                  <c:v>2434</c:v>
                </c:pt>
                <c:pt idx="10">
                  <c:v>2127.9</c:v>
                </c:pt>
              </c:numCache>
            </c:numRef>
          </c:xVal>
          <c:yVal>
            <c:numRef>
              <c:f>Лист1!$E$255:$O$255</c:f>
              <c:numCache>
                <c:formatCode>0.00</c:formatCode>
                <c:ptCount val="11"/>
                <c:pt idx="0">
                  <c:v>22.379000000000001</c:v>
                </c:pt>
                <c:pt idx="1">
                  <c:v>20.166</c:v>
                </c:pt>
                <c:pt idx="2">
                  <c:v>18.065000000000001</c:v>
                </c:pt>
                <c:pt idx="3">
                  <c:v>17.231999999999999</c:v>
                </c:pt>
                <c:pt idx="4">
                  <c:v>14.734999999999999</c:v>
                </c:pt>
                <c:pt idx="5">
                  <c:v>15.16</c:v>
                </c:pt>
                <c:pt idx="6">
                  <c:v>15.574999999999999</c:v>
                </c:pt>
                <c:pt idx="7">
                  <c:v>12.884</c:v>
                </c:pt>
                <c:pt idx="8">
                  <c:v>9.9689999999999994</c:v>
                </c:pt>
                <c:pt idx="9">
                  <c:v>10.047000000000001</c:v>
                </c:pt>
                <c:pt idx="10">
                  <c:v>10.191000000000001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8-491B-9747-38595C0B9CC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Лист1!$E$78</c:f>
              <c:numCache>
                <c:formatCode>0.0</c:formatCode>
                <c:ptCount val="1"/>
                <c:pt idx="0">
                  <c:v>4235.2354154829063</c:v>
                </c:pt>
              </c:numCache>
            </c:numRef>
          </c:xVal>
          <c:yVal>
            <c:numRef>
              <c:f>Лист1!$E$92</c:f>
              <c:numCache>
                <c:formatCode>0.00</c:formatCode>
                <c:ptCount val="1"/>
                <c:pt idx="0">
                  <c:v>21.193909225447207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C8-491B-9747-38595C0B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0439"/>
        <c:axId val="50392879"/>
      </c:scatterChart>
      <c:valAx>
        <c:axId val="26760439"/>
        <c:scaling>
          <c:orientation val="minMax"/>
          <c:max val="4500"/>
          <c:min val="20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Arial"/>
                  </a:rPr>
                  <a:t>G, 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кг/мин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low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50392879"/>
        <c:crossesAt val="0"/>
        <c:crossBetween val="midCat"/>
        <c:majorUnit val="500"/>
      </c:valAx>
      <c:valAx>
        <c:axId val="50392879"/>
        <c:scaling>
          <c:orientation val="minMax"/>
          <c:max val="34.99"/>
          <c:min val="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ρ</a:t>
                </a:r>
                <a:r>
                  <a:rPr lang="en-US" sz="1200" b="1" strike="noStrike" spc="-1">
                    <a:solidFill>
                      <a:srgbClr val="000000"/>
                    </a:solidFill>
                    <a:latin typeface="Arial"/>
                  </a:rPr>
                  <a:t>m·</a:t>
                </a: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δ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Р,
кПа·кг/м3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26760439"/>
        <c:crossesAt val="0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296217440543601"/>
          <c:y val="0.925152214990552"/>
          <c:w val="0.35474518686296702"/>
          <c:h val="6.6659668276296505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0.116396118617938"/>
          <c:y val="1.6626779191333901E-2"/>
          <c:w val="0.79123968441099102"/>
          <c:h val="0.972540622244615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4"/>
            <c:dispRSqr val="0"/>
            <c:dispEq val="0"/>
          </c:trendline>
          <c:xVal>
            <c:numRef>
              <c:f>Лист1!$E$144:$S$144</c:f>
              <c:numCache>
                <c:formatCode>0.0</c:formatCode>
                <c:ptCount val="15"/>
                <c:pt idx="0">
                  <c:v>2057.9</c:v>
                </c:pt>
                <c:pt idx="1">
                  <c:v>2144.5428666666667</c:v>
                </c:pt>
                <c:pt idx="2">
                  <c:v>2231.2912666666671</c:v>
                </c:pt>
                <c:pt idx="3">
                  <c:v>2317.9341333333336</c:v>
                </c:pt>
                <c:pt idx="4">
                  <c:v>2404.6825333333331</c:v>
                </c:pt>
                <c:pt idx="5">
                  <c:v>2491.3253999999997</c:v>
                </c:pt>
                <c:pt idx="6">
                  <c:v>2578.0738000000001</c:v>
                </c:pt>
                <c:pt idx="7">
                  <c:v>2664.7166666666667</c:v>
                </c:pt>
                <c:pt idx="8">
                  <c:v>2751.3595333333333</c:v>
                </c:pt>
                <c:pt idx="9">
                  <c:v>2838.1079333333337</c:v>
                </c:pt>
                <c:pt idx="10">
                  <c:v>2924.7508000000003</c:v>
                </c:pt>
                <c:pt idx="11">
                  <c:v>3011.4991999999997</c:v>
                </c:pt>
                <c:pt idx="12">
                  <c:v>3098.1420666666663</c:v>
                </c:pt>
                <c:pt idx="13">
                  <c:v>3184.8904666666667</c:v>
                </c:pt>
                <c:pt idx="14">
                  <c:v>3271.5333333333333</c:v>
                </c:pt>
              </c:numCache>
            </c:numRef>
          </c:xVal>
          <c:yVal>
            <c:numRef>
              <c:f>Лист1!$E$148:$S$148</c:f>
              <c:numCache>
                <c:formatCode>0.000</c:formatCode>
                <c:ptCount val="15"/>
                <c:pt idx="0">
                  <c:v>0.81759999999999999</c:v>
                </c:pt>
                <c:pt idx="1">
                  <c:v>0.8236</c:v>
                </c:pt>
                <c:pt idx="2">
                  <c:v>0.82740000000000002</c:v>
                </c:pt>
                <c:pt idx="3">
                  <c:v>0.83079999999999998</c:v>
                </c:pt>
                <c:pt idx="4">
                  <c:v>0.83450000000000002</c:v>
                </c:pt>
                <c:pt idx="5">
                  <c:v>0.83809999999999996</c:v>
                </c:pt>
                <c:pt idx="6">
                  <c:v>0.84130000000000005</c:v>
                </c:pt>
                <c:pt idx="7">
                  <c:v>0.84340000000000004</c:v>
                </c:pt>
                <c:pt idx="8">
                  <c:v>0.84430000000000005</c:v>
                </c:pt>
                <c:pt idx="9">
                  <c:v>0.84379999999999999</c:v>
                </c:pt>
                <c:pt idx="10">
                  <c:v>0.84199999999999997</c:v>
                </c:pt>
                <c:pt idx="11">
                  <c:v>0.83930000000000005</c:v>
                </c:pt>
                <c:pt idx="12">
                  <c:v>0.8357</c:v>
                </c:pt>
                <c:pt idx="13">
                  <c:v>0.83040000000000003</c:v>
                </c:pt>
                <c:pt idx="14">
                  <c:v>0.82169999999999999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9E-4719-8618-977325DC020A}"/>
            </c:ext>
          </c:extLst>
        </c:ser>
        <c:ser>
          <c:idx val="1"/>
          <c:order val="1"/>
          <c:spPr>
            <a:ln w="25200">
              <a:solidFill>
                <a:srgbClr val="993366"/>
              </a:solidFill>
              <a:round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Лист1!$E$51</c:f>
              <c:numCache>
                <c:formatCode>0.0</c:formatCode>
                <c:ptCount val="1"/>
                <c:pt idx="0">
                  <c:v>3356.9673790537481</c:v>
                </c:pt>
              </c:numCache>
            </c:numRef>
          </c:xVal>
          <c:yVal>
            <c:numRef>
              <c:f>Лист1!$E$49</c:f>
              <c:numCache>
                <c:formatCode>0.000</c:formatCode>
                <c:ptCount val="1"/>
                <c:pt idx="0">
                  <c:v>0.72427280442523356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9E-4719-8618-977325DC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4808"/>
        <c:axId val="78826093"/>
      </c:scatterChart>
      <c:valAx>
        <c:axId val="24054808"/>
        <c:scaling>
          <c:orientation val="minMax"/>
          <c:max val="3500"/>
          <c:min val="20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numFmt formatCode="0.0" sourceLinked="1"/>
        <c:majorTickMark val="out"/>
        <c:minorTickMark val="none"/>
        <c:tickLblPos val="none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78826093"/>
        <c:crossesAt val="0"/>
        <c:crossBetween val="midCat"/>
        <c:majorUnit val="500"/>
      </c:valAx>
      <c:valAx>
        <c:axId val="78826093"/>
        <c:scaling>
          <c:orientation val="minMax"/>
          <c:max val="0.9"/>
          <c:min val="0.7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η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24054808"/>
        <c:crossesAt val="0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7.9078625192708807E-2"/>
          <c:y val="2.9918118832668501E-2"/>
          <c:w val="0.86260995737734603"/>
          <c:h val="0.911295402057527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Эталон</c:nam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4"/>
            <c:dispRSqr val="0"/>
            <c:dispEq val="0"/>
          </c:trendline>
          <c:xVal>
            <c:numRef>
              <c:f>Лист1!$E$144:$S$144</c:f>
              <c:numCache>
                <c:formatCode>0.0</c:formatCode>
                <c:ptCount val="15"/>
                <c:pt idx="0">
                  <c:v>2057.9</c:v>
                </c:pt>
                <c:pt idx="1">
                  <c:v>2144.5428666666667</c:v>
                </c:pt>
                <c:pt idx="2">
                  <c:v>2231.2912666666671</c:v>
                </c:pt>
                <c:pt idx="3">
                  <c:v>2317.9341333333336</c:v>
                </c:pt>
                <c:pt idx="4">
                  <c:v>2404.6825333333331</c:v>
                </c:pt>
                <c:pt idx="5">
                  <c:v>2491.3253999999997</c:v>
                </c:pt>
                <c:pt idx="6">
                  <c:v>2578.0738000000001</c:v>
                </c:pt>
                <c:pt idx="7">
                  <c:v>2664.7166666666667</c:v>
                </c:pt>
                <c:pt idx="8">
                  <c:v>2751.3595333333333</c:v>
                </c:pt>
                <c:pt idx="9">
                  <c:v>2838.1079333333337</c:v>
                </c:pt>
                <c:pt idx="10">
                  <c:v>2924.7508000000003</c:v>
                </c:pt>
                <c:pt idx="11">
                  <c:v>3011.4991999999997</c:v>
                </c:pt>
                <c:pt idx="12">
                  <c:v>3098.1420666666663</c:v>
                </c:pt>
                <c:pt idx="13">
                  <c:v>3184.8904666666667</c:v>
                </c:pt>
                <c:pt idx="14">
                  <c:v>3271.5333333333333</c:v>
                </c:pt>
              </c:numCache>
            </c:numRef>
          </c:xVal>
          <c:yVal>
            <c:numRef>
              <c:f>Лист1!$E$149:$S$149</c:f>
              <c:numCache>
                <c:formatCode>0.000</c:formatCode>
                <c:ptCount val="15"/>
                <c:pt idx="0">
                  <c:v>2.5613308121067537</c:v>
                </c:pt>
                <c:pt idx="1">
                  <c:v>2.5616455012895432</c:v>
                </c:pt>
                <c:pt idx="2">
                  <c:v>2.5531013603427026</c:v>
                </c:pt>
                <c:pt idx="3">
                  <c:v>2.543210776600235</c:v>
                </c:pt>
                <c:pt idx="4">
                  <c:v>2.5361889591912954</c:v>
                </c:pt>
                <c:pt idx="5">
                  <c:v>2.5265050283714765</c:v>
                </c:pt>
                <c:pt idx="6">
                  <c:v>2.517741186657974</c:v>
                </c:pt>
                <c:pt idx="7">
                  <c:v>2.503618073112678</c:v>
                </c:pt>
                <c:pt idx="8">
                  <c:v>2.4862022018082306</c:v>
                </c:pt>
                <c:pt idx="9">
                  <c:v>2.467307922206567</c:v>
                </c:pt>
                <c:pt idx="10">
                  <c:v>2.4429889300924774</c:v>
                </c:pt>
                <c:pt idx="11">
                  <c:v>2.4187970707367765</c:v>
                </c:pt>
                <c:pt idx="12">
                  <c:v>2.3905462631795564</c:v>
                </c:pt>
                <c:pt idx="13">
                  <c:v>2.3606713940905975</c:v>
                </c:pt>
                <c:pt idx="14">
                  <c:v>2.3211901890221185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D5-498E-9940-B05349E74E5B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Лист1!$E$51</c:f>
              <c:numCache>
                <c:formatCode>0.0</c:formatCode>
                <c:ptCount val="1"/>
                <c:pt idx="0">
                  <c:v>3356.9673790537481</c:v>
                </c:pt>
              </c:numCache>
            </c:numRef>
          </c:xVal>
          <c:yVal>
            <c:numRef>
              <c:f>Лист1!$E$46</c:f>
              <c:numCache>
                <c:formatCode>0.000</c:formatCode>
                <c:ptCount val="1"/>
                <c:pt idx="0">
                  <c:v>2.3400100654252642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D5-498E-9940-B05349E74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6377"/>
        <c:axId val="18767682"/>
      </c:scatterChart>
      <c:valAx>
        <c:axId val="42946377"/>
        <c:scaling>
          <c:orientation val="minMax"/>
          <c:max val="3500"/>
          <c:min val="20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Arial"/>
                  </a:rPr>
                  <a:t>Q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н, м3/мин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low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18767682"/>
        <c:crossesAt val="0"/>
        <c:crossBetween val="midCat"/>
        <c:majorUnit val="500"/>
      </c:valAx>
      <c:valAx>
        <c:axId val="18767682"/>
        <c:scaling>
          <c:orientation val="minMax"/>
          <c:max val="2.9"/>
          <c:min val="2.4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ε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42946377"/>
        <c:crossesAt val="0"/>
        <c:crossBetween val="midCat"/>
        <c:majorUnit val="0.1"/>
        <c:minorUnit val="2.5000000000000001E-2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296952933708171"/>
          <c:y val="0.925152214990552"/>
          <c:w val="0.35349596445089299"/>
          <c:h val="6.6659668276296505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40" b="1" strike="noStrike" spc="-1">
                <a:solidFill>
                  <a:srgbClr val="000000"/>
                </a:solidFill>
                <a:latin typeface="Arial"/>
              </a:defRPr>
            </a:pPr>
            <a:r>
              <a:rPr lang="ru-RU" sz="1440" b="1" strike="noStrike" spc="-1">
                <a:solidFill>
                  <a:srgbClr val="000000"/>
                </a:solidFill>
                <a:latin typeface="Arial"/>
              </a:rPr>
              <a:t>Вторая секция</a:t>
            </a:r>
          </a:p>
        </c:rich>
      </c:tx>
      <c:layout>
        <c:manualLayout>
          <c:xMode val="edge"/>
          <c:yMode val="edge"/>
          <c:x val="0.41272971385415802"/>
          <c:y val="2.6581002771479002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187043719056801"/>
          <c:y val="3.5273368606701903E-2"/>
          <c:w val="0.77515314256943901"/>
          <c:h val="0.9644746787603929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xVal>
            <c:numRef>
              <c:f>Лист1!$E$151:$S$151</c:f>
              <c:numCache>
                <c:formatCode>0.0</c:formatCode>
                <c:ptCount val="15"/>
                <c:pt idx="0">
                  <c:v>844.26666666666665</c:v>
                </c:pt>
                <c:pt idx="1">
                  <c:v>923.41666666666663</c:v>
                </c:pt>
                <c:pt idx="2">
                  <c:v>1002.5666666666667</c:v>
                </c:pt>
                <c:pt idx="3">
                  <c:v>1081.7166666666667</c:v>
                </c:pt>
                <c:pt idx="4">
                  <c:v>1160.8666666666666</c:v>
                </c:pt>
                <c:pt idx="5">
                  <c:v>1240.0166666666667</c:v>
                </c:pt>
                <c:pt idx="6">
                  <c:v>1319.1666666666667</c:v>
                </c:pt>
                <c:pt idx="7">
                  <c:v>1398.3166666666666</c:v>
                </c:pt>
                <c:pt idx="8">
                  <c:v>1477.4666666666667</c:v>
                </c:pt>
                <c:pt idx="9">
                  <c:v>1556.6166666666666</c:v>
                </c:pt>
                <c:pt idx="10">
                  <c:v>1635.7666666666667</c:v>
                </c:pt>
                <c:pt idx="11">
                  <c:v>1714.9166666666667</c:v>
                </c:pt>
                <c:pt idx="12">
                  <c:v>1794.0666666666666</c:v>
                </c:pt>
                <c:pt idx="13">
                  <c:v>1873.2166666666667</c:v>
                </c:pt>
                <c:pt idx="14">
                  <c:v>1952.3666666666666</c:v>
                </c:pt>
              </c:numCache>
            </c:numRef>
          </c:xVal>
          <c:yVal>
            <c:numRef>
              <c:f>Лист1!$E$152:$S$152</c:f>
              <c:numCache>
                <c:formatCode>0.0</c:formatCode>
                <c:ptCount val="15"/>
                <c:pt idx="0">
                  <c:v>76.847262666666651</c:v>
                </c:pt>
                <c:pt idx="1">
                  <c:v>75.622161377777772</c:v>
                </c:pt>
                <c:pt idx="2">
                  <c:v>74.397060088888864</c:v>
                </c:pt>
                <c:pt idx="3">
                  <c:v>73.171958799999985</c:v>
                </c:pt>
                <c:pt idx="4">
                  <c:v>71.946857511111091</c:v>
                </c:pt>
                <c:pt idx="5">
                  <c:v>70.721756222222211</c:v>
                </c:pt>
                <c:pt idx="6">
                  <c:v>69.608027777777764</c:v>
                </c:pt>
                <c:pt idx="7">
                  <c:v>68.38292648888887</c:v>
                </c:pt>
                <c:pt idx="8">
                  <c:v>67.157825199999976</c:v>
                </c:pt>
                <c:pt idx="9">
                  <c:v>65.932723911111097</c:v>
                </c:pt>
                <c:pt idx="10">
                  <c:v>64.707622622222203</c:v>
                </c:pt>
                <c:pt idx="11">
                  <c:v>63.482521333333317</c:v>
                </c:pt>
                <c:pt idx="12">
                  <c:v>62.25742004444443</c:v>
                </c:pt>
                <c:pt idx="13">
                  <c:v>61.032318755555536</c:v>
                </c:pt>
                <c:pt idx="14">
                  <c:v>59.807217466666657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96-4852-B0F2-CD49627300B4}"/>
            </c:ext>
          </c:extLst>
        </c:ser>
        <c:ser>
          <c:idx val="1"/>
          <c:order val="1"/>
          <c:spPr>
            <a:ln w="25200">
              <a:solidFill>
                <a:srgbClr val="993366"/>
              </a:solidFill>
              <a:round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Лист1!$E$62</c:f>
              <c:numCache>
                <c:formatCode>0.0</c:formatCode>
                <c:ptCount val="1"/>
                <c:pt idx="0">
                  <c:v>1635.0590794469426</c:v>
                </c:pt>
              </c:numCache>
            </c:numRef>
          </c:xVal>
          <c:yVal>
            <c:numRef>
              <c:f>Лист1!$E$56</c:f>
              <c:numCache>
                <c:formatCode>0.0</c:formatCode>
                <c:ptCount val="1"/>
                <c:pt idx="0">
                  <c:v>69.900000000000034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96-4852-B0F2-CD4962730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3540"/>
        <c:axId val="33958593"/>
      </c:scatterChart>
      <c:valAx>
        <c:axId val="17493540"/>
        <c:scaling>
          <c:orientation val="minMax"/>
          <c:max val="2500"/>
          <c:min val="5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numFmt formatCode="0.0" sourceLinked="1"/>
        <c:majorTickMark val="out"/>
        <c:minorTickMark val="none"/>
        <c:tickLblPos val="none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33958593"/>
        <c:crossesAt val="0"/>
        <c:crossBetween val="midCat"/>
        <c:majorUnit val="500"/>
      </c:valAx>
      <c:valAx>
        <c:axId val="33958593"/>
        <c:scaling>
          <c:orientation val="minMax"/>
          <c:max val="90"/>
          <c:min val="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Δ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Т, К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17493540"/>
        <c:crossesAt val="0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0.121255349500713"/>
          <c:y val="1.6626779191333901E-2"/>
          <c:w val="0.78606192833766897"/>
          <c:h val="0.972792543141454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4"/>
            <c:dispRSqr val="0"/>
            <c:dispEq val="0"/>
          </c:trendline>
          <c:xVal>
            <c:numRef>
              <c:f>Лист1!$E$151:$S$151</c:f>
              <c:numCache>
                <c:formatCode>0.0</c:formatCode>
                <c:ptCount val="15"/>
                <c:pt idx="0">
                  <c:v>844.26666666666665</c:v>
                </c:pt>
                <c:pt idx="1">
                  <c:v>923.41666666666663</c:v>
                </c:pt>
                <c:pt idx="2">
                  <c:v>1002.5666666666667</c:v>
                </c:pt>
                <c:pt idx="3">
                  <c:v>1081.7166666666667</c:v>
                </c:pt>
                <c:pt idx="4">
                  <c:v>1160.8666666666666</c:v>
                </c:pt>
                <c:pt idx="5">
                  <c:v>1240.0166666666667</c:v>
                </c:pt>
                <c:pt idx="6">
                  <c:v>1319.1666666666667</c:v>
                </c:pt>
                <c:pt idx="7">
                  <c:v>1398.3166666666666</c:v>
                </c:pt>
                <c:pt idx="8">
                  <c:v>1477.4666666666667</c:v>
                </c:pt>
                <c:pt idx="9">
                  <c:v>1556.6166666666666</c:v>
                </c:pt>
                <c:pt idx="10">
                  <c:v>1635.7666666666667</c:v>
                </c:pt>
                <c:pt idx="11">
                  <c:v>1714.9166666666667</c:v>
                </c:pt>
                <c:pt idx="12">
                  <c:v>1794.0666666666666</c:v>
                </c:pt>
                <c:pt idx="13">
                  <c:v>1873.2166666666667</c:v>
                </c:pt>
                <c:pt idx="14">
                  <c:v>1952.3666666666666</c:v>
                </c:pt>
              </c:numCache>
            </c:numRef>
          </c:xVal>
          <c:yVal>
            <c:numRef>
              <c:f>Лист1!$E$153:$S$153</c:f>
              <c:numCache>
                <c:formatCode>0.000</c:formatCode>
                <c:ptCount val="15"/>
                <c:pt idx="0">
                  <c:v>0.7752</c:v>
                </c:pt>
                <c:pt idx="1">
                  <c:v>0.78849999999999998</c:v>
                </c:pt>
                <c:pt idx="2">
                  <c:v>0.80100000000000005</c:v>
                </c:pt>
                <c:pt idx="3">
                  <c:v>0.81210000000000004</c:v>
                </c:pt>
                <c:pt idx="4">
                  <c:v>0.82169999999999999</c:v>
                </c:pt>
                <c:pt idx="5">
                  <c:v>0.82909999999999995</c:v>
                </c:pt>
                <c:pt idx="6">
                  <c:v>0.83420000000000005</c:v>
                </c:pt>
                <c:pt idx="7">
                  <c:v>0.83630000000000004</c:v>
                </c:pt>
                <c:pt idx="8">
                  <c:v>0.83489999999999998</c:v>
                </c:pt>
                <c:pt idx="9">
                  <c:v>0.82930000000000004</c:v>
                </c:pt>
                <c:pt idx="10">
                  <c:v>0.81820000000000004</c:v>
                </c:pt>
                <c:pt idx="11">
                  <c:v>0.79990000000000006</c:v>
                </c:pt>
                <c:pt idx="12">
                  <c:v>0.77210000000000001</c:v>
                </c:pt>
                <c:pt idx="13">
                  <c:v>0.73129999999999995</c:v>
                </c:pt>
                <c:pt idx="14">
                  <c:v>0.67330000000000001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C-4F57-9534-94B1ED202496}"/>
            </c:ext>
          </c:extLst>
        </c:ser>
        <c:ser>
          <c:idx val="1"/>
          <c:order val="1"/>
          <c:spPr>
            <a:ln w="25200">
              <a:solidFill>
                <a:srgbClr val="993366"/>
              </a:solidFill>
              <a:round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Лист1!$E$62</c:f>
              <c:numCache>
                <c:formatCode>0.0</c:formatCode>
                <c:ptCount val="1"/>
                <c:pt idx="0">
                  <c:v>1635.0590794469426</c:v>
                </c:pt>
              </c:numCache>
            </c:numRef>
          </c:xVal>
          <c:yVal>
            <c:numRef>
              <c:f>Лист1!$E$60</c:f>
              <c:numCache>
                <c:formatCode>0.000</c:formatCode>
                <c:ptCount val="1"/>
                <c:pt idx="0">
                  <c:v>0.81224462498157168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C-4F57-9534-94B1ED20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5133"/>
        <c:axId val="85122240"/>
      </c:scatterChart>
      <c:valAx>
        <c:axId val="40455133"/>
        <c:scaling>
          <c:orientation val="minMax"/>
          <c:max val="2500"/>
          <c:min val="5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numFmt formatCode="0.0" sourceLinked="1"/>
        <c:majorTickMark val="out"/>
        <c:minorTickMark val="none"/>
        <c:tickLblPos val="none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85122240"/>
        <c:crossesAt val="0"/>
        <c:crossBetween val="midCat"/>
        <c:majorUnit val="500"/>
      </c:valAx>
      <c:valAx>
        <c:axId val="85122240"/>
        <c:scaling>
          <c:orientation val="minMax"/>
          <c:max val="0.9"/>
          <c:min val="0.6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η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40455133"/>
        <c:crossesAt val="0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8.6389191910715799E-2"/>
          <c:y val="2.9918118832668501E-2"/>
          <c:w val="0.85256356465553396"/>
          <c:h val="0.911295402057527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Эталон</c:nam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4"/>
            <c:dispRSqr val="0"/>
            <c:dispEq val="0"/>
          </c:trendline>
          <c:xVal>
            <c:numRef>
              <c:f>Лист1!$E$151:$S$151</c:f>
              <c:numCache>
                <c:formatCode>0.0</c:formatCode>
                <c:ptCount val="15"/>
                <c:pt idx="0">
                  <c:v>844.26666666666665</c:v>
                </c:pt>
                <c:pt idx="1">
                  <c:v>923.41666666666663</c:v>
                </c:pt>
                <c:pt idx="2">
                  <c:v>1002.5666666666667</c:v>
                </c:pt>
                <c:pt idx="3">
                  <c:v>1081.7166666666667</c:v>
                </c:pt>
                <c:pt idx="4">
                  <c:v>1160.8666666666666</c:v>
                </c:pt>
                <c:pt idx="5">
                  <c:v>1240.0166666666667</c:v>
                </c:pt>
                <c:pt idx="6">
                  <c:v>1319.1666666666667</c:v>
                </c:pt>
                <c:pt idx="7">
                  <c:v>1398.3166666666666</c:v>
                </c:pt>
                <c:pt idx="8">
                  <c:v>1477.4666666666667</c:v>
                </c:pt>
                <c:pt idx="9">
                  <c:v>1556.6166666666666</c:v>
                </c:pt>
                <c:pt idx="10">
                  <c:v>1635.7666666666667</c:v>
                </c:pt>
                <c:pt idx="11">
                  <c:v>1714.9166666666667</c:v>
                </c:pt>
                <c:pt idx="12">
                  <c:v>1794.0666666666666</c:v>
                </c:pt>
                <c:pt idx="13">
                  <c:v>1873.2166666666667</c:v>
                </c:pt>
                <c:pt idx="14">
                  <c:v>1952.3666666666666</c:v>
                </c:pt>
              </c:numCache>
            </c:numRef>
          </c:xVal>
          <c:yVal>
            <c:numRef>
              <c:f>Лист1!$E$154:$S$154</c:f>
              <c:numCache>
                <c:formatCode>0.000</c:formatCode>
                <c:ptCount val="15"/>
                <c:pt idx="0">
                  <c:v>1.9597794585284067</c:v>
                </c:pt>
                <c:pt idx="1">
                  <c:v>1.9634358343656251</c:v>
                </c:pt>
                <c:pt idx="2">
                  <c:v>1.9650624266057508</c:v>
                </c:pt>
                <c:pt idx="3">
                  <c:v>1.9637292563989097</c:v>
                </c:pt>
                <c:pt idx="4">
                  <c:v>1.9593803554501503</c:v>
                </c:pt>
                <c:pt idx="5">
                  <c:v>1.9510405083109024</c:v>
                </c:pt>
                <c:pt idx="6">
                  <c:v>1.9406048215621017</c:v>
                </c:pt>
                <c:pt idx="7">
                  <c:v>1.9235739943304617</c:v>
                </c:pt>
                <c:pt idx="8">
                  <c:v>1.9013913490015064</c:v>
                </c:pt>
                <c:pt idx="9">
                  <c:v>1.8734933231385806</c:v>
                </c:pt>
                <c:pt idx="10">
                  <c:v>1.8386533643591896</c:v>
                </c:pt>
                <c:pt idx="11">
                  <c:v>1.7954190500397176</c:v>
                </c:pt>
                <c:pt idx="12">
                  <c:v>1.7420165510153254</c:v>
                </c:pt>
                <c:pt idx="13">
                  <c:v>1.6758900773391181</c:v>
                </c:pt>
                <c:pt idx="14">
                  <c:v>1.5947790709290688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FC-4966-AE12-C4C7D5B3D367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Лист1!$E$62</c:f>
              <c:numCache>
                <c:formatCode>0.0</c:formatCode>
                <c:ptCount val="1"/>
                <c:pt idx="0">
                  <c:v>1635.0590794469426</c:v>
                </c:pt>
              </c:numCache>
            </c:numRef>
          </c:xVal>
          <c:yVal>
            <c:numRef>
              <c:f>Лист1!$E$57</c:f>
              <c:numCache>
                <c:formatCode>0.000</c:formatCode>
                <c:ptCount val="1"/>
                <c:pt idx="0">
                  <c:v>1.8169203222918533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FC-4966-AE12-C4C7D5B3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2918"/>
        <c:axId val="2342978"/>
      </c:scatterChart>
      <c:valAx>
        <c:axId val="39142918"/>
        <c:scaling>
          <c:orientation val="minMax"/>
          <c:max val="2500"/>
          <c:min val="5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Arial"/>
                  </a:rPr>
                  <a:t>Q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н, м3/мин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low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2342978"/>
        <c:crossesAt val="0"/>
        <c:crossBetween val="midCat"/>
        <c:majorUnit val="500"/>
      </c:valAx>
      <c:valAx>
        <c:axId val="2342978"/>
        <c:scaling>
          <c:orientation val="minMax"/>
          <c:max val="2.2000000000000002"/>
          <c:min val="1.3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ε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39142918"/>
        <c:crossesAt val="0"/>
        <c:crossBetween val="midCat"/>
        <c:majorUnit val="0.1"/>
        <c:minorUnit val="2.5000000000000001E-2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29676092976420199"/>
          <c:y val="0.925152214990552"/>
          <c:w val="0.38184945875639797"/>
          <c:h val="6.6659668276296505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40" b="1" strike="noStrike" spc="-1">
                <a:solidFill>
                  <a:srgbClr val="000000"/>
                </a:solidFill>
                <a:latin typeface="Arial"/>
              </a:defRPr>
            </a:pPr>
            <a:r>
              <a:rPr lang="ru-RU" sz="1440" b="1" strike="noStrike" spc="-1">
                <a:solidFill>
                  <a:srgbClr val="000000"/>
                </a:solidFill>
                <a:latin typeface="Arial"/>
              </a:rPr>
              <a:t>Третья секция</a:t>
            </a:r>
          </a:p>
        </c:rich>
      </c:tx>
      <c:layout>
        <c:manualLayout>
          <c:xMode val="edge"/>
          <c:yMode val="edge"/>
          <c:x val="0.40447630865389"/>
          <c:y val="2.6581002771479002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029091410450799"/>
          <c:y val="9.5238095238095205E-2"/>
          <c:w val="0.77783905510363505"/>
          <c:h val="0.9046359284454520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xVal>
            <c:numRef>
              <c:f>Лист1!$E$156:$S$156</c:f>
              <c:numCache>
                <c:formatCode>0.0</c:formatCode>
                <c:ptCount val="15"/>
                <c:pt idx="0">
                  <c:v>527.66666666666663</c:v>
                </c:pt>
                <c:pt idx="1">
                  <c:v>569.14126666666664</c:v>
                </c:pt>
                <c:pt idx="2">
                  <c:v>610.61586666666665</c:v>
                </c:pt>
                <c:pt idx="3">
                  <c:v>652.09046666666666</c:v>
                </c:pt>
                <c:pt idx="4">
                  <c:v>693.45953333333341</c:v>
                </c:pt>
                <c:pt idx="5">
                  <c:v>734.93413333333331</c:v>
                </c:pt>
                <c:pt idx="6">
                  <c:v>776.40873333333343</c:v>
                </c:pt>
                <c:pt idx="7">
                  <c:v>817.88333333333333</c:v>
                </c:pt>
                <c:pt idx="8">
                  <c:v>859.35793333333322</c:v>
                </c:pt>
                <c:pt idx="9">
                  <c:v>900.83253333333334</c:v>
                </c:pt>
                <c:pt idx="10">
                  <c:v>942.30713333333335</c:v>
                </c:pt>
                <c:pt idx="11">
                  <c:v>983.67619999999999</c:v>
                </c:pt>
                <c:pt idx="12">
                  <c:v>1025.1507999999999</c:v>
                </c:pt>
                <c:pt idx="13">
                  <c:v>1066.6254000000001</c:v>
                </c:pt>
                <c:pt idx="14">
                  <c:v>1108.0999999999999</c:v>
                </c:pt>
              </c:numCache>
            </c:numRef>
          </c:xVal>
          <c:yVal>
            <c:numRef>
              <c:f>Лист1!$E$157:$S$157</c:f>
              <c:numCache>
                <c:formatCode>0.0</c:formatCode>
                <c:ptCount val="15"/>
                <c:pt idx="0">
                  <c:v>80.411193688888872</c:v>
                </c:pt>
                <c:pt idx="1">
                  <c:v>77.738245422222207</c:v>
                </c:pt>
                <c:pt idx="2">
                  <c:v>74.953924311111095</c:v>
                </c:pt>
                <c:pt idx="3">
                  <c:v>72.280976044444429</c:v>
                </c:pt>
                <c:pt idx="4">
                  <c:v>69.496654933333318</c:v>
                </c:pt>
                <c:pt idx="5">
                  <c:v>66.823706666666652</c:v>
                </c:pt>
                <c:pt idx="6">
                  <c:v>64.150758399999987</c:v>
                </c:pt>
                <c:pt idx="7">
                  <c:v>61.366437288888875</c:v>
                </c:pt>
                <c:pt idx="8">
                  <c:v>58.693489022222209</c:v>
                </c:pt>
                <c:pt idx="9">
                  <c:v>55.909167911111105</c:v>
                </c:pt>
                <c:pt idx="10">
                  <c:v>53.236219644444432</c:v>
                </c:pt>
                <c:pt idx="11">
                  <c:v>50.563271377777767</c:v>
                </c:pt>
                <c:pt idx="12">
                  <c:v>47.778950266666655</c:v>
                </c:pt>
                <c:pt idx="13">
                  <c:v>45.106001999999989</c:v>
                </c:pt>
                <c:pt idx="14">
                  <c:v>42.321680888888878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2-46A4-BDE1-49B78A8BE7D2}"/>
            </c:ext>
          </c:extLst>
        </c:ser>
        <c:ser>
          <c:idx val="1"/>
          <c:order val="1"/>
          <c:spPr>
            <a:ln w="25200">
              <a:solidFill>
                <a:srgbClr val="993366"/>
              </a:solidFill>
              <a:round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Лист1!$E$73</c:f>
              <c:numCache>
                <c:formatCode>0.0</c:formatCode>
                <c:ptCount val="1"/>
                <c:pt idx="0">
                  <c:v>921.5813520616997</c:v>
                </c:pt>
              </c:numCache>
            </c:numRef>
          </c:xVal>
          <c:yVal>
            <c:numRef>
              <c:f>Лист1!$E$67</c:f>
              <c:numCache>
                <c:formatCode>0.0</c:formatCode>
                <c:ptCount val="1"/>
                <c:pt idx="0">
                  <c:v>75.099999999999966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2-46A4-BDE1-49B78A8BE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9492"/>
        <c:axId val="11744604"/>
      </c:scatterChart>
      <c:valAx>
        <c:axId val="21829492"/>
        <c:scaling>
          <c:orientation val="minMax"/>
          <c:max val="1300"/>
          <c:min val="3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numFmt formatCode="0.0" sourceLinked="1"/>
        <c:majorTickMark val="out"/>
        <c:minorTickMark val="none"/>
        <c:tickLblPos val="none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11744604"/>
        <c:crossesAt val="0"/>
        <c:crossBetween val="midCat"/>
        <c:majorUnit val="200"/>
        <c:minorUnit val="100"/>
      </c:valAx>
      <c:valAx>
        <c:axId val="11744604"/>
        <c:scaling>
          <c:orientation val="minMax"/>
          <c:max val="100"/>
          <c:min val="45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Δ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Т, К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21829492"/>
        <c:crossesAt val="0"/>
        <c:crossBetween val="midCat"/>
        <c:majorUnit val="5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0.11944482742773101"/>
          <c:y val="2.3680564302808901E-2"/>
          <c:w val="0.78822556183648096"/>
          <c:h val="0.972540622244615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4"/>
            <c:dispRSqr val="0"/>
            <c:dispEq val="0"/>
          </c:trendline>
          <c:xVal>
            <c:numRef>
              <c:f>Лист1!$E$156:$S$156</c:f>
              <c:numCache>
                <c:formatCode>0.0</c:formatCode>
                <c:ptCount val="15"/>
                <c:pt idx="0">
                  <c:v>527.66666666666663</c:v>
                </c:pt>
                <c:pt idx="1">
                  <c:v>569.14126666666664</c:v>
                </c:pt>
                <c:pt idx="2">
                  <c:v>610.61586666666665</c:v>
                </c:pt>
                <c:pt idx="3">
                  <c:v>652.09046666666666</c:v>
                </c:pt>
                <c:pt idx="4">
                  <c:v>693.45953333333341</c:v>
                </c:pt>
                <c:pt idx="5">
                  <c:v>734.93413333333331</c:v>
                </c:pt>
                <c:pt idx="6">
                  <c:v>776.40873333333343</c:v>
                </c:pt>
                <c:pt idx="7">
                  <c:v>817.88333333333333</c:v>
                </c:pt>
                <c:pt idx="8">
                  <c:v>859.35793333333322</c:v>
                </c:pt>
                <c:pt idx="9">
                  <c:v>900.83253333333334</c:v>
                </c:pt>
                <c:pt idx="10">
                  <c:v>942.30713333333335</c:v>
                </c:pt>
                <c:pt idx="11">
                  <c:v>983.67619999999999</c:v>
                </c:pt>
                <c:pt idx="12">
                  <c:v>1025.1507999999999</c:v>
                </c:pt>
                <c:pt idx="13">
                  <c:v>1066.6254000000001</c:v>
                </c:pt>
                <c:pt idx="14">
                  <c:v>1108.0999999999999</c:v>
                </c:pt>
              </c:numCache>
            </c:numRef>
          </c:xVal>
          <c:yVal>
            <c:numRef>
              <c:f>Лист1!$E$158:$S$158</c:f>
              <c:numCache>
                <c:formatCode>0.000</c:formatCode>
                <c:ptCount val="15"/>
                <c:pt idx="0">
                  <c:v>0.72550000000000003</c:v>
                </c:pt>
                <c:pt idx="1">
                  <c:v>0.75970000000000004</c:v>
                </c:pt>
                <c:pt idx="2">
                  <c:v>0.78590000000000004</c:v>
                </c:pt>
                <c:pt idx="3">
                  <c:v>0.8075</c:v>
                </c:pt>
                <c:pt idx="4">
                  <c:v>0.82520000000000004</c:v>
                </c:pt>
                <c:pt idx="5">
                  <c:v>0.83860000000000001</c:v>
                </c:pt>
                <c:pt idx="6">
                  <c:v>0.8468</c:v>
                </c:pt>
                <c:pt idx="7">
                  <c:v>0.8488</c:v>
                </c:pt>
                <c:pt idx="8">
                  <c:v>0.84319999999999995</c:v>
                </c:pt>
                <c:pt idx="9">
                  <c:v>0.82830000000000004</c:v>
                </c:pt>
                <c:pt idx="10">
                  <c:v>0.80089999999999995</c:v>
                </c:pt>
                <c:pt idx="11">
                  <c:v>0.75560000000000005</c:v>
                </c:pt>
                <c:pt idx="12">
                  <c:v>0.68310000000000004</c:v>
                </c:pt>
                <c:pt idx="13">
                  <c:v>0.56830000000000003</c:v>
                </c:pt>
                <c:pt idx="14">
                  <c:v>0.38829999999999998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3-4F79-BAC4-CF2EADD847A7}"/>
            </c:ext>
          </c:extLst>
        </c:ser>
        <c:ser>
          <c:idx val="1"/>
          <c:order val="1"/>
          <c:spPr>
            <a:ln w="25200">
              <a:solidFill>
                <a:srgbClr val="993366"/>
              </a:solidFill>
              <a:round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Лист1!$E$73</c:f>
              <c:numCache>
                <c:formatCode>0.0</c:formatCode>
                <c:ptCount val="1"/>
                <c:pt idx="0">
                  <c:v>921.5813520616997</c:v>
                </c:pt>
              </c:numCache>
            </c:numRef>
          </c:xVal>
          <c:yVal>
            <c:numRef>
              <c:f>Лист1!$E$71</c:f>
              <c:numCache>
                <c:formatCode>0.000</c:formatCode>
                <c:ptCount val="1"/>
                <c:pt idx="0">
                  <c:v>0.77307533301430864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3-4F79-BAC4-CF2EADD8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5708"/>
        <c:axId val="54640865"/>
      </c:scatterChart>
      <c:valAx>
        <c:axId val="61175708"/>
        <c:scaling>
          <c:orientation val="minMax"/>
          <c:max val="1300"/>
          <c:min val="3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numFmt formatCode="0.0" sourceLinked="1"/>
        <c:majorTickMark val="out"/>
        <c:minorTickMark val="none"/>
        <c:tickLblPos val="none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54640865"/>
        <c:crossesAt val="0"/>
        <c:crossBetween val="midCat"/>
        <c:majorUnit val="200"/>
        <c:minorUnit val="100"/>
      </c:valAx>
      <c:valAx>
        <c:axId val="54640865"/>
        <c:scaling>
          <c:orientation val="minMax"/>
          <c:max val="0.9"/>
          <c:min val="0.1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η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61175708"/>
        <c:crossesAt val="0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>
        <c:manualLayout>
          <c:xMode val="edge"/>
          <c:yMode val="edge"/>
          <c:x val="8.1391608070223803E-2"/>
          <c:y val="2.9918118832668501E-2"/>
          <c:w val="0.86083919297761802"/>
          <c:h val="0.911295402057527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name>Эталон</c:name>
            <c:spPr>
              <a:ln w="25200">
                <a:solidFill>
                  <a:srgbClr val="000000"/>
                </a:solidFill>
                <a:round/>
              </a:ln>
            </c:spPr>
            <c:trendlineType val="poly"/>
            <c:order val="4"/>
            <c:dispRSqr val="0"/>
            <c:dispEq val="0"/>
          </c:trendline>
          <c:xVal>
            <c:numRef>
              <c:f>Лист1!$E$156:$S$156</c:f>
              <c:numCache>
                <c:formatCode>0.0</c:formatCode>
                <c:ptCount val="15"/>
                <c:pt idx="0">
                  <c:v>527.66666666666663</c:v>
                </c:pt>
                <c:pt idx="1">
                  <c:v>569.14126666666664</c:v>
                </c:pt>
                <c:pt idx="2">
                  <c:v>610.61586666666665</c:v>
                </c:pt>
                <c:pt idx="3">
                  <c:v>652.09046666666666</c:v>
                </c:pt>
                <c:pt idx="4">
                  <c:v>693.45953333333341</c:v>
                </c:pt>
                <c:pt idx="5">
                  <c:v>734.93413333333331</c:v>
                </c:pt>
                <c:pt idx="6">
                  <c:v>776.40873333333343</c:v>
                </c:pt>
                <c:pt idx="7">
                  <c:v>817.88333333333333</c:v>
                </c:pt>
                <c:pt idx="8">
                  <c:v>859.35793333333322</c:v>
                </c:pt>
                <c:pt idx="9">
                  <c:v>900.83253333333334</c:v>
                </c:pt>
                <c:pt idx="10">
                  <c:v>942.30713333333335</c:v>
                </c:pt>
                <c:pt idx="11">
                  <c:v>983.67619999999999</c:v>
                </c:pt>
                <c:pt idx="12">
                  <c:v>1025.1507999999999</c:v>
                </c:pt>
                <c:pt idx="13">
                  <c:v>1066.6254000000001</c:v>
                </c:pt>
                <c:pt idx="14">
                  <c:v>1108.0999999999999</c:v>
                </c:pt>
              </c:numCache>
            </c:numRef>
          </c:xVal>
          <c:yVal>
            <c:numRef>
              <c:f>Лист1!$E$159:$S$159</c:f>
              <c:numCache>
                <c:formatCode>0.000</c:formatCode>
                <c:ptCount val="15"/>
                <c:pt idx="0">
                  <c:v>1.9259668379480863</c:v>
                </c:pt>
                <c:pt idx="1">
                  <c:v>1.946710365756688</c:v>
                </c:pt>
                <c:pt idx="2">
                  <c:v>1.9487622742160811</c:v>
                </c:pt>
                <c:pt idx="3">
                  <c:v>1.9420424572850368</c:v>
                </c:pt>
                <c:pt idx="4">
                  <c:v>1.9249650992107072</c:v>
                </c:pt>
                <c:pt idx="5">
                  <c:v>1.9013224169852634</c:v>
                </c:pt>
                <c:pt idx="6">
                  <c:v>1.8690524431007387</c:v>
                </c:pt>
                <c:pt idx="7">
                  <c:v>1.8262716527909071</c:v>
                </c:pt>
                <c:pt idx="8">
                  <c:v>1.7764547192650202</c:v>
                </c:pt>
                <c:pt idx="9">
                  <c:v>1.7160605381232812</c:v>
                </c:pt>
                <c:pt idx="10">
                  <c:v>1.6475629491802304</c:v>
                </c:pt>
                <c:pt idx="11">
                  <c:v>1.5672184804831748</c:v>
                </c:pt>
                <c:pt idx="12">
                  <c:v>1.4703966331216465</c:v>
                </c:pt>
                <c:pt idx="13">
                  <c:v>1.3554041842518052</c:v>
                </c:pt>
                <c:pt idx="14">
                  <c:v>1.2163261527487537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7-421B-8091-8A575E3DBD53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10"/>
            <c:spPr>
              <a:solidFill>
                <a:srgbClr val="99336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Лист1!$E$73</c:f>
              <c:numCache>
                <c:formatCode>0.0</c:formatCode>
                <c:ptCount val="1"/>
                <c:pt idx="0">
                  <c:v>921.5813520616997</c:v>
                </c:pt>
              </c:numCache>
            </c:numRef>
          </c:xVal>
          <c:yVal>
            <c:numRef>
              <c:f>Лист1!$E$68</c:f>
              <c:numCache>
                <c:formatCode>0.000</c:formatCode>
                <c:ptCount val="1"/>
                <c:pt idx="0">
                  <c:v>1.8223070398642918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7-421B-8091-8A575E3D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03193"/>
        <c:axId val="61179413"/>
      </c:scatterChart>
      <c:valAx>
        <c:axId val="28303193"/>
        <c:scaling>
          <c:orientation val="minMax"/>
          <c:max val="1300"/>
          <c:min val="300"/>
        </c:scaling>
        <c:delete val="0"/>
        <c:axPos val="b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200" b="1" strike="noStrike" spc="-1">
                    <a:solidFill>
                      <a:srgbClr val="000000"/>
                    </a:solidFill>
                    <a:latin typeface="Arial"/>
                  </a:rPr>
                  <a:t>Q</a:t>
                </a:r>
                <a:r>
                  <a:rPr lang="ru-RU" sz="1200" b="1" strike="noStrike" spc="-1">
                    <a:solidFill>
                      <a:srgbClr val="000000"/>
                    </a:solidFill>
                    <a:latin typeface="Arial"/>
                  </a:rPr>
                  <a:t>н, м3/мин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1"/>
        <c:majorTickMark val="out"/>
        <c:minorTickMark val="none"/>
        <c:tickLblPos val="low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61179413"/>
        <c:crossesAt val="0"/>
        <c:crossBetween val="midCat"/>
        <c:majorUnit val="200"/>
        <c:minorUnit val="50"/>
      </c:valAx>
      <c:valAx>
        <c:axId val="61179413"/>
        <c:scaling>
          <c:orientation val="minMax"/>
          <c:max val="2.2000000000000002"/>
          <c:min val="1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0C0C0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l-GR" sz="1200" b="1" strike="noStrike" spc="-1">
                    <a:solidFill>
                      <a:srgbClr val="000000"/>
                    </a:solidFill>
                    <a:latin typeface="Arial"/>
                  </a:rPr>
                  <a:t>ε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Arial"/>
              </a:defRPr>
            </a:pPr>
            <a:endParaRPr lang="ru-RU"/>
          </a:p>
        </c:txPr>
        <c:crossAx val="28303193"/>
        <c:crossesAt val="0"/>
        <c:crossBetween val="midCat"/>
        <c:majorUnit val="0.1"/>
        <c:minorUnit val="2.5000000000000001E-2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29675076979640602"/>
          <c:y val="0.925152214990552"/>
          <c:w val="0.38260030332276301"/>
          <c:h val="6.6659668276296505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000000"/>
              </a:solidFill>
              <a:latin typeface="Arial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1440</xdr:colOff>
      <xdr:row>160</xdr:row>
      <xdr:rowOff>1079</xdr:rowOff>
    </xdr:from>
    <xdr:to>
      <xdr:col>11</xdr:col>
      <xdr:colOff>3240</xdr:colOff>
      <xdr:row>174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1440</xdr:colOff>
      <xdr:row>175</xdr:row>
      <xdr:rowOff>0</xdr:rowOff>
    </xdr:from>
    <xdr:to>
      <xdr:col>11</xdr:col>
      <xdr:colOff>3240</xdr:colOff>
      <xdr:row>190</xdr:row>
      <xdr:rowOff>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1440</xdr:colOff>
      <xdr:row>190</xdr:row>
      <xdr:rowOff>1080</xdr:rowOff>
    </xdr:from>
    <xdr:to>
      <xdr:col>11</xdr:col>
      <xdr:colOff>3240</xdr:colOff>
      <xdr:row>208</xdr:row>
      <xdr:rowOff>1080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160</xdr:row>
      <xdr:rowOff>1080</xdr:rowOff>
    </xdr:from>
    <xdr:to>
      <xdr:col>22</xdr:col>
      <xdr:colOff>69229</xdr:colOff>
      <xdr:row>175</xdr:row>
      <xdr:rowOff>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0</xdr:colOff>
      <xdr:row>175</xdr:row>
      <xdr:rowOff>0</xdr:rowOff>
    </xdr:from>
    <xdr:to>
      <xdr:col>22</xdr:col>
      <xdr:colOff>69229</xdr:colOff>
      <xdr:row>190</xdr:row>
      <xdr:rowOff>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0</xdr:colOff>
      <xdr:row>190</xdr:row>
      <xdr:rowOff>1080</xdr:rowOff>
    </xdr:from>
    <xdr:to>
      <xdr:col>22</xdr:col>
      <xdr:colOff>69229</xdr:colOff>
      <xdr:row>208</xdr:row>
      <xdr:rowOff>1080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1080</xdr:colOff>
      <xdr:row>160</xdr:row>
      <xdr:rowOff>1080</xdr:rowOff>
    </xdr:from>
    <xdr:to>
      <xdr:col>34</xdr:col>
      <xdr:colOff>604440</xdr:colOff>
      <xdr:row>175</xdr:row>
      <xdr:rowOff>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24</xdr:col>
      <xdr:colOff>1080</xdr:colOff>
      <xdr:row>175</xdr:row>
      <xdr:rowOff>0</xdr:rowOff>
    </xdr:from>
    <xdr:to>
      <xdr:col>34</xdr:col>
      <xdr:colOff>604440</xdr:colOff>
      <xdr:row>190</xdr:row>
      <xdr:rowOff>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24</xdr:col>
      <xdr:colOff>1080</xdr:colOff>
      <xdr:row>190</xdr:row>
      <xdr:rowOff>1080</xdr:rowOff>
    </xdr:from>
    <xdr:to>
      <xdr:col>34</xdr:col>
      <xdr:colOff>604440</xdr:colOff>
      <xdr:row>208</xdr:row>
      <xdr:rowOff>1080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</xdr:col>
      <xdr:colOff>1440</xdr:colOff>
      <xdr:row>256</xdr:row>
      <xdr:rowOff>1080</xdr:rowOff>
    </xdr:from>
    <xdr:to>
      <xdr:col>11</xdr:col>
      <xdr:colOff>3240</xdr:colOff>
      <xdr:row>271</xdr:row>
      <xdr:rowOff>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</xdr:col>
      <xdr:colOff>1440</xdr:colOff>
      <xdr:row>271</xdr:row>
      <xdr:rowOff>0</xdr:rowOff>
    </xdr:from>
    <xdr:to>
      <xdr:col>11</xdr:col>
      <xdr:colOff>3240</xdr:colOff>
      <xdr:row>289</xdr:row>
      <xdr:rowOff>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0</xdr:colOff>
      <xdr:row>256</xdr:row>
      <xdr:rowOff>1080</xdr:rowOff>
    </xdr:from>
    <xdr:to>
      <xdr:col>21</xdr:col>
      <xdr:colOff>108470</xdr:colOff>
      <xdr:row>271</xdr:row>
      <xdr:rowOff>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12</xdr:col>
      <xdr:colOff>0</xdr:colOff>
      <xdr:row>271</xdr:row>
      <xdr:rowOff>0</xdr:rowOff>
    </xdr:from>
    <xdr:to>
      <xdr:col>21</xdr:col>
      <xdr:colOff>108470</xdr:colOff>
      <xdr:row>289</xdr:row>
      <xdr:rowOff>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</xdr:col>
      <xdr:colOff>198720</xdr:colOff>
      <xdr:row>209</xdr:row>
      <xdr:rowOff>95400</xdr:rowOff>
    </xdr:from>
    <xdr:to>
      <xdr:col>27</xdr:col>
      <xdr:colOff>646550</xdr:colOff>
      <xdr:row>238</xdr:row>
      <xdr:rowOff>93960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flipH="1">
          <a:off x="8598960" y="41265360"/>
          <a:ext cx="19234800" cy="5589720"/>
        </a:xfrm>
        <a:prstGeom prst="line">
          <a:avLst/>
        </a:prstGeom>
        <a:ln w="9360">
          <a:solidFill>
            <a:srgbClr val="0000FF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198720</xdr:colOff>
      <xdr:row>209</xdr:row>
      <xdr:rowOff>95400</xdr:rowOff>
    </xdr:from>
    <xdr:to>
      <xdr:col>27</xdr:col>
      <xdr:colOff>646550</xdr:colOff>
      <xdr:row>400</xdr:row>
      <xdr:rowOff>117360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>
          <a:off x="8598960" y="41265360"/>
          <a:ext cx="19234800" cy="39874680"/>
        </a:xfrm>
        <a:prstGeom prst="line">
          <a:avLst/>
        </a:prstGeom>
        <a:ln w="9360">
          <a:solidFill>
            <a:srgbClr val="0000FF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/&#1048;&#1089;&#1087;&#1099;&#1090;&#1072;&#1085;&#1080;&#1103;/&#1084;&#1086;&#1076;&#1077;&#1083;&#1100;&#1085;&#1099;&#1077;%20(1%20&#1073;&#1086;&#1082;&#1089;)/&#1052;&#1086;&#1076;&#1077;&#1083;&#1080;%20&#1053;400/&#1054;&#1090;&#1095;&#1077;&#1090;&#1099;%20&#1087;&#1086;%20&#1084;&#1086;&#1076;&#1077;&#1083;&#1100;&#1085;&#1099;&#1084;%20&#1080;&#1089;&#1087;&#1099;&#1090;&#1072;&#1085;&#1080;&#1103;&#1084;/Calc_of_gas_charact_model_10_08_08_&#1050;&#1072;&#1088;&#1083;&#1080;&#10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/&#1085;&#1077;&#1079;&#1072;&#1082;&#1086;&#1085;&#1095;&#1077;&#1085;&#1085;&#1099;&#1077;%20&#1087;&#1088;&#1086;&#1075;&#1088;&#1072;&#1084;&#1084;&#1099;/&#1056;&#1072;&#1089;&#1095;&#1077;&#1090;%20&#1043;&#1044;&#1061;%20&#1050;5500-41-1%20(&#1053;&#1051;&#1052;&#1050;)_&#1051;&#1080;&#1087;&#1077;&#1094;&#1082;_&#1050;5500-41-1&#1052;_12.11.2010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Табл_изм"/>
      <sheetName val="Average"/>
      <sheetName val="Расход"/>
      <sheetName val="Газод.характ"/>
      <sheetName val="Graph"/>
      <sheetName val="Газод.характ.колеса"/>
      <sheetName val="Graph_колесо"/>
      <sheetName val="Безразм.характ"/>
      <sheetName val="Безразм.характ.колеса"/>
      <sheetName val="Погрешн"/>
      <sheetName val="Graph.line"/>
      <sheetName val="Graph_wh_line"/>
      <sheetName val="enclosure"/>
      <sheetName val="graph_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Rвозд"/>
      <sheetName val="Измеренные параметры"/>
      <sheetName val="Расход (сопло Вентури)"/>
      <sheetName val="ГДХ по секциям"/>
      <sheetName val="ГДХ воздухоохладитель"/>
      <sheetName val="ГДХ гарантийные"/>
      <sheetName val="Пересчет на различ условия"/>
      <sheetName val="Характеристики"/>
      <sheetName val="построение картинок"/>
      <sheetName val="данные из Compress и сравн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420"/>
  <sheetViews>
    <sheetView tabSelected="1" topLeftCell="A403" zoomScaleNormal="100" workbookViewId="0">
      <selection activeCell="B423" sqref="B423"/>
    </sheetView>
  </sheetViews>
  <sheetFormatPr defaultRowHeight="15" x14ac:dyDescent="0.2"/>
  <cols>
    <col min="1" max="1" width="7.140625" style="9" customWidth="1"/>
    <col min="2" max="2" width="82" style="10" customWidth="1"/>
    <col min="3" max="3" width="16.85546875" style="9" customWidth="1"/>
    <col min="4" max="4" width="13.140625" style="9" customWidth="1"/>
    <col min="5" max="5" width="11.28515625" style="9" customWidth="1"/>
    <col min="6" max="6" width="14.140625" style="9" customWidth="1"/>
    <col min="7" max="7" width="14" style="9" customWidth="1"/>
    <col min="8" max="12" width="10.85546875" style="9" customWidth="1"/>
    <col min="13" max="13" width="12.5703125" style="9" customWidth="1"/>
    <col min="14" max="14" width="15.7109375" style="9" customWidth="1"/>
    <col min="15" max="15" width="16.28515625" style="9" customWidth="1"/>
    <col min="16" max="17" width="11.7109375" style="9" customWidth="1"/>
    <col min="18" max="18" width="10" style="9" customWidth="1"/>
    <col min="19" max="19" width="9.7109375" style="9" customWidth="1"/>
    <col min="20" max="20" width="14.42578125" style="9" customWidth="1"/>
    <col min="21" max="22" width="9.5703125" style="9" customWidth="1"/>
    <col min="23" max="24" width="9.140625" style="9" customWidth="1"/>
    <col min="25" max="25" width="11.42578125" style="9" customWidth="1"/>
    <col min="26" max="26" width="10.7109375" style="9" customWidth="1"/>
    <col min="27" max="28" width="11.42578125" style="9" customWidth="1"/>
    <col min="29" max="29" width="11.85546875" style="9" customWidth="1"/>
    <col min="30" max="30" width="9.42578125" style="9" customWidth="1"/>
    <col min="31" max="257" width="9.140625" style="9" customWidth="1"/>
    <col min="258" max="1025" width="9.140625" customWidth="1"/>
  </cols>
  <sheetData>
    <row r="1" spans="1:6" ht="15.75" x14ac:dyDescent="0.2">
      <c r="A1" s="8" t="s">
        <v>0</v>
      </c>
      <c r="B1" s="8"/>
      <c r="C1" s="8"/>
      <c r="D1" s="8"/>
      <c r="E1" s="8"/>
    </row>
    <row r="2" spans="1:6" ht="15.75" x14ac:dyDescent="0.2">
      <c r="A2" s="11"/>
      <c r="B2" s="11"/>
      <c r="C2" s="11"/>
      <c r="D2" s="11"/>
      <c r="E2" s="11"/>
    </row>
    <row r="3" spans="1:6" ht="15" customHeight="1" x14ac:dyDescent="0.2">
      <c r="A3" s="7" t="s">
        <v>1</v>
      </c>
      <c r="B3" s="7" t="s">
        <v>2</v>
      </c>
      <c r="C3" s="7" t="s">
        <v>3</v>
      </c>
      <c r="D3" s="6" t="s">
        <v>4</v>
      </c>
      <c r="E3" s="12" t="s">
        <v>5</v>
      </c>
      <c r="F3" s="12" t="s">
        <v>6</v>
      </c>
    </row>
    <row r="4" spans="1:6" x14ac:dyDescent="0.2">
      <c r="A4" s="7"/>
      <c r="B4" s="7"/>
      <c r="C4" s="7"/>
      <c r="D4" s="6"/>
      <c r="E4" s="12">
        <v>1</v>
      </c>
      <c r="F4" s="12"/>
    </row>
    <row r="5" spans="1:6" ht="19.5" x14ac:dyDescent="0.2">
      <c r="A5" s="12">
        <v>1</v>
      </c>
      <c r="B5" s="13" t="s">
        <v>7</v>
      </c>
      <c r="C5" s="12" t="s">
        <v>8</v>
      </c>
      <c r="D5" s="12" t="s">
        <v>9</v>
      </c>
      <c r="E5" s="14">
        <v>100.43</v>
      </c>
      <c r="F5" s="15" t="s">
        <v>10</v>
      </c>
    </row>
    <row r="6" spans="1:6" ht="19.5" x14ac:dyDescent="0.2">
      <c r="A6" s="12">
        <v>2</v>
      </c>
      <c r="B6" s="13" t="s">
        <v>11</v>
      </c>
      <c r="C6" s="12" t="s">
        <v>12</v>
      </c>
      <c r="D6" s="12" t="s">
        <v>9</v>
      </c>
      <c r="E6" s="16">
        <v>0</v>
      </c>
      <c r="F6" s="15" t="s">
        <v>13</v>
      </c>
    </row>
    <row r="7" spans="1:6" ht="19.5" x14ac:dyDescent="0.2">
      <c r="A7" s="12">
        <v>3</v>
      </c>
      <c r="B7" s="13" t="s">
        <v>14</v>
      </c>
      <c r="C7" s="12" t="s">
        <v>15</v>
      </c>
      <c r="D7" s="12" t="s">
        <v>9</v>
      </c>
      <c r="E7" s="16">
        <v>2.81</v>
      </c>
      <c r="F7" s="15" t="s">
        <v>16</v>
      </c>
    </row>
    <row r="8" spans="1:6" ht="19.5" x14ac:dyDescent="0.2">
      <c r="A8" s="12">
        <v>4</v>
      </c>
      <c r="B8" s="13" t="s">
        <v>17</v>
      </c>
      <c r="C8" s="12" t="s">
        <v>18</v>
      </c>
      <c r="D8" s="12" t="s">
        <v>19</v>
      </c>
      <c r="E8" s="17">
        <v>-0.1</v>
      </c>
      <c r="F8" s="15" t="s">
        <v>20</v>
      </c>
    </row>
    <row r="9" spans="1:6" ht="19.5" x14ac:dyDescent="0.2">
      <c r="A9" s="12">
        <v>5</v>
      </c>
      <c r="B9" s="13" t="s">
        <v>21</v>
      </c>
      <c r="C9" s="12" t="s">
        <v>22</v>
      </c>
      <c r="D9" s="12" t="s">
        <v>9</v>
      </c>
      <c r="E9" s="14">
        <v>1.08</v>
      </c>
      <c r="F9" s="15" t="s">
        <v>23</v>
      </c>
    </row>
    <row r="10" spans="1:6" ht="19.5" x14ac:dyDescent="0.2">
      <c r="A10" s="12">
        <v>6</v>
      </c>
      <c r="B10" s="13" t="s">
        <v>24</v>
      </c>
      <c r="C10" s="12" t="s">
        <v>25</v>
      </c>
      <c r="D10" s="12" t="s">
        <v>9</v>
      </c>
      <c r="E10" s="14">
        <v>132.05000000000001</v>
      </c>
      <c r="F10" s="15" t="s">
        <v>26</v>
      </c>
    </row>
    <row r="11" spans="1:6" ht="19.5" x14ac:dyDescent="0.2">
      <c r="A11" s="12">
        <v>7</v>
      </c>
      <c r="B11" s="13" t="s">
        <v>27</v>
      </c>
      <c r="C11" s="12" t="s">
        <v>28</v>
      </c>
      <c r="D11" s="12" t="s">
        <v>19</v>
      </c>
      <c r="E11" s="17">
        <v>-0.1</v>
      </c>
      <c r="F11" s="15" t="s">
        <v>29</v>
      </c>
    </row>
    <row r="12" spans="1:6" ht="19.5" x14ac:dyDescent="0.2">
      <c r="A12" s="12">
        <v>8</v>
      </c>
      <c r="B12" s="13" t="s">
        <v>30</v>
      </c>
      <c r="C12" s="12" t="s">
        <v>31</v>
      </c>
      <c r="D12" s="12" t="s">
        <v>19</v>
      </c>
      <c r="E12" s="17">
        <v>108.7</v>
      </c>
      <c r="F12" s="15" t="s">
        <v>32</v>
      </c>
    </row>
    <row r="13" spans="1:6" ht="19.5" x14ac:dyDescent="0.2">
      <c r="A13" s="12">
        <v>9</v>
      </c>
      <c r="B13" s="13" t="s">
        <v>33</v>
      </c>
      <c r="C13" s="12" t="s">
        <v>34</v>
      </c>
      <c r="D13" s="12" t="s">
        <v>9</v>
      </c>
      <c r="E13" s="14">
        <v>122.97</v>
      </c>
      <c r="F13" s="15" t="s">
        <v>35</v>
      </c>
    </row>
    <row r="14" spans="1:6" ht="19.5" x14ac:dyDescent="0.2">
      <c r="A14" s="12">
        <v>10</v>
      </c>
      <c r="B14" s="13" t="s">
        <v>36</v>
      </c>
      <c r="C14" s="12" t="s">
        <v>37</v>
      </c>
      <c r="D14" s="12" t="s">
        <v>9</v>
      </c>
      <c r="E14" s="14">
        <v>305.47000000000003</v>
      </c>
      <c r="F14" s="15" t="s">
        <v>38</v>
      </c>
    </row>
    <row r="15" spans="1:6" ht="19.5" x14ac:dyDescent="0.2">
      <c r="A15" s="12">
        <v>11</v>
      </c>
      <c r="B15" s="13" t="s">
        <v>39</v>
      </c>
      <c r="C15" s="12" t="s">
        <v>40</v>
      </c>
      <c r="D15" s="12" t="s">
        <v>19</v>
      </c>
      <c r="E15" s="17">
        <v>25.9</v>
      </c>
      <c r="F15" s="15" t="s">
        <v>41</v>
      </c>
    </row>
    <row r="16" spans="1:6" ht="19.5" x14ac:dyDescent="0.2">
      <c r="A16" s="12">
        <v>12</v>
      </c>
      <c r="B16" s="13" t="s">
        <v>42</v>
      </c>
      <c r="C16" s="12" t="s">
        <v>43</v>
      </c>
      <c r="D16" s="12" t="s">
        <v>19</v>
      </c>
      <c r="E16" s="17">
        <v>95.8</v>
      </c>
      <c r="F16" s="15" t="s">
        <v>44</v>
      </c>
    </row>
    <row r="17" spans="1:6" ht="19.5" x14ac:dyDescent="0.2">
      <c r="A17" s="12">
        <v>13</v>
      </c>
      <c r="B17" s="13" t="s">
        <v>45</v>
      </c>
      <c r="C17" s="12" t="s">
        <v>46</v>
      </c>
      <c r="D17" s="12" t="s">
        <v>9</v>
      </c>
      <c r="E17" s="14">
        <v>300.43</v>
      </c>
      <c r="F17" s="15" t="s">
        <v>47</v>
      </c>
    </row>
    <row r="18" spans="1:6" ht="19.5" x14ac:dyDescent="0.2">
      <c r="A18" s="12">
        <v>14</v>
      </c>
      <c r="B18" s="13" t="s">
        <v>48</v>
      </c>
      <c r="C18" s="12" t="s">
        <v>49</v>
      </c>
      <c r="D18" s="12" t="s">
        <v>9</v>
      </c>
      <c r="E18" s="14">
        <v>630.05999999999995</v>
      </c>
      <c r="F18" s="15" t="s">
        <v>50</v>
      </c>
    </row>
    <row r="19" spans="1:6" ht="19.5" x14ac:dyDescent="0.2">
      <c r="A19" s="12">
        <v>15</v>
      </c>
      <c r="B19" s="13" t="s">
        <v>51</v>
      </c>
      <c r="C19" s="12" t="s">
        <v>52</v>
      </c>
      <c r="D19" s="12" t="s">
        <v>19</v>
      </c>
      <c r="E19" s="17">
        <v>29.3</v>
      </c>
      <c r="F19" s="15" t="s">
        <v>53</v>
      </c>
    </row>
    <row r="20" spans="1:6" ht="19.5" x14ac:dyDescent="0.2">
      <c r="A20" s="12">
        <v>16</v>
      </c>
      <c r="B20" s="13" t="s">
        <v>54</v>
      </c>
      <c r="C20" s="12" t="s">
        <v>55</v>
      </c>
      <c r="D20" s="12" t="s">
        <v>19</v>
      </c>
      <c r="E20" s="17">
        <v>104.4</v>
      </c>
      <c r="F20" s="15" t="s">
        <v>56</v>
      </c>
    </row>
    <row r="21" spans="1:6" ht="19.5" x14ac:dyDescent="0.2">
      <c r="A21" s="12">
        <v>17</v>
      </c>
      <c r="B21" s="13" t="s">
        <v>57</v>
      </c>
      <c r="C21" s="12" t="s">
        <v>58</v>
      </c>
      <c r="D21" s="12" t="s">
        <v>19</v>
      </c>
      <c r="E21" s="18">
        <v>18.399999999999999</v>
      </c>
      <c r="F21" s="15" t="s">
        <v>59</v>
      </c>
    </row>
    <row r="22" spans="1:6" ht="19.5" x14ac:dyDescent="0.2">
      <c r="A22" s="12">
        <v>18</v>
      </c>
      <c r="B22" s="13" t="s">
        <v>60</v>
      </c>
      <c r="C22" s="12" t="s">
        <v>61</v>
      </c>
      <c r="D22" s="12" t="s">
        <v>19</v>
      </c>
      <c r="E22" s="18">
        <v>32.9</v>
      </c>
      <c r="F22" s="15" t="s">
        <v>62</v>
      </c>
    </row>
    <row r="23" spans="1:6" ht="19.5" x14ac:dyDescent="0.2">
      <c r="A23" s="12">
        <v>19</v>
      </c>
      <c r="B23" s="13" t="s">
        <v>63</v>
      </c>
      <c r="C23" s="12" t="s">
        <v>64</v>
      </c>
      <c r="D23" s="12" t="s">
        <v>19</v>
      </c>
      <c r="E23" s="18">
        <v>19</v>
      </c>
      <c r="F23" s="15" t="s">
        <v>65</v>
      </c>
    </row>
    <row r="24" spans="1:6" ht="19.5" x14ac:dyDescent="0.2">
      <c r="A24" s="12">
        <v>20</v>
      </c>
      <c r="B24" s="13" t="s">
        <v>66</v>
      </c>
      <c r="C24" s="12" t="s">
        <v>67</v>
      </c>
      <c r="D24" s="12" t="s">
        <v>19</v>
      </c>
      <c r="E24" s="18">
        <v>30.5</v>
      </c>
      <c r="F24" s="15" t="s">
        <v>68</v>
      </c>
    </row>
    <row r="25" spans="1:6" ht="15.75" x14ac:dyDescent="0.2">
      <c r="A25" s="12">
        <v>19</v>
      </c>
      <c r="B25" s="13" t="s">
        <v>69</v>
      </c>
      <c r="C25" s="12" t="s">
        <v>70</v>
      </c>
      <c r="D25" s="12" t="s">
        <v>71</v>
      </c>
      <c r="E25" s="19">
        <v>3166</v>
      </c>
      <c r="F25" s="12" t="s">
        <v>72</v>
      </c>
    </row>
    <row r="27" spans="1:6" ht="15.75" x14ac:dyDescent="0.2">
      <c r="A27" s="8" t="s">
        <v>73</v>
      </c>
      <c r="B27" s="8"/>
      <c r="C27" s="8"/>
      <c r="D27" s="8"/>
      <c r="E27" s="8"/>
    </row>
    <row r="29" spans="1:6" ht="19.5" x14ac:dyDescent="0.2">
      <c r="A29" s="12">
        <v>1</v>
      </c>
      <c r="B29" s="13" t="s">
        <v>74</v>
      </c>
      <c r="C29" s="12" t="s">
        <v>75</v>
      </c>
      <c r="D29" s="12" t="s">
        <v>9</v>
      </c>
      <c r="E29" s="20">
        <f>E5-E6</f>
        <v>100.43</v>
      </c>
    </row>
    <row r="30" spans="1:6" ht="19.5" x14ac:dyDescent="0.2">
      <c r="A30" s="12">
        <v>2</v>
      </c>
      <c r="B30" s="13" t="s">
        <v>17</v>
      </c>
      <c r="C30" s="12" t="s">
        <v>76</v>
      </c>
      <c r="D30" s="12" t="s">
        <v>77</v>
      </c>
      <c r="E30" s="21">
        <f>E8+273.15</f>
        <v>273.04999999999995</v>
      </c>
    </row>
    <row r="31" spans="1:6" ht="15.75" x14ac:dyDescent="0.2">
      <c r="A31" s="12">
        <v>3</v>
      </c>
      <c r="B31" s="13" t="s">
        <v>78</v>
      </c>
      <c r="C31" s="12" t="s">
        <v>79</v>
      </c>
      <c r="D31" s="12" t="s">
        <v>80</v>
      </c>
      <c r="E31" s="16">
        <v>288.39999999999998</v>
      </c>
    </row>
    <row r="32" spans="1:6" ht="15.75" x14ac:dyDescent="0.2">
      <c r="A32" s="12">
        <v>4</v>
      </c>
      <c r="B32" s="13" t="s">
        <v>81</v>
      </c>
      <c r="C32" s="12" t="s">
        <v>82</v>
      </c>
      <c r="D32" s="12" t="s">
        <v>83</v>
      </c>
      <c r="E32" s="16">
        <v>1.4</v>
      </c>
    </row>
    <row r="33" spans="1:5" ht="19.5" x14ac:dyDescent="0.2">
      <c r="A33" s="12">
        <v>5</v>
      </c>
      <c r="B33" s="13" t="s">
        <v>84</v>
      </c>
      <c r="C33" s="12" t="s">
        <v>85</v>
      </c>
      <c r="D33" s="12" t="s">
        <v>86</v>
      </c>
      <c r="E33" s="22">
        <f>E29*1000/E31/E30</f>
        <v>1.2753401309144332</v>
      </c>
    </row>
    <row r="34" spans="1:5" x14ac:dyDescent="0.2">
      <c r="A34" s="12">
        <v>6</v>
      </c>
      <c r="B34" s="13" t="s">
        <v>87</v>
      </c>
      <c r="C34" s="12" t="s">
        <v>88</v>
      </c>
      <c r="D34" s="12" t="s">
        <v>83</v>
      </c>
      <c r="E34" s="22">
        <f>1-0.311*E7/E29</f>
        <v>0.99129831723588568</v>
      </c>
    </row>
    <row r="35" spans="1:5" ht="15.75" x14ac:dyDescent="0.2">
      <c r="A35" s="12">
        <v>7</v>
      </c>
      <c r="B35" s="13" t="s">
        <v>89</v>
      </c>
      <c r="C35" s="12" t="s">
        <v>90</v>
      </c>
      <c r="D35" s="12" t="s">
        <v>83</v>
      </c>
      <c r="E35" s="23">
        <v>0.70899999999999996</v>
      </c>
    </row>
    <row r="36" spans="1:5" ht="18" x14ac:dyDescent="0.2">
      <c r="A36" s="12">
        <v>8</v>
      </c>
      <c r="B36" s="13" t="s">
        <v>91</v>
      </c>
      <c r="C36" s="12" t="s">
        <v>92</v>
      </c>
      <c r="D36" s="12" t="s">
        <v>93</v>
      </c>
      <c r="E36" s="24">
        <v>1.1862999999999999</v>
      </c>
    </row>
    <row r="37" spans="1:5" x14ac:dyDescent="0.2">
      <c r="A37" s="12">
        <v>9</v>
      </c>
      <c r="B37" s="13" t="s">
        <v>94</v>
      </c>
      <c r="C37" s="12" t="s">
        <v>95</v>
      </c>
      <c r="D37" s="12" t="s">
        <v>96</v>
      </c>
      <c r="E37" s="21">
        <f>60*E36*E35*E34*(2*E7*E33*1000)^0.5</f>
        <v>4235.2354154829063</v>
      </c>
    </row>
    <row r="39" spans="1:5" ht="15.75" x14ac:dyDescent="0.2">
      <c r="A39" s="8" t="s">
        <v>97</v>
      </c>
      <c r="B39" s="8"/>
      <c r="C39" s="8"/>
      <c r="D39" s="8"/>
      <c r="E39" s="8"/>
    </row>
    <row r="41" spans="1:5" x14ac:dyDescent="0.2">
      <c r="A41" s="12">
        <v>1</v>
      </c>
      <c r="B41" s="13" t="s">
        <v>98</v>
      </c>
      <c r="C41" s="12" t="s">
        <v>99</v>
      </c>
      <c r="D41" s="12" t="s">
        <v>9</v>
      </c>
      <c r="E41" s="25">
        <f>E5-E9</f>
        <v>99.350000000000009</v>
      </c>
    </row>
    <row r="42" spans="1:5" x14ac:dyDescent="0.2">
      <c r="A42" s="12">
        <v>2</v>
      </c>
      <c r="B42" s="13" t="s">
        <v>100</v>
      </c>
      <c r="C42" s="12" t="s">
        <v>101</v>
      </c>
      <c r="D42" s="12" t="s">
        <v>9</v>
      </c>
      <c r="E42" s="25">
        <f>E5+E10</f>
        <v>232.48000000000002</v>
      </c>
    </row>
    <row r="43" spans="1:5" x14ac:dyDescent="0.2">
      <c r="A43" s="12">
        <v>3</v>
      </c>
      <c r="B43" s="13" t="s">
        <v>102</v>
      </c>
      <c r="C43" s="12" t="s">
        <v>103</v>
      </c>
      <c r="D43" s="12" t="s">
        <v>77</v>
      </c>
      <c r="E43" s="26">
        <f>E11+273.15</f>
        <v>273.04999999999995</v>
      </c>
    </row>
    <row r="44" spans="1:5" x14ac:dyDescent="0.2">
      <c r="A44" s="12">
        <v>4</v>
      </c>
      <c r="B44" s="13" t="s">
        <v>104</v>
      </c>
      <c r="C44" s="12" t="s">
        <v>105</v>
      </c>
      <c r="D44" s="12" t="s">
        <v>77</v>
      </c>
      <c r="E44" s="26">
        <f>E12+273.15</f>
        <v>381.84999999999997</v>
      </c>
    </row>
    <row r="45" spans="1:5" x14ac:dyDescent="0.2">
      <c r="A45" s="12">
        <v>5</v>
      </c>
      <c r="B45" s="13" t="s">
        <v>106</v>
      </c>
      <c r="C45" s="12" t="s">
        <v>107</v>
      </c>
      <c r="D45" s="12" t="s">
        <v>77</v>
      </c>
      <c r="E45" s="26">
        <f>E44-E43</f>
        <v>108.80000000000001</v>
      </c>
    </row>
    <row r="46" spans="1:5" x14ac:dyDescent="0.2">
      <c r="A46" s="12">
        <v>6</v>
      </c>
      <c r="B46" s="13" t="s">
        <v>108</v>
      </c>
      <c r="C46" s="12" t="s">
        <v>109</v>
      </c>
      <c r="D46" s="12" t="s">
        <v>83</v>
      </c>
      <c r="E46" s="27">
        <f>E42/E41</f>
        <v>2.3400100654252642</v>
      </c>
    </row>
    <row r="47" spans="1:5" x14ac:dyDescent="0.2">
      <c r="A47" s="12">
        <v>7</v>
      </c>
      <c r="B47" s="13" t="s">
        <v>110</v>
      </c>
      <c r="C47" s="12" t="s">
        <v>111</v>
      </c>
      <c r="D47" s="12" t="s">
        <v>112</v>
      </c>
      <c r="E47" s="25">
        <f>E32/(E32-1)*E31*E45/1000</f>
        <v>109.82272000000002</v>
      </c>
    </row>
    <row r="48" spans="1:5" x14ac:dyDescent="0.2">
      <c r="A48" s="12">
        <v>8</v>
      </c>
      <c r="B48" s="13" t="s">
        <v>113</v>
      </c>
      <c r="C48" s="12" t="s">
        <v>114</v>
      </c>
      <c r="D48" s="12" t="s">
        <v>115</v>
      </c>
      <c r="E48" s="27">
        <f>E37*E47/60000</f>
        <v>7.7520845528110494</v>
      </c>
    </row>
    <row r="49" spans="1:5" x14ac:dyDescent="0.2">
      <c r="A49" s="12">
        <v>9</v>
      </c>
      <c r="B49" s="13" t="s">
        <v>116</v>
      </c>
      <c r="C49" s="12" t="s">
        <v>117</v>
      </c>
      <c r="D49" s="12" t="s">
        <v>83</v>
      </c>
      <c r="E49" s="27">
        <f>(LN(E46)/LN(1+E45/E43))*(E32-1)/E32</f>
        <v>0.72427280442523356</v>
      </c>
    </row>
    <row r="50" spans="1:5" x14ac:dyDescent="0.2">
      <c r="A50" s="12">
        <v>10</v>
      </c>
      <c r="B50" s="13" t="s">
        <v>118</v>
      </c>
      <c r="C50" s="12" t="s">
        <v>119</v>
      </c>
      <c r="D50" s="12" t="s">
        <v>120</v>
      </c>
      <c r="E50" s="27">
        <f>E41*1000/E31/E43</f>
        <v>1.2616254307114303</v>
      </c>
    </row>
    <row r="51" spans="1:5" x14ac:dyDescent="0.2">
      <c r="A51" s="12">
        <v>11</v>
      </c>
      <c r="B51" s="13" t="s">
        <v>121</v>
      </c>
      <c r="C51" s="12" t="s">
        <v>122</v>
      </c>
      <c r="D51" s="12" t="s">
        <v>123</v>
      </c>
      <c r="E51" s="26">
        <f>E37/E50</f>
        <v>3356.9673790537481</v>
      </c>
    </row>
    <row r="52" spans="1:5" x14ac:dyDescent="0.2">
      <c r="A52" s="12">
        <v>12</v>
      </c>
      <c r="B52" s="13" t="s">
        <v>124</v>
      </c>
      <c r="C52" s="12" t="s">
        <v>125</v>
      </c>
      <c r="D52" s="12" t="s">
        <v>9</v>
      </c>
      <c r="E52" s="25">
        <f>E13+E5</f>
        <v>223.4</v>
      </c>
    </row>
    <row r="53" spans="1:5" x14ac:dyDescent="0.2">
      <c r="A53" s="12">
        <v>13</v>
      </c>
      <c r="B53" s="13" t="s">
        <v>126</v>
      </c>
      <c r="C53" s="12" t="s">
        <v>127</v>
      </c>
      <c r="D53" s="12" t="s">
        <v>9</v>
      </c>
      <c r="E53" s="25">
        <f>E14+E5</f>
        <v>405.90000000000003</v>
      </c>
    </row>
    <row r="54" spans="1:5" x14ac:dyDescent="0.2">
      <c r="A54" s="12">
        <v>14</v>
      </c>
      <c r="B54" s="13" t="s">
        <v>128</v>
      </c>
      <c r="C54" s="12" t="s">
        <v>129</v>
      </c>
      <c r="D54" s="12" t="s">
        <v>77</v>
      </c>
      <c r="E54" s="26">
        <f>E15+273.15</f>
        <v>299.04999999999995</v>
      </c>
    </row>
    <row r="55" spans="1:5" x14ac:dyDescent="0.2">
      <c r="A55" s="12">
        <v>15</v>
      </c>
      <c r="B55" s="13" t="s">
        <v>130</v>
      </c>
      <c r="C55" s="12" t="s">
        <v>131</v>
      </c>
      <c r="D55" s="12" t="s">
        <v>77</v>
      </c>
      <c r="E55" s="26">
        <f>E16+273.15</f>
        <v>368.95</v>
      </c>
    </row>
    <row r="56" spans="1:5" x14ac:dyDescent="0.2">
      <c r="A56" s="12">
        <v>16</v>
      </c>
      <c r="B56" s="13" t="s">
        <v>132</v>
      </c>
      <c r="C56" s="12" t="s">
        <v>133</v>
      </c>
      <c r="D56" s="12" t="s">
        <v>77</v>
      </c>
      <c r="E56" s="26">
        <f>E55-E54</f>
        <v>69.900000000000034</v>
      </c>
    </row>
    <row r="57" spans="1:5" x14ac:dyDescent="0.2">
      <c r="A57" s="12">
        <v>17</v>
      </c>
      <c r="B57" s="13" t="s">
        <v>134</v>
      </c>
      <c r="C57" s="12" t="s">
        <v>135</v>
      </c>
      <c r="D57" s="12" t="s">
        <v>83</v>
      </c>
      <c r="E57" s="27">
        <f>E53/E52</f>
        <v>1.8169203222918533</v>
      </c>
    </row>
    <row r="58" spans="1:5" x14ac:dyDescent="0.2">
      <c r="A58" s="12">
        <v>18</v>
      </c>
      <c r="B58" s="13" t="s">
        <v>136</v>
      </c>
      <c r="C58" s="12" t="s">
        <v>137</v>
      </c>
      <c r="D58" s="12" t="s">
        <v>112</v>
      </c>
      <c r="E58" s="25">
        <f>E32/(E32-1)*E31*E56/1000</f>
        <v>70.557060000000035</v>
      </c>
    </row>
    <row r="59" spans="1:5" x14ac:dyDescent="0.2">
      <c r="A59" s="12">
        <v>19</v>
      </c>
      <c r="B59" s="13" t="s">
        <v>138</v>
      </c>
      <c r="C59" s="12" t="s">
        <v>139</v>
      </c>
      <c r="D59" s="12" t="s">
        <v>115</v>
      </c>
      <c r="E59" s="27">
        <f>E58*E37/60000</f>
        <v>4.9804293220725411</v>
      </c>
    </row>
    <row r="60" spans="1:5" x14ac:dyDescent="0.2">
      <c r="A60" s="12">
        <v>20</v>
      </c>
      <c r="B60" s="13" t="s">
        <v>140</v>
      </c>
      <c r="C60" s="12" t="s">
        <v>141</v>
      </c>
      <c r="D60" s="12" t="s">
        <v>83</v>
      </c>
      <c r="E60" s="27">
        <f>(LN(E57)/LN(1+E56/E54))*(E32-1)/E32</f>
        <v>0.81224462498157168</v>
      </c>
    </row>
    <row r="61" spans="1:5" x14ac:dyDescent="0.2">
      <c r="A61" s="12">
        <v>21</v>
      </c>
      <c r="B61" s="13" t="s">
        <v>142</v>
      </c>
      <c r="C61" s="12" t="s">
        <v>143</v>
      </c>
      <c r="D61" s="12" t="s">
        <v>120</v>
      </c>
      <c r="E61" s="27">
        <f>E52*1000/E31/E54</f>
        <v>2.5902644551018126</v>
      </c>
    </row>
    <row r="62" spans="1:5" x14ac:dyDescent="0.2">
      <c r="A62" s="12">
        <v>22</v>
      </c>
      <c r="B62" s="13" t="s">
        <v>144</v>
      </c>
      <c r="C62" s="12" t="s">
        <v>145</v>
      </c>
      <c r="D62" s="12" t="s">
        <v>123</v>
      </c>
      <c r="E62" s="26">
        <f>E37/E61</f>
        <v>1635.0590794469426</v>
      </c>
    </row>
    <row r="63" spans="1:5" x14ac:dyDescent="0.2">
      <c r="A63" s="12">
        <v>23</v>
      </c>
      <c r="B63" s="13" t="s">
        <v>146</v>
      </c>
      <c r="C63" s="12" t="s">
        <v>147</v>
      </c>
      <c r="D63" s="12" t="s">
        <v>9</v>
      </c>
      <c r="E63" s="25">
        <f>E17+E5</f>
        <v>400.86</v>
      </c>
    </row>
    <row r="64" spans="1:5" x14ac:dyDescent="0.2">
      <c r="A64" s="12">
        <v>24</v>
      </c>
      <c r="B64" s="13" t="s">
        <v>148</v>
      </c>
      <c r="C64" s="12" t="s">
        <v>149</v>
      </c>
      <c r="D64" s="12" t="s">
        <v>9</v>
      </c>
      <c r="E64" s="25">
        <f>E18+E5</f>
        <v>730.49</v>
      </c>
    </row>
    <row r="65" spans="1:5" x14ac:dyDescent="0.2">
      <c r="A65" s="12">
        <v>25</v>
      </c>
      <c r="B65" s="13" t="s">
        <v>150</v>
      </c>
      <c r="C65" s="12" t="s">
        <v>151</v>
      </c>
      <c r="D65" s="12" t="s">
        <v>77</v>
      </c>
      <c r="E65" s="26">
        <f>E19+273.15</f>
        <v>302.45</v>
      </c>
    </row>
    <row r="66" spans="1:5" x14ac:dyDescent="0.2">
      <c r="A66" s="12">
        <v>26</v>
      </c>
      <c r="B66" s="13" t="s">
        <v>152</v>
      </c>
      <c r="C66" s="12" t="s">
        <v>153</v>
      </c>
      <c r="D66" s="12" t="s">
        <v>77</v>
      </c>
      <c r="E66" s="26">
        <f>E20+273.15</f>
        <v>377.54999999999995</v>
      </c>
    </row>
    <row r="67" spans="1:5" x14ac:dyDescent="0.2">
      <c r="A67" s="12">
        <v>27</v>
      </c>
      <c r="B67" s="13" t="s">
        <v>154</v>
      </c>
      <c r="C67" s="12" t="s">
        <v>155</v>
      </c>
      <c r="D67" s="12" t="s">
        <v>77</v>
      </c>
      <c r="E67" s="26">
        <f>E66-E65</f>
        <v>75.099999999999966</v>
      </c>
    </row>
    <row r="68" spans="1:5" x14ac:dyDescent="0.2">
      <c r="A68" s="12">
        <v>28</v>
      </c>
      <c r="B68" s="13" t="s">
        <v>156</v>
      </c>
      <c r="C68" s="12" t="s">
        <v>157</v>
      </c>
      <c r="D68" s="12" t="s">
        <v>83</v>
      </c>
      <c r="E68" s="27">
        <f>E64/E63</f>
        <v>1.8223070398642918</v>
      </c>
    </row>
    <row r="69" spans="1:5" x14ac:dyDescent="0.2">
      <c r="A69" s="12">
        <v>29</v>
      </c>
      <c r="B69" s="13" t="s">
        <v>158</v>
      </c>
      <c r="C69" s="12" t="s">
        <v>159</v>
      </c>
      <c r="D69" s="12" t="s">
        <v>112</v>
      </c>
      <c r="E69" s="25">
        <f>E32/(E32-1)*E31*E67/1000</f>
        <v>75.805939999999978</v>
      </c>
    </row>
    <row r="70" spans="1:5" x14ac:dyDescent="0.2">
      <c r="A70" s="12">
        <v>30</v>
      </c>
      <c r="B70" s="13" t="s">
        <v>160</v>
      </c>
      <c r="C70" s="12" t="s">
        <v>161</v>
      </c>
      <c r="D70" s="12" t="s">
        <v>115</v>
      </c>
      <c r="E70" s="27">
        <f>E69*E37/60000</f>
        <v>5.3509333631995366</v>
      </c>
    </row>
    <row r="71" spans="1:5" x14ac:dyDescent="0.2">
      <c r="A71" s="12">
        <v>31</v>
      </c>
      <c r="B71" s="13" t="s">
        <v>162</v>
      </c>
      <c r="C71" s="12" t="s">
        <v>163</v>
      </c>
      <c r="D71" s="12" t="s">
        <v>83</v>
      </c>
      <c r="E71" s="27">
        <f>(LN(E68)/LN(1+E67/E65))*(E32-1)/E32</f>
        <v>0.77307533301430864</v>
      </c>
    </row>
    <row r="72" spans="1:5" x14ac:dyDescent="0.2">
      <c r="A72" s="12">
        <v>32</v>
      </c>
      <c r="B72" s="13" t="s">
        <v>164</v>
      </c>
      <c r="C72" s="12" t="s">
        <v>165</v>
      </c>
      <c r="D72" s="12" t="s">
        <v>120</v>
      </c>
      <c r="E72" s="27">
        <f>E63*1000/E31/E65</f>
        <v>4.5956175285102319</v>
      </c>
    </row>
    <row r="73" spans="1:5" x14ac:dyDescent="0.2">
      <c r="A73" s="12">
        <v>33</v>
      </c>
      <c r="B73" s="13" t="s">
        <v>166</v>
      </c>
      <c r="C73" s="12" t="s">
        <v>167</v>
      </c>
      <c r="D73" s="12" t="s">
        <v>123</v>
      </c>
      <c r="E73" s="26">
        <f>E37/E72</f>
        <v>921.5813520616997</v>
      </c>
    </row>
    <row r="74" spans="1:5" x14ac:dyDescent="0.2">
      <c r="A74" s="12">
        <v>34</v>
      </c>
      <c r="B74" s="13" t="s">
        <v>168</v>
      </c>
      <c r="C74" s="12" t="s">
        <v>169</v>
      </c>
      <c r="D74" s="12" t="s">
        <v>115</v>
      </c>
      <c r="E74" s="27">
        <f>E48+E59+E70</f>
        <v>18.083447238083128</v>
      </c>
    </row>
    <row r="76" spans="1:5" ht="15.75" x14ac:dyDescent="0.2">
      <c r="A76" s="8" t="s">
        <v>170</v>
      </c>
      <c r="B76" s="8"/>
      <c r="C76" s="8"/>
      <c r="D76" s="8"/>
      <c r="E76" s="8"/>
    </row>
    <row r="78" spans="1:5" x14ac:dyDescent="0.2">
      <c r="A78" s="12">
        <v>1</v>
      </c>
      <c r="B78" s="13" t="s">
        <v>171</v>
      </c>
      <c r="C78" s="12" t="s">
        <v>95</v>
      </c>
      <c r="D78" s="12" t="s">
        <v>96</v>
      </c>
      <c r="E78" s="26">
        <f>E37</f>
        <v>4235.2354154829063</v>
      </c>
    </row>
    <row r="79" spans="1:5" x14ac:dyDescent="0.2">
      <c r="A79" s="12">
        <v>2</v>
      </c>
      <c r="B79" s="13" t="s">
        <v>172</v>
      </c>
      <c r="C79" s="12" t="s">
        <v>173</v>
      </c>
      <c r="D79" s="12" t="s">
        <v>83</v>
      </c>
      <c r="E79" s="27">
        <f>(E15-E21)/(E12-E21)</f>
        <v>8.3056478405315604E-2</v>
      </c>
    </row>
    <row r="80" spans="1:5" x14ac:dyDescent="0.2">
      <c r="A80" s="12">
        <v>3</v>
      </c>
      <c r="B80" s="13" t="s">
        <v>174</v>
      </c>
      <c r="C80" s="12" t="s">
        <v>175</v>
      </c>
      <c r="D80" s="12" t="s">
        <v>9</v>
      </c>
      <c r="E80" s="25">
        <f>E10-E13</f>
        <v>9.0800000000000125</v>
      </c>
    </row>
    <row r="81" spans="1:10" x14ac:dyDescent="0.2">
      <c r="A81" s="12">
        <v>4</v>
      </c>
      <c r="B81" s="13" t="s">
        <v>176</v>
      </c>
      <c r="C81" s="12" t="s">
        <v>177</v>
      </c>
      <c r="D81" s="12" t="s">
        <v>120</v>
      </c>
      <c r="E81" s="27">
        <f>0.5*((E42*1000/E31/E44)+(E52*1000/E31/E54))</f>
        <v>2.3506548610835094</v>
      </c>
    </row>
    <row r="82" spans="1:10" x14ac:dyDescent="0.2">
      <c r="A82" s="12">
        <v>5</v>
      </c>
      <c r="B82" s="13" t="s">
        <v>178</v>
      </c>
      <c r="C82" s="12" t="s">
        <v>179</v>
      </c>
      <c r="D82" s="12" t="s">
        <v>180</v>
      </c>
      <c r="E82" s="25">
        <f>E81*E80</f>
        <v>21.343946138638294</v>
      </c>
    </row>
    <row r="83" spans="1:10" x14ac:dyDescent="0.2">
      <c r="A83" s="12">
        <v>6</v>
      </c>
      <c r="B83" s="13" t="s">
        <v>181</v>
      </c>
      <c r="C83" s="12" t="s">
        <v>182</v>
      </c>
      <c r="D83" s="12" t="s">
        <v>77</v>
      </c>
      <c r="E83" s="26">
        <f>E23-E21</f>
        <v>0.60000000000000142</v>
      </c>
    </row>
    <row r="84" spans="1:10" x14ac:dyDescent="0.2">
      <c r="A84" s="12">
        <v>7</v>
      </c>
      <c r="B84" s="13" t="s">
        <v>183</v>
      </c>
      <c r="C84" s="12" t="s">
        <v>184</v>
      </c>
      <c r="D84" s="12" t="s">
        <v>77</v>
      </c>
      <c r="E84" s="26">
        <f>E12-E15</f>
        <v>82.800000000000011</v>
      </c>
    </row>
    <row r="85" spans="1:10" ht="15.75" x14ac:dyDescent="0.2">
      <c r="A85" s="12">
        <v>8</v>
      </c>
      <c r="B85" s="13" t="s">
        <v>185</v>
      </c>
      <c r="C85" s="12" t="s">
        <v>186</v>
      </c>
      <c r="D85" s="12" t="s">
        <v>80</v>
      </c>
      <c r="E85" s="28">
        <v>1005</v>
      </c>
    </row>
    <row r="86" spans="1:10" ht="15.75" x14ac:dyDescent="0.2">
      <c r="A86" s="12">
        <v>9</v>
      </c>
      <c r="B86" s="13" t="s">
        <v>187</v>
      </c>
      <c r="C86" s="12" t="s">
        <v>188</v>
      </c>
      <c r="D86" s="12" t="s">
        <v>80</v>
      </c>
      <c r="E86" s="28">
        <v>4183</v>
      </c>
      <c r="J86" s="10"/>
    </row>
    <row r="87" spans="1:10" x14ac:dyDescent="0.2">
      <c r="A87" s="12">
        <v>10</v>
      </c>
      <c r="B87" s="13" t="s">
        <v>189</v>
      </c>
      <c r="C87" s="12" t="s">
        <v>190</v>
      </c>
      <c r="D87" s="12" t="s">
        <v>191</v>
      </c>
      <c r="E87" s="26">
        <f>E85*E78*E84/10^6</f>
        <v>352.43087986399468</v>
      </c>
      <c r="J87" s="10"/>
    </row>
    <row r="88" spans="1:10" x14ac:dyDescent="0.2">
      <c r="A88" s="12">
        <v>11</v>
      </c>
      <c r="B88" s="13" t="s">
        <v>192</v>
      </c>
      <c r="C88" s="12" t="s">
        <v>193</v>
      </c>
      <c r="D88" s="12" t="s">
        <v>194</v>
      </c>
      <c r="E88" s="26">
        <f>E87*10^6/E83/E86/10^3*60</f>
        <v>8425.3138863015502</v>
      </c>
      <c r="J88" s="10"/>
    </row>
    <row r="89" spans="1:10" x14ac:dyDescent="0.2">
      <c r="A89" s="12">
        <v>12</v>
      </c>
      <c r="B89" s="13" t="s">
        <v>195</v>
      </c>
      <c r="C89" s="12" t="s">
        <v>196</v>
      </c>
      <c r="D89" s="12" t="s">
        <v>83</v>
      </c>
      <c r="E89" s="27">
        <f>(E19-E22)/(E16-E22)</f>
        <v>-5.723370429252779E-2</v>
      </c>
      <c r="J89" s="10"/>
    </row>
    <row r="90" spans="1:10" x14ac:dyDescent="0.2">
      <c r="A90" s="12">
        <v>13</v>
      </c>
      <c r="B90" s="13" t="s">
        <v>197</v>
      </c>
      <c r="C90" s="12" t="s">
        <v>198</v>
      </c>
      <c r="D90" s="12" t="s">
        <v>9</v>
      </c>
      <c r="E90" s="25">
        <f>E14-E17</f>
        <v>5.0400000000000205</v>
      </c>
      <c r="J90" s="10"/>
    </row>
    <row r="91" spans="1:10" x14ac:dyDescent="0.2">
      <c r="A91" s="12">
        <v>14</v>
      </c>
      <c r="B91" s="13" t="s">
        <v>199</v>
      </c>
      <c r="C91" s="12" t="s">
        <v>200</v>
      </c>
      <c r="D91" s="12" t="s">
        <v>120</v>
      </c>
      <c r="E91" s="27">
        <f>0.5*((E53*1000/E31/E55)+(E63*1000/E31/E65))</f>
        <v>4.2051407193347465</v>
      </c>
      <c r="J91" s="10"/>
    </row>
    <row r="92" spans="1:10" x14ac:dyDescent="0.2">
      <c r="A92" s="12">
        <v>15</v>
      </c>
      <c r="B92" s="13" t="s">
        <v>201</v>
      </c>
      <c r="C92" s="12" t="s">
        <v>202</v>
      </c>
      <c r="D92" s="12" t="s">
        <v>180</v>
      </c>
      <c r="E92" s="25">
        <f>E91*E90</f>
        <v>21.193909225447207</v>
      </c>
      <c r="J92" s="10"/>
    </row>
    <row r="93" spans="1:10" x14ac:dyDescent="0.2">
      <c r="A93" s="12">
        <v>16</v>
      </c>
      <c r="B93" s="13" t="s">
        <v>203</v>
      </c>
      <c r="C93" s="12" t="s">
        <v>204</v>
      </c>
      <c r="D93" s="12" t="s">
        <v>77</v>
      </c>
      <c r="E93" s="26">
        <f>E24-E22</f>
        <v>-2.3999999999999986</v>
      </c>
      <c r="J93" s="10"/>
    </row>
    <row r="94" spans="1:10" x14ac:dyDescent="0.2">
      <c r="A94" s="12">
        <v>17</v>
      </c>
      <c r="B94" s="13" t="s">
        <v>205</v>
      </c>
      <c r="C94" s="12" t="s">
        <v>206</v>
      </c>
      <c r="D94" s="12" t="s">
        <v>77</v>
      </c>
      <c r="E94" s="26">
        <f>E16-E19</f>
        <v>66.5</v>
      </c>
      <c r="J94" s="10"/>
    </row>
    <row r="95" spans="1:10" x14ac:dyDescent="0.2">
      <c r="A95" s="12">
        <v>18</v>
      </c>
      <c r="B95" s="13" t="s">
        <v>207</v>
      </c>
      <c r="C95" s="12" t="s">
        <v>208</v>
      </c>
      <c r="D95" s="12" t="s">
        <v>191</v>
      </c>
      <c r="E95" s="26">
        <f>E85*E78*E94/10^6</f>
        <v>283.05137090526136</v>
      </c>
      <c r="J95" s="10"/>
    </row>
    <row r="96" spans="1:10" x14ac:dyDescent="0.2">
      <c r="A96" s="12">
        <v>19</v>
      </c>
      <c r="B96" s="13" t="s">
        <v>209</v>
      </c>
      <c r="C96" s="12" t="s">
        <v>210</v>
      </c>
      <c r="D96" s="12" t="s">
        <v>194</v>
      </c>
      <c r="E96" s="26">
        <f>E95*10^6/E93/E86/10^3*60</f>
        <v>-1691.6768521710585</v>
      </c>
      <c r="J96" s="10"/>
    </row>
    <row r="97" spans="1:22" s="9" customFormat="1" x14ac:dyDescent="0.2">
      <c r="J97" s="10"/>
    </row>
    <row r="98" spans="1:22" ht="15.75" x14ac:dyDescent="0.2">
      <c r="A98" s="8" t="s">
        <v>211</v>
      </c>
      <c r="B98" s="8"/>
      <c r="C98" s="8"/>
      <c r="D98" s="8"/>
      <c r="E98" s="8"/>
      <c r="J98" s="10"/>
    </row>
    <row r="99" spans="1:22" s="9" customFormat="1" x14ac:dyDescent="0.2"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ht="15.75" x14ac:dyDescent="0.2">
      <c r="A100" s="12">
        <v>1</v>
      </c>
      <c r="B100" s="13" t="s">
        <v>212</v>
      </c>
      <c r="C100" s="12" t="s">
        <v>213</v>
      </c>
      <c r="D100" s="12" t="s">
        <v>194</v>
      </c>
      <c r="E100" s="16">
        <v>62.59</v>
      </c>
      <c r="F100" s="9" t="s">
        <v>214</v>
      </c>
      <c r="G100" s="9" t="s">
        <v>215</v>
      </c>
      <c r="H100" s="29">
        <v>24.8</v>
      </c>
      <c r="I100" s="29">
        <v>28.8</v>
      </c>
      <c r="J100" s="29">
        <v>32.799999999999997</v>
      </c>
      <c r="K100" s="29">
        <v>36.700000000000003</v>
      </c>
      <c r="L100" s="29">
        <v>40.700000000000003</v>
      </c>
      <c r="M100" s="30">
        <v>44.7</v>
      </c>
      <c r="N100" s="29">
        <v>48.7</v>
      </c>
      <c r="O100" s="29">
        <v>52.7</v>
      </c>
      <c r="P100" s="29">
        <v>56.7</v>
      </c>
      <c r="Q100" s="29">
        <v>60.6</v>
      </c>
      <c r="R100" s="29">
        <v>64.599999999999994</v>
      </c>
      <c r="S100" s="29">
        <v>68.599999999999994</v>
      </c>
      <c r="T100" s="29">
        <v>72.599999999999994</v>
      </c>
      <c r="U100" s="29">
        <v>76.599999999999994</v>
      </c>
      <c r="V100" s="29">
        <v>81.900000000000006</v>
      </c>
    </row>
    <row r="101" spans="1:22" ht="15.75" x14ac:dyDescent="0.2">
      <c r="A101" s="12">
        <v>2</v>
      </c>
      <c r="B101" s="13" t="s">
        <v>216</v>
      </c>
      <c r="C101" s="12" t="s">
        <v>217</v>
      </c>
      <c r="D101" s="12" t="s">
        <v>218</v>
      </c>
      <c r="E101" s="16">
        <v>8.39</v>
      </c>
      <c r="F101" s="9" t="s">
        <v>219</v>
      </c>
      <c r="G101" s="9" t="s">
        <v>220</v>
      </c>
      <c r="H101" s="31">
        <v>8.3000000000000007</v>
      </c>
      <c r="I101" s="31">
        <v>8.3800000000000008</v>
      </c>
      <c r="J101" s="32">
        <v>8.4700000000000006</v>
      </c>
      <c r="K101" s="31">
        <v>8.5500000000000007</v>
      </c>
      <c r="L101" s="31">
        <v>8.64</v>
      </c>
      <c r="M101" s="31">
        <v>8.7200000000000006</v>
      </c>
      <c r="N101" s="31">
        <v>8.81</v>
      </c>
      <c r="O101" s="31">
        <v>8.89</v>
      </c>
      <c r="P101" s="31">
        <v>8.98</v>
      </c>
      <c r="Q101" s="31">
        <v>9.06</v>
      </c>
      <c r="R101" s="31">
        <v>9.15</v>
      </c>
      <c r="S101" s="31">
        <v>9.23</v>
      </c>
      <c r="T101" s="31">
        <v>9.32</v>
      </c>
      <c r="U101" s="31">
        <v>9.4</v>
      </c>
      <c r="V101" s="31">
        <v>9.5</v>
      </c>
    </row>
    <row r="102" spans="1:22" ht="15.75" x14ac:dyDescent="0.2">
      <c r="A102" s="12">
        <v>3</v>
      </c>
      <c r="B102" s="13" t="s">
        <v>221</v>
      </c>
      <c r="C102" s="12" t="s">
        <v>222</v>
      </c>
      <c r="D102" s="12" t="s">
        <v>19</v>
      </c>
      <c r="E102" s="28">
        <v>507.8</v>
      </c>
      <c r="G102" s="9" t="s">
        <v>223</v>
      </c>
      <c r="H102" s="31">
        <v>480</v>
      </c>
      <c r="I102" s="31">
        <v>481.8</v>
      </c>
      <c r="J102" s="31">
        <v>483.6</v>
      </c>
      <c r="K102" s="31">
        <v>485.4</v>
      </c>
      <c r="L102" s="31">
        <v>487.1</v>
      </c>
      <c r="M102" s="31">
        <v>488.9</v>
      </c>
      <c r="N102" s="31">
        <v>490.7</v>
      </c>
      <c r="O102" s="31">
        <v>492.5</v>
      </c>
      <c r="P102" s="31">
        <v>494.3</v>
      </c>
      <c r="Q102" s="31">
        <v>496.1</v>
      </c>
      <c r="R102" s="31">
        <v>497.9</v>
      </c>
      <c r="S102" s="31">
        <v>499.6</v>
      </c>
      <c r="T102" s="31">
        <v>501.4</v>
      </c>
      <c r="U102" s="31">
        <v>503.2</v>
      </c>
      <c r="V102" s="31">
        <v>505</v>
      </c>
    </row>
    <row r="103" spans="1:22" ht="15.75" x14ac:dyDescent="0.2">
      <c r="A103" s="12">
        <v>4</v>
      </c>
      <c r="B103" s="13" t="s">
        <v>224</v>
      </c>
      <c r="C103" s="33" t="s">
        <v>225</v>
      </c>
      <c r="D103" s="12" t="s">
        <v>115</v>
      </c>
      <c r="E103" s="23">
        <v>0.2</v>
      </c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ht="15.75" x14ac:dyDescent="0.2">
      <c r="A104" s="12">
        <v>5</v>
      </c>
      <c r="B104" s="13" t="s">
        <v>226</v>
      </c>
      <c r="C104" s="12" t="s">
        <v>227</v>
      </c>
      <c r="D104" s="12" t="s">
        <v>115</v>
      </c>
      <c r="E104" s="22">
        <f>TREND(H104:V104,H100:V100,E100)</f>
        <v>17.437062234963953</v>
      </c>
      <c r="G104" s="9" t="s">
        <v>228</v>
      </c>
      <c r="H104" s="34">
        <v>6.5</v>
      </c>
      <c r="I104" s="34">
        <v>7.7</v>
      </c>
      <c r="J104" s="34">
        <v>8.8000000000000007</v>
      </c>
      <c r="K104" s="34">
        <v>10</v>
      </c>
      <c r="L104" s="34">
        <v>11.1</v>
      </c>
      <c r="M104" s="35">
        <v>12.3</v>
      </c>
      <c r="N104" s="34">
        <v>13.4</v>
      </c>
      <c r="O104" s="34">
        <v>14.6</v>
      </c>
      <c r="P104" s="34">
        <v>15.7</v>
      </c>
      <c r="Q104" s="34">
        <v>16.899999999999999</v>
      </c>
      <c r="R104" s="34">
        <v>18</v>
      </c>
      <c r="S104" s="34">
        <v>19.2</v>
      </c>
      <c r="T104" s="34">
        <v>20.3</v>
      </c>
      <c r="U104" s="34">
        <v>21.5</v>
      </c>
      <c r="V104" s="34">
        <v>23</v>
      </c>
    </row>
    <row r="105" spans="1:22" ht="15.75" x14ac:dyDescent="0.2">
      <c r="A105" s="12">
        <v>6</v>
      </c>
      <c r="B105" s="13" t="s">
        <v>229</v>
      </c>
      <c r="C105" s="12" t="s">
        <v>230</v>
      </c>
      <c r="D105" s="12" t="s">
        <v>218</v>
      </c>
      <c r="E105" s="22">
        <f>TREND(H105:V105,H101:V101,E101)</f>
        <v>1.0029169020866773</v>
      </c>
      <c r="G105" s="9" t="s">
        <v>230</v>
      </c>
      <c r="H105" s="34">
        <v>1.0035000000000001</v>
      </c>
      <c r="I105" s="34">
        <v>1.0029999999999999</v>
      </c>
      <c r="J105" s="34">
        <v>1.0024</v>
      </c>
      <c r="K105" s="34">
        <v>1.0018</v>
      </c>
      <c r="L105" s="34">
        <v>1.0013000000000001</v>
      </c>
      <c r="M105" s="34">
        <v>1.0006999999999999</v>
      </c>
      <c r="N105" s="34">
        <v>1.0001</v>
      </c>
      <c r="O105" s="34">
        <v>0.99960000000000004</v>
      </c>
      <c r="P105" s="34">
        <v>0.999</v>
      </c>
      <c r="Q105" s="34">
        <v>0.99839999999999995</v>
      </c>
      <c r="R105" s="34">
        <v>0.99790000000000001</v>
      </c>
      <c r="S105" s="34">
        <v>0.99729999999999996</v>
      </c>
      <c r="T105" s="34">
        <v>0.99670000000000003</v>
      </c>
      <c r="U105" s="34">
        <v>0.99619999999999997</v>
      </c>
      <c r="V105" s="34">
        <v>0.99550000000000005</v>
      </c>
    </row>
    <row r="106" spans="1:22" ht="15.75" x14ac:dyDescent="0.2">
      <c r="A106" s="12">
        <v>7</v>
      </c>
      <c r="B106" s="13" t="s">
        <v>231</v>
      </c>
      <c r="C106" s="12" t="s">
        <v>232</v>
      </c>
      <c r="D106" s="12" t="s">
        <v>19</v>
      </c>
      <c r="E106" s="22">
        <f>TREND(H106:V106,H102:V102,E102)</f>
        <v>0.98448372812528018</v>
      </c>
      <c r="G106" s="9" t="s">
        <v>232</v>
      </c>
      <c r="H106" s="34">
        <v>1.0184</v>
      </c>
      <c r="I106" s="34">
        <v>1.0162</v>
      </c>
      <c r="J106" s="34">
        <v>1.014</v>
      </c>
      <c r="K106" s="34">
        <v>1.0118</v>
      </c>
      <c r="L106" s="34">
        <v>1.0097</v>
      </c>
      <c r="M106" s="34">
        <v>1.0075000000000001</v>
      </c>
      <c r="N106" s="34">
        <v>1.0053000000000001</v>
      </c>
      <c r="O106" s="34">
        <v>1.0031000000000001</v>
      </c>
      <c r="P106" s="34">
        <v>1.0009999999999999</v>
      </c>
      <c r="Q106" s="34">
        <v>0.99880000000000002</v>
      </c>
      <c r="R106" s="34">
        <v>0.99660000000000004</v>
      </c>
      <c r="S106" s="34">
        <v>0.99439999999999995</v>
      </c>
      <c r="T106" s="34">
        <v>0.99229999999999996</v>
      </c>
      <c r="U106" s="34">
        <v>0.99009999999999998</v>
      </c>
      <c r="V106" s="34">
        <v>0.9879</v>
      </c>
    </row>
    <row r="107" spans="1:22" x14ac:dyDescent="0.2">
      <c r="A107" s="12">
        <v>8</v>
      </c>
      <c r="B107" s="13" t="s">
        <v>233</v>
      </c>
      <c r="C107" s="12" t="s">
        <v>234</v>
      </c>
      <c r="D107" s="12" t="s">
        <v>115</v>
      </c>
      <c r="E107" s="22">
        <f>E104/E105/E106</f>
        <v>17.660371079395134</v>
      </c>
    </row>
    <row r="108" spans="1:22" x14ac:dyDescent="0.2">
      <c r="A108" s="12">
        <v>9</v>
      </c>
      <c r="B108" s="13" t="s">
        <v>235</v>
      </c>
      <c r="C108" s="12" t="s">
        <v>236</v>
      </c>
      <c r="D108" s="12" t="s">
        <v>115</v>
      </c>
      <c r="E108" s="22">
        <f>E74+E103*(E25/3000)^2</f>
        <v>18.306192926972017</v>
      </c>
    </row>
    <row r="109" spans="1:22" ht="15.75" x14ac:dyDescent="0.2">
      <c r="A109" s="12">
        <v>10</v>
      </c>
      <c r="B109" s="13" t="s">
        <v>237</v>
      </c>
      <c r="C109" s="33" t="s">
        <v>238</v>
      </c>
      <c r="D109" s="12" t="s">
        <v>115</v>
      </c>
      <c r="E109" s="22">
        <f>E107-E108</f>
        <v>-0.6458218475768831</v>
      </c>
    </row>
    <row r="111" spans="1:22" ht="15.75" x14ac:dyDescent="0.2">
      <c r="A111" s="8" t="s">
        <v>239</v>
      </c>
      <c r="B111" s="8"/>
      <c r="C111" s="8"/>
      <c r="D111" s="8"/>
      <c r="E111" s="8"/>
      <c r="J111" s="10"/>
    </row>
    <row r="112" spans="1:22" x14ac:dyDescent="0.2">
      <c r="J112" s="10"/>
    </row>
    <row r="113" spans="1:19" x14ac:dyDescent="0.2">
      <c r="A113" s="12"/>
      <c r="B113" s="13" t="s">
        <v>240</v>
      </c>
      <c r="C113" s="12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ht="15.75" x14ac:dyDescent="0.2">
      <c r="A114" s="12">
        <v>1</v>
      </c>
      <c r="B114" s="13" t="s">
        <v>78</v>
      </c>
      <c r="C114" s="12" t="s">
        <v>241</v>
      </c>
      <c r="D114" s="12" t="s">
        <v>80</v>
      </c>
      <c r="E114" s="28">
        <v>288.39999999999998</v>
      </c>
      <c r="F114" s="28">
        <v>288.39999999999998</v>
      </c>
      <c r="G114" s="28">
        <v>288.39999999999998</v>
      </c>
      <c r="H114" s="28">
        <v>288.39999999999998</v>
      </c>
      <c r="I114" s="28">
        <v>288.39999999999998</v>
      </c>
      <c r="J114" s="28">
        <v>288.39999999999998</v>
      </c>
      <c r="K114" s="28">
        <v>288.39999999999998</v>
      </c>
      <c r="L114" s="28">
        <v>288.39999999999998</v>
      </c>
      <c r="M114" s="28">
        <v>288.39999999999998</v>
      </c>
      <c r="N114" s="28">
        <v>288.39999999999998</v>
      </c>
      <c r="O114" s="28">
        <v>288.39999999999998</v>
      </c>
      <c r="P114" s="28">
        <v>288.39999999999998</v>
      </c>
      <c r="Q114" s="28">
        <v>288.39999999999998</v>
      </c>
      <c r="R114" s="28">
        <v>288.39999999999998</v>
      </c>
      <c r="S114" s="28">
        <v>288.39999999999998</v>
      </c>
    </row>
    <row r="115" spans="1:19" ht="15.75" x14ac:dyDescent="0.2">
      <c r="A115" s="12">
        <v>2</v>
      </c>
      <c r="B115" s="13" t="s">
        <v>81</v>
      </c>
      <c r="C115" s="12" t="s">
        <v>242</v>
      </c>
      <c r="D115" s="12" t="s">
        <v>83</v>
      </c>
      <c r="E115" s="28">
        <v>1.4</v>
      </c>
      <c r="F115" s="28">
        <v>1.4</v>
      </c>
      <c r="G115" s="28">
        <v>1.4</v>
      </c>
      <c r="H115" s="28">
        <v>1.4</v>
      </c>
      <c r="I115" s="28">
        <v>1.4</v>
      </c>
      <c r="J115" s="28">
        <v>1.4</v>
      </c>
      <c r="K115" s="28">
        <v>1.4</v>
      </c>
      <c r="L115" s="28">
        <v>1.4</v>
      </c>
      <c r="M115" s="28">
        <v>1.4</v>
      </c>
      <c r="N115" s="28">
        <v>1.4</v>
      </c>
      <c r="O115" s="28">
        <v>1.4</v>
      </c>
      <c r="P115" s="28">
        <v>1.4</v>
      </c>
      <c r="Q115" s="28">
        <v>1.4</v>
      </c>
      <c r="R115" s="28">
        <v>1.4</v>
      </c>
      <c r="S115" s="28">
        <v>1.4</v>
      </c>
    </row>
    <row r="116" spans="1:19" ht="15.75" x14ac:dyDescent="0.2">
      <c r="A116" s="12">
        <v>3</v>
      </c>
      <c r="B116" s="13" t="s">
        <v>243</v>
      </c>
      <c r="C116" s="12" t="s">
        <v>244</v>
      </c>
      <c r="D116" s="12" t="s">
        <v>19</v>
      </c>
      <c r="E116" s="28">
        <v>20</v>
      </c>
      <c r="F116" s="28">
        <v>20</v>
      </c>
      <c r="G116" s="28">
        <v>20</v>
      </c>
      <c r="H116" s="28">
        <v>20</v>
      </c>
      <c r="I116" s="28">
        <v>20</v>
      </c>
      <c r="J116" s="28">
        <v>20</v>
      </c>
      <c r="K116" s="28">
        <v>20</v>
      </c>
      <c r="L116" s="28">
        <v>20</v>
      </c>
      <c r="M116" s="28">
        <v>20</v>
      </c>
      <c r="N116" s="28">
        <v>20</v>
      </c>
      <c r="O116" s="28">
        <v>20</v>
      </c>
      <c r="P116" s="28">
        <v>20</v>
      </c>
      <c r="Q116" s="28">
        <v>20</v>
      </c>
      <c r="R116" s="28">
        <v>20</v>
      </c>
      <c r="S116" s="28">
        <v>20</v>
      </c>
    </row>
    <row r="117" spans="1:19" ht="15.75" x14ac:dyDescent="0.2">
      <c r="A117" s="12">
        <v>4</v>
      </c>
      <c r="B117" s="13" t="s">
        <v>245</v>
      </c>
      <c r="C117" s="12" t="s">
        <v>246</v>
      </c>
      <c r="D117" s="12" t="s">
        <v>71</v>
      </c>
      <c r="E117" s="36">
        <v>3000</v>
      </c>
      <c r="F117" s="36">
        <v>3000</v>
      </c>
      <c r="G117" s="36">
        <v>3000</v>
      </c>
      <c r="H117" s="36">
        <v>3000</v>
      </c>
      <c r="I117" s="36">
        <v>3000</v>
      </c>
      <c r="J117" s="36">
        <v>3000</v>
      </c>
      <c r="K117" s="36">
        <v>3000</v>
      </c>
      <c r="L117" s="36">
        <v>3000</v>
      </c>
      <c r="M117" s="36">
        <v>3000</v>
      </c>
      <c r="N117" s="36">
        <v>3000</v>
      </c>
      <c r="O117" s="36">
        <v>3000</v>
      </c>
      <c r="P117" s="36">
        <v>3000</v>
      </c>
      <c r="Q117" s="36">
        <v>3000</v>
      </c>
      <c r="R117" s="36">
        <v>3000</v>
      </c>
      <c r="S117" s="36">
        <v>3000</v>
      </c>
    </row>
    <row r="118" spans="1:19" ht="15.75" x14ac:dyDescent="0.2">
      <c r="A118" s="12">
        <v>5</v>
      </c>
      <c r="B118" s="13" t="s">
        <v>247</v>
      </c>
      <c r="C118" s="12" t="s">
        <v>248</v>
      </c>
      <c r="D118" s="12" t="s">
        <v>123</v>
      </c>
      <c r="E118" s="28">
        <v>1950</v>
      </c>
      <c r="F118" s="28">
        <v>2032.1</v>
      </c>
      <c r="G118" s="28">
        <v>2114.3000000000002</v>
      </c>
      <c r="H118" s="28">
        <v>2196.4</v>
      </c>
      <c r="I118" s="28">
        <v>2278.6</v>
      </c>
      <c r="J118" s="28">
        <v>2360.6999999999998</v>
      </c>
      <c r="K118" s="28">
        <v>2442.9</v>
      </c>
      <c r="L118" s="28">
        <v>2525</v>
      </c>
      <c r="M118" s="28">
        <v>2607.1</v>
      </c>
      <c r="N118" s="28">
        <v>2689.3</v>
      </c>
      <c r="O118" s="28">
        <v>2771.4</v>
      </c>
      <c r="P118" s="28">
        <v>2853.6</v>
      </c>
      <c r="Q118" s="28">
        <v>2935.7</v>
      </c>
      <c r="R118" s="28">
        <v>3017.9</v>
      </c>
      <c r="S118" s="28">
        <v>3100</v>
      </c>
    </row>
    <row r="119" spans="1:19" ht="15.75" x14ac:dyDescent="0.2">
      <c r="A119" s="12">
        <v>6</v>
      </c>
      <c r="B119" s="13" t="s">
        <v>249</v>
      </c>
      <c r="C119" s="12" t="s">
        <v>250</v>
      </c>
      <c r="D119" s="12" t="s">
        <v>77</v>
      </c>
      <c r="E119" s="28">
        <v>95.4</v>
      </c>
      <c r="F119" s="28">
        <v>94.6</v>
      </c>
      <c r="G119" s="28">
        <v>93.7</v>
      </c>
      <c r="H119" s="28">
        <v>92.8</v>
      </c>
      <c r="I119" s="28">
        <v>92</v>
      </c>
      <c r="J119" s="28">
        <v>91.1</v>
      </c>
      <c r="K119" s="28">
        <v>90.3</v>
      </c>
      <c r="L119" s="28">
        <v>89.4</v>
      </c>
      <c r="M119" s="28">
        <v>88.5</v>
      </c>
      <c r="N119" s="28">
        <v>87.7</v>
      </c>
      <c r="O119" s="28">
        <v>86.8</v>
      </c>
      <c r="P119" s="28">
        <v>86</v>
      </c>
      <c r="Q119" s="28">
        <v>85.1</v>
      </c>
      <c r="R119" s="28">
        <v>84.3</v>
      </c>
      <c r="S119" s="28">
        <v>83.4</v>
      </c>
    </row>
    <row r="120" spans="1:19" ht="15.75" x14ac:dyDescent="0.2">
      <c r="A120" s="12">
        <v>7</v>
      </c>
      <c r="B120" s="13" t="s">
        <v>251</v>
      </c>
      <c r="C120" s="12" t="s">
        <v>252</v>
      </c>
      <c r="D120" s="12" t="s">
        <v>83</v>
      </c>
      <c r="E120" s="23">
        <v>0.81759999999999999</v>
      </c>
      <c r="F120" s="23">
        <v>0.8236</v>
      </c>
      <c r="G120" s="23">
        <v>0.82740000000000002</v>
      </c>
      <c r="H120" s="23">
        <v>0.83079999999999998</v>
      </c>
      <c r="I120" s="23">
        <v>0.83450000000000002</v>
      </c>
      <c r="J120" s="23">
        <v>0.83809999999999996</v>
      </c>
      <c r="K120" s="23">
        <v>0.84130000000000005</v>
      </c>
      <c r="L120" s="23">
        <v>0.84340000000000004</v>
      </c>
      <c r="M120" s="23">
        <v>0.84430000000000005</v>
      </c>
      <c r="N120" s="23">
        <v>0.84379999999999999</v>
      </c>
      <c r="O120" s="23">
        <v>0.84199999999999997</v>
      </c>
      <c r="P120" s="23">
        <v>0.83930000000000005</v>
      </c>
      <c r="Q120" s="23">
        <v>0.8357</v>
      </c>
      <c r="R120" s="23">
        <v>0.83040000000000003</v>
      </c>
      <c r="S120" s="23">
        <v>0.82169999999999999</v>
      </c>
    </row>
    <row r="121" spans="1:19" ht="15.75" x14ac:dyDescent="0.2">
      <c r="A121" s="12">
        <v>8</v>
      </c>
      <c r="B121" s="13" t="s">
        <v>253</v>
      </c>
      <c r="C121" s="12" t="s">
        <v>254</v>
      </c>
      <c r="D121" s="12" t="s">
        <v>83</v>
      </c>
      <c r="E121" s="23">
        <v>2.2389999999999999</v>
      </c>
      <c r="F121" s="23">
        <v>2.238</v>
      </c>
      <c r="G121" s="23">
        <v>2.2320000000000002</v>
      </c>
      <c r="H121" s="23">
        <v>2.2250000000000001</v>
      </c>
      <c r="I121" s="23">
        <v>2.2189999999999999</v>
      </c>
      <c r="J121" s="23">
        <v>2.2120000000000002</v>
      </c>
      <c r="K121" s="23">
        <v>2.2040000000000002</v>
      </c>
      <c r="L121" s="23">
        <v>2.194</v>
      </c>
      <c r="M121" s="23">
        <v>2.181</v>
      </c>
      <c r="N121" s="23">
        <v>2.1659999999999999</v>
      </c>
      <c r="O121" s="23">
        <v>2.1480000000000001</v>
      </c>
      <c r="P121" s="23">
        <v>2.129</v>
      </c>
      <c r="Q121" s="23">
        <v>2.1080000000000001</v>
      </c>
      <c r="R121" s="23">
        <v>2.0840000000000001</v>
      </c>
      <c r="S121" s="23">
        <v>2.0539999999999998</v>
      </c>
    </row>
    <row r="122" spans="1:19" x14ac:dyDescent="0.2">
      <c r="A122" s="12"/>
      <c r="B122" s="13" t="s">
        <v>255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5.75" x14ac:dyDescent="0.2">
      <c r="A123" s="12">
        <v>1</v>
      </c>
      <c r="B123" s="13" t="s">
        <v>78</v>
      </c>
      <c r="C123" s="12" t="s">
        <v>256</v>
      </c>
      <c r="D123" s="12" t="s">
        <v>80</v>
      </c>
      <c r="E123" s="28">
        <v>288.39999999999998</v>
      </c>
      <c r="F123" s="28">
        <v>288.39999999999998</v>
      </c>
      <c r="G123" s="28">
        <v>288.39999999999998</v>
      </c>
      <c r="H123" s="28">
        <v>288.39999999999998</v>
      </c>
      <c r="I123" s="28">
        <v>288.39999999999998</v>
      </c>
      <c r="J123" s="28">
        <v>288.39999999999998</v>
      </c>
      <c r="K123" s="28">
        <v>288.39999999999998</v>
      </c>
      <c r="L123" s="28">
        <v>288.39999999999998</v>
      </c>
      <c r="M123" s="28">
        <v>288.39999999999998</v>
      </c>
      <c r="N123" s="28">
        <v>288.39999999999998</v>
      </c>
      <c r="O123" s="28">
        <v>288.39999999999998</v>
      </c>
      <c r="P123" s="28">
        <v>288.39999999999998</v>
      </c>
      <c r="Q123" s="28">
        <v>288.39999999999998</v>
      </c>
      <c r="R123" s="28">
        <v>288.39999999999998</v>
      </c>
      <c r="S123" s="28">
        <v>288.39999999999998</v>
      </c>
    </row>
    <row r="124" spans="1:19" ht="15.75" x14ac:dyDescent="0.2">
      <c r="A124" s="12">
        <v>2</v>
      </c>
      <c r="B124" s="13" t="s">
        <v>81</v>
      </c>
      <c r="C124" s="12" t="s">
        <v>257</v>
      </c>
      <c r="D124" s="12" t="s">
        <v>83</v>
      </c>
      <c r="E124" s="28">
        <v>1.4</v>
      </c>
      <c r="F124" s="28">
        <v>1.4</v>
      </c>
      <c r="G124" s="28">
        <v>1.4</v>
      </c>
      <c r="H124" s="28">
        <v>1.4</v>
      </c>
      <c r="I124" s="28">
        <v>1.4</v>
      </c>
      <c r="J124" s="28">
        <v>1.4</v>
      </c>
      <c r="K124" s="28">
        <v>1.4</v>
      </c>
      <c r="L124" s="28">
        <v>1.4</v>
      </c>
      <c r="M124" s="28">
        <v>1.4</v>
      </c>
      <c r="N124" s="28">
        <v>1.4</v>
      </c>
      <c r="O124" s="28">
        <v>1.4</v>
      </c>
      <c r="P124" s="28">
        <v>1.4</v>
      </c>
      <c r="Q124" s="28">
        <v>1.4</v>
      </c>
      <c r="R124" s="28">
        <v>1.4</v>
      </c>
      <c r="S124" s="28">
        <v>1.4</v>
      </c>
    </row>
    <row r="125" spans="1:19" ht="15.75" x14ac:dyDescent="0.2">
      <c r="A125" s="12">
        <v>3</v>
      </c>
      <c r="B125" s="13" t="s">
        <v>243</v>
      </c>
      <c r="C125" s="12" t="s">
        <v>258</v>
      </c>
      <c r="D125" s="12" t="s">
        <v>19</v>
      </c>
      <c r="E125" s="28">
        <v>42</v>
      </c>
      <c r="F125" s="28">
        <v>42</v>
      </c>
      <c r="G125" s="28">
        <v>42</v>
      </c>
      <c r="H125" s="28">
        <v>42</v>
      </c>
      <c r="I125" s="28">
        <v>42</v>
      </c>
      <c r="J125" s="28">
        <v>42</v>
      </c>
      <c r="K125" s="28">
        <v>42</v>
      </c>
      <c r="L125" s="28">
        <v>42</v>
      </c>
      <c r="M125" s="28">
        <v>42</v>
      </c>
      <c r="N125" s="28">
        <v>42</v>
      </c>
      <c r="O125" s="28">
        <v>42</v>
      </c>
      <c r="P125" s="28">
        <v>42</v>
      </c>
      <c r="Q125" s="28">
        <v>42</v>
      </c>
      <c r="R125" s="28">
        <v>42</v>
      </c>
      <c r="S125" s="28">
        <v>42</v>
      </c>
    </row>
    <row r="126" spans="1:19" ht="15.75" x14ac:dyDescent="0.2">
      <c r="A126" s="12">
        <v>4</v>
      </c>
      <c r="B126" s="13" t="s">
        <v>245</v>
      </c>
      <c r="C126" s="12" t="s">
        <v>259</v>
      </c>
      <c r="D126" s="12" t="s">
        <v>71</v>
      </c>
      <c r="E126" s="36">
        <v>3000</v>
      </c>
      <c r="F126" s="36">
        <v>3000</v>
      </c>
      <c r="G126" s="36">
        <v>3000</v>
      </c>
      <c r="H126" s="36">
        <v>3000</v>
      </c>
      <c r="I126" s="36">
        <v>3000</v>
      </c>
      <c r="J126" s="36">
        <v>3000</v>
      </c>
      <c r="K126" s="36">
        <v>3000</v>
      </c>
      <c r="L126" s="36">
        <v>3000</v>
      </c>
      <c r="M126" s="36">
        <v>3000</v>
      </c>
      <c r="N126" s="36">
        <v>3000</v>
      </c>
      <c r="O126" s="36">
        <v>3000</v>
      </c>
      <c r="P126" s="36">
        <v>3000</v>
      </c>
      <c r="Q126" s="36">
        <v>3000</v>
      </c>
      <c r="R126" s="36">
        <v>3000</v>
      </c>
      <c r="S126" s="36">
        <v>3000</v>
      </c>
    </row>
    <row r="127" spans="1:19" ht="15.75" x14ac:dyDescent="0.2">
      <c r="A127" s="12">
        <v>5</v>
      </c>
      <c r="B127" s="13" t="s">
        <v>247</v>
      </c>
      <c r="C127" s="12" t="s">
        <v>260</v>
      </c>
      <c r="D127" s="12" t="s">
        <v>123</v>
      </c>
      <c r="E127" s="28">
        <v>800</v>
      </c>
      <c r="F127" s="28">
        <v>875</v>
      </c>
      <c r="G127" s="28">
        <v>950</v>
      </c>
      <c r="H127" s="28">
        <v>1025</v>
      </c>
      <c r="I127" s="28">
        <v>1100</v>
      </c>
      <c r="J127" s="28">
        <v>1175</v>
      </c>
      <c r="K127" s="28">
        <v>1250</v>
      </c>
      <c r="L127" s="28">
        <v>1325</v>
      </c>
      <c r="M127" s="28">
        <v>1400</v>
      </c>
      <c r="N127" s="28">
        <v>1475</v>
      </c>
      <c r="O127" s="28">
        <v>1550</v>
      </c>
      <c r="P127" s="28">
        <v>1625</v>
      </c>
      <c r="Q127" s="28">
        <v>1700</v>
      </c>
      <c r="R127" s="28">
        <v>1775</v>
      </c>
      <c r="S127" s="28">
        <v>1850</v>
      </c>
    </row>
    <row r="128" spans="1:19" ht="15.75" x14ac:dyDescent="0.2">
      <c r="A128" s="12">
        <v>6</v>
      </c>
      <c r="B128" s="13" t="s">
        <v>249</v>
      </c>
      <c r="C128" s="12" t="s">
        <v>261</v>
      </c>
      <c r="D128" s="12" t="s">
        <v>77</v>
      </c>
      <c r="E128" s="28">
        <v>69</v>
      </c>
      <c r="F128" s="28">
        <v>67.900000000000006</v>
      </c>
      <c r="G128" s="28">
        <v>66.8</v>
      </c>
      <c r="H128" s="28">
        <v>65.7</v>
      </c>
      <c r="I128" s="28">
        <v>64.599999999999994</v>
      </c>
      <c r="J128" s="28">
        <v>63.5</v>
      </c>
      <c r="K128" s="28">
        <v>62.5</v>
      </c>
      <c r="L128" s="28">
        <v>61.4</v>
      </c>
      <c r="M128" s="28">
        <v>60.3</v>
      </c>
      <c r="N128" s="28">
        <v>59.2</v>
      </c>
      <c r="O128" s="28">
        <v>58.1</v>
      </c>
      <c r="P128" s="28">
        <v>57</v>
      </c>
      <c r="Q128" s="28">
        <v>55.9</v>
      </c>
      <c r="R128" s="28">
        <v>54.8</v>
      </c>
      <c r="S128" s="28">
        <v>53.7</v>
      </c>
    </row>
    <row r="129" spans="1:19" ht="15.75" x14ac:dyDescent="0.2">
      <c r="A129" s="12">
        <v>7</v>
      </c>
      <c r="B129" s="13" t="s">
        <v>251</v>
      </c>
      <c r="C129" s="12" t="s">
        <v>262</v>
      </c>
      <c r="D129" s="12" t="s">
        <v>83</v>
      </c>
      <c r="E129" s="23">
        <v>0.7752</v>
      </c>
      <c r="F129" s="23">
        <v>0.78849999999999998</v>
      </c>
      <c r="G129" s="23">
        <v>0.80100000000000005</v>
      </c>
      <c r="H129" s="23">
        <v>0.81210000000000004</v>
      </c>
      <c r="I129" s="23">
        <v>0.82169999999999999</v>
      </c>
      <c r="J129" s="23">
        <v>0.82909999999999995</v>
      </c>
      <c r="K129" s="23">
        <v>0.83420000000000005</v>
      </c>
      <c r="L129" s="23">
        <v>0.83630000000000004</v>
      </c>
      <c r="M129" s="23">
        <v>0.83489999999999998</v>
      </c>
      <c r="N129" s="23">
        <v>0.82930000000000004</v>
      </c>
      <c r="O129" s="23">
        <v>0.81820000000000004</v>
      </c>
      <c r="P129" s="23">
        <v>0.79990000000000006</v>
      </c>
      <c r="Q129" s="23">
        <v>0.77210000000000001</v>
      </c>
      <c r="R129" s="23">
        <v>0.73129999999999995</v>
      </c>
      <c r="S129" s="23">
        <v>0.67330000000000001</v>
      </c>
    </row>
    <row r="130" spans="1:19" ht="15.75" x14ac:dyDescent="0.2">
      <c r="A130" s="12">
        <v>8</v>
      </c>
      <c r="B130" s="13" t="s">
        <v>253</v>
      </c>
      <c r="C130" s="12" t="s">
        <v>263</v>
      </c>
      <c r="D130" s="12" t="s">
        <v>83</v>
      </c>
      <c r="E130" s="23">
        <v>1.7110000000000001</v>
      </c>
      <c r="F130" s="23">
        <v>1.714</v>
      </c>
      <c r="G130" s="23">
        <v>1.714</v>
      </c>
      <c r="H130" s="23">
        <v>1.7130000000000001</v>
      </c>
      <c r="I130" s="23">
        <v>1.71</v>
      </c>
      <c r="J130" s="23">
        <v>1.704</v>
      </c>
      <c r="K130" s="23">
        <v>1.6950000000000001</v>
      </c>
      <c r="L130" s="23">
        <v>1.6830000000000001</v>
      </c>
      <c r="M130" s="23">
        <v>1.6679999999999999</v>
      </c>
      <c r="N130" s="23">
        <v>1.6479999999999999</v>
      </c>
      <c r="O130" s="23">
        <v>1.623</v>
      </c>
      <c r="P130" s="23">
        <v>1.593</v>
      </c>
      <c r="Q130" s="23">
        <v>1.5549999999999999</v>
      </c>
      <c r="R130" s="23">
        <v>1.5069999999999999</v>
      </c>
      <c r="S130" s="23">
        <v>1.4490000000000001</v>
      </c>
    </row>
    <row r="131" spans="1:19" x14ac:dyDescent="0.2">
      <c r="A131" s="12"/>
      <c r="B131" s="13" t="s">
        <v>264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ht="15.75" x14ac:dyDescent="0.2">
      <c r="A132" s="12">
        <v>1</v>
      </c>
      <c r="B132" s="13" t="s">
        <v>78</v>
      </c>
      <c r="C132" s="12" t="s">
        <v>265</v>
      </c>
      <c r="D132" s="12" t="s">
        <v>80</v>
      </c>
      <c r="E132" s="28">
        <v>288.39999999999998</v>
      </c>
      <c r="F132" s="28">
        <v>288.39999999999998</v>
      </c>
      <c r="G132" s="28">
        <v>288.39999999999998</v>
      </c>
      <c r="H132" s="28">
        <v>288.39999999999998</v>
      </c>
      <c r="I132" s="28">
        <v>288.39999999999998</v>
      </c>
      <c r="J132" s="28">
        <v>288.39999999999998</v>
      </c>
      <c r="K132" s="28">
        <v>288.39999999999998</v>
      </c>
      <c r="L132" s="28">
        <v>288.39999999999998</v>
      </c>
      <c r="M132" s="28">
        <v>288.39999999999998</v>
      </c>
      <c r="N132" s="28">
        <v>288.39999999999998</v>
      </c>
      <c r="O132" s="28">
        <v>288.39999999999998</v>
      </c>
      <c r="P132" s="28">
        <v>288.39999999999998</v>
      </c>
      <c r="Q132" s="28">
        <v>288.39999999999998</v>
      </c>
      <c r="R132" s="28">
        <v>288.39999999999998</v>
      </c>
      <c r="S132" s="28">
        <v>288.39999999999998</v>
      </c>
    </row>
    <row r="133" spans="1:19" ht="15.75" x14ac:dyDescent="0.2">
      <c r="A133" s="12">
        <v>2</v>
      </c>
      <c r="B133" s="13" t="s">
        <v>81</v>
      </c>
      <c r="C133" s="12" t="s">
        <v>266</v>
      </c>
      <c r="D133" s="12" t="s">
        <v>83</v>
      </c>
      <c r="E133" s="28">
        <v>1.4</v>
      </c>
      <c r="F133" s="28">
        <v>1.4</v>
      </c>
      <c r="G133" s="28">
        <v>1.4</v>
      </c>
      <c r="H133" s="28">
        <v>1.4</v>
      </c>
      <c r="I133" s="28">
        <v>1.4</v>
      </c>
      <c r="J133" s="28">
        <v>1.4</v>
      </c>
      <c r="K133" s="28">
        <v>1.4</v>
      </c>
      <c r="L133" s="28">
        <v>1.4</v>
      </c>
      <c r="M133" s="28">
        <v>1.4</v>
      </c>
      <c r="N133" s="28">
        <v>1.4</v>
      </c>
      <c r="O133" s="28">
        <v>1.4</v>
      </c>
      <c r="P133" s="28">
        <v>1.4</v>
      </c>
      <c r="Q133" s="28">
        <v>1.4</v>
      </c>
      <c r="R133" s="28">
        <v>1.4</v>
      </c>
      <c r="S133" s="28">
        <v>1.4</v>
      </c>
    </row>
    <row r="134" spans="1:19" ht="15.75" x14ac:dyDescent="0.2">
      <c r="A134" s="12">
        <v>3</v>
      </c>
      <c r="B134" s="13" t="s">
        <v>243</v>
      </c>
      <c r="C134" s="12" t="s">
        <v>267</v>
      </c>
      <c r="D134" s="12" t="s">
        <v>19</v>
      </c>
      <c r="E134" s="28">
        <v>42</v>
      </c>
      <c r="F134" s="28">
        <v>42</v>
      </c>
      <c r="G134" s="28">
        <v>42</v>
      </c>
      <c r="H134" s="28">
        <v>42</v>
      </c>
      <c r="I134" s="28">
        <v>42</v>
      </c>
      <c r="J134" s="28">
        <v>42</v>
      </c>
      <c r="K134" s="28">
        <v>42</v>
      </c>
      <c r="L134" s="28">
        <v>42</v>
      </c>
      <c r="M134" s="28">
        <v>42</v>
      </c>
      <c r="N134" s="28">
        <v>42</v>
      </c>
      <c r="O134" s="28">
        <v>42</v>
      </c>
      <c r="P134" s="28">
        <v>42</v>
      </c>
      <c r="Q134" s="28">
        <v>42</v>
      </c>
      <c r="R134" s="28">
        <v>42</v>
      </c>
      <c r="S134" s="28">
        <v>42</v>
      </c>
    </row>
    <row r="135" spans="1:19" ht="15.75" x14ac:dyDescent="0.2">
      <c r="A135" s="12">
        <v>4</v>
      </c>
      <c r="B135" s="13" t="s">
        <v>245</v>
      </c>
      <c r="C135" s="12" t="s">
        <v>268</v>
      </c>
      <c r="D135" s="12" t="s">
        <v>71</v>
      </c>
      <c r="E135" s="36">
        <v>3000</v>
      </c>
      <c r="F135" s="36">
        <v>3000</v>
      </c>
      <c r="G135" s="36">
        <v>3000</v>
      </c>
      <c r="H135" s="36">
        <v>3000</v>
      </c>
      <c r="I135" s="36">
        <v>3000</v>
      </c>
      <c r="J135" s="36">
        <v>3000</v>
      </c>
      <c r="K135" s="36">
        <v>3000</v>
      </c>
      <c r="L135" s="36">
        <v>3000</v>
      </c>
      <c r="M135" s="36">
        <v>3000</v>
      </c>
      <c r="N135" s="36">
        <v>3000</v>
      </c>
      <c r="O135" s="36">
        <v>3000</v>
      </c>
      <c r="P135" s="36">
        <v>3000</v>
      </c>
      <c r="Q135" s="36">
        <v>3000</v>
      </c>
      <c r="R135" s="36">
        <v>3000</v>
      </c>
      <c r="S135" s="36">
        <v>3000</v>
      </c>
    </row>
    <row r="136" spans="1:19" ht="15.75" x14ac:dyDescent="0.2">
      <c r="A136" s="12">
        <v>5</v>
      </c>
      <c r="B136" s="13" t="s">
        <v>247</v>
      </c>
      <c r="C136" s="12" t="s">
        <v>269</v>
      </c>
      <c r="D136" s="12" t="s">
        <v>123</v>
      </c>
      <c r="E136" s="28">
        <v>500</v>
      </c>
      <c r="F136" s="28">
        <v>539.29999999999995</v>
      </c>
      <c r="G136" s="28">
        <v>578.6</v>
      </c>
      <c r="H136" s="28">
        <v>617.9</v>
      </c>
      <c r="I136" s="28">
        <v>657.1</v>
      </c>
      <c r="J136" s="28">
        <v>696.4</v>
      </c>
      <c r="K136" s="28">
        <v>735.7</v>
      </c>
      <c r="L136" s="28">
        <v>775</v>
      </c>
      <c r="M136" s="28">
        <v>814.3</v>
      </c>
      <c r="N136" s="28">
        <v>853.6</v>
      </c>
      <c r="O136" s="28">
        <v>892.9</v>
      </c>
      <c r="P136" s="28">
        <v>932.1</v>
      </c>
      <c r="Q136" s="28">
        <v>971.4</v>
      </c>
      <c r="R136" s="28">
        <v>1010.7</v>
      </c>
      <c r="S136" s="28">
        <v>1050</v>
      </c>
    </row>
    <row r="137" spans="1:19" ht="15.75" x14ac:dyDescent="0.2">
      <c r="A137" s="12">
        <v>6</v>
      </c>
      <c r="B137" s="13" t="s">
        <v>249</v>
      </c>
      <c r="C137" s="12" t="s">
        <v>270</v>
      </c>
      <c r="D137" s="12" t="s">
        <v>77</v>
      </c>
      <c r="E137" s="28">
        <v>72.2</v>
      </c>
      <c r="F137" s="28">
        <v>69.8</v>
      </c>
      <c r="G137" s="28">
        <v>67.3</v>
      </c>
      <c r="H137" s="28">
        <v>64.900000000000006</v>
      </c>
      <c r="I137" s="28">
        <v>62.4</v>
      </c>
      <c r="J137" s="28">
        <v>60</v>
      </c>
      <c r="K137" s="28">
        <v>57.6</v>
      </c>
      <c r="L137" s="28">
        <v>55.1</v>
      </c>
      <c r="M137" s="28">
        <v>52.7</v>
      </c>
      <c r="N137" s="28">
        <v>50.2</v>
      </c>
      <c r="O137" s="28">
        <v>47.8</v>
      </c>
      <c r="P137" s="28">
        <v>45.4</v>
      </c>
      <c r="Q137" s="28">
        <v>42.9</v>
      </c>
      <c r="R137" s="28">
        <v>40.5</v>
      </c>
      <c r="S137" s="28">
        <v>38</v>
      </c>
    </row>
    <row r="138" spans="1:19" ht="15.75" x14ac:dyDescent="0.2">
      <c r="A138" s="12">
        <v>7</v>
      </c>
      <c r="B138" s="13" t="s">
        <v>251</v>
      </c>
      <c r="C138" s="12" t="s">
        <v>271</v>
      </c>
      <c r="D138" s="12" t="s">
        <v>83</v>
      </c>
      <c r="E138" s="23">
        <v>0.72550000000000003</v>
      </c>
      <c r="F138" s="23">
        <v>0.75970000000000004</v>
      </c>
      <c r="G138" s="23">
        <v>0.78590000000000004</v>
      </c>
      <c r="H138" s="23">
        <v>0.8075</v>
      </c>
      <c r="I138" s="23">
        <v>0.82520000000000004</v>
      </c>
      <c r="J138" s="23">
        <v>0.83860000000000001</v>
      </c>
      <c r="K138" s="23">
        <v>0.8468</v>
      </c>
      <c r="L138" s="23">
        <v>0.8488</v>
      </c>
      <c r="M138" s="23">
        <v>0.84319999999999995</v>
      </c>
      <c r="N138" s="23">
        <v>0.82830000000000004</v>
      </c>
      <c r="O138" s="23">
        <v>0.80089999999999995</v>
      </c>
      <c r="P138" s="23">
        <v>0.75560000000000005</v>
      </c>
      <c r="Q138" s="23">
        <v>0.68310000000000004</v>
      </c>
      <c r="R138" s="23">
        <v>0.56830000000000003</v>
      </c>
      <c r="S138" s="23">
        <v>0.38829999999999998</v>
      </c>
    </row>
    <row r="139" spans="1:19" ht="15.75" x14ac:dyDescent="0.2">
      <c r="A139" s="12">
        <v>8</v>
      </c>
      <c r="B139" s="13" t="s">
        <v>253</v>
      </c>
      <c r="C139" s="12" t="s">
        <v>272</v>
      </c>
      <c r="D139" s="12" t="s">
        <v>83</v>
      </c>
      <c r="E139" s="23">
        <v>1.6890000000000001</v>
      </c>
      <c r="F139" s="23">
        <v>1.702</v>
      </c>
      <c r="G139" s="23">
        <v>1.7030000000000001</v>
      </c>
      <c r="H139" s="23">
        <v>1.6970000000000001</v>
      </c>
      <c r="I139" s="23">
        <v>1.6859999999999999</v>
      </c>
      <c r="J139" s="23">
        <v>1.6679999999999999</v>
      </c>
      <c r="K139" s="23">
        <v>1.6439999999999999</v>
      </c>
      <c r="L139" s="23">
        <v>1.6140000000000001</v>
      </c>
      <c r="M139" s="23">
        <v>1.5780000000000001</v>
      </c>
      <c r="N139" s="23">
        <v>1.5349999999999999</v>
      </c>
      <c r="O139" s="23">
        <v>1.486</v>
      </c>
      <c r="P139" s="23">
        <v>1.427</v>
      </c>
      <c r="Q139" s="23">
        <v>1.357</v>
      </c>
      <c r="R139" s="23">
        <v>1.272</v>
      </c>
      <c r="S139" s="23">
        <v>1.167</v>
      </c>
    </row>
    <row r="141" spans="1:19" ht="15.75" x14ac:dyDescent="0.2">
      <c r="A141" s="8" t="s">
        <v>273</v>
      </c>
      <c r="B141" s="8"/>
      <c r="C141" s="8"/>
      <c r="D141" s="8"/>
      <c r="E141" s="8"/>
    </row>
    <row r="143" spans="1:19" x14ac:dyDescent="0.2">
      <c r="B143" s="10" t="s">
        <v>240</v>
      </c>
    </row>
    <row r="144" spans="1:19" x14ac:dyDescent="0.2">
      <c r="A144" s="12">
        <v>1</v>
      </c>
      <c r="B144" s="13" t="s">
        <v>247</v>
      </c>
      <c r="C144" s="12" t="s">
        <v>274</v>
      </c>
      <c r="D144" s="12" t="s">
        <v>123</v>
      </c>
      <c r="E144" s="21">
        <f t="shared" ref="E144:S144" si="0">E118*$E$25/E117</f>
        <v>2057.9</v>
      </c>
      <c r="F144" s="21">
        <f t="shared" si="0"/>
        <v>2144.5428666666667</v>
      </c>
      <c r="G144" s="21">
        <f t="shared" si="0"/>
        <v>2231.2912666666671</v>
      </c>
      <c r="H144" s="21">
        <f t="shared" si="0"/>
        <v>2317.9341333333336</v>
      </c>
      <c r="I144" s="21">
        <f t="shared" si="0"/>
        <v>2404.6825333333331</v>
      </c>
      <c r="J144" s="21">
        <f t="shared" si="0"/>
        <v>2491.3253999999997</v>
      </c>
      <c r="K144" s="21">
        <f t="shared" si="0"/>
        <v>2578.0738000000001</v>
      </c>
      <c r="L144" s="21">
        <f t="shared" si="0"/>
        <v>2664.7166666666667</v>
      </c>
      <c r="M144" s="21">
        <f t="shared" si="0"/>
        <v>2751.3595333333333</v>
      </c>
      <c r="N144" s="21">
        <f t="shared" si="0"/>
        <v>2838.1079333333337</v>
      </c>
      <c r="O144" s="21">
        <f t="shared" si="0"/>
        <v>2924.7508000000003</v>
      </c>
      <c r="P144" s="21">
        <f t="shared" si="0"/>
        <v>3011.4991999999997</v>
      </c>
      <c r="Q144" s="21">
        <f t="shared" si="0"/>
        <v>3098.1420666666663</v>
      </c>
      <c r="R144" s="21">
        <f t="shared" si="0"/>
        <v>3184.8904666666667</v>
      </c>
      <c r="S144" s="21">
        <f t="shared" si="0"/>
        <v>3271.5333333333333</v>
      </c>
    </row>
    <row r="145" spans="1:35" x14ac:dyDescent="0.2">
      <c r="A145" s="12">
        <v>2</v>
      </c>
      <c r="B145" s="13" t="s">
        <v>249</v>
      </c>
      <c r="C145" s="12" t="s">
        <v>275</v>
      </c>
      <c r="D145" s="12" t="s">
        <v>77</v>
      </c>
      <c r="E145" s="21">
        <f>(((E115/(E115-1)/($E$32/($E$32-1)))*E114/$E$31*E119*($E$25/E117)^2))</f>
        <v>106.24969359999999</v>
      </c>
      <c r="F145" s="21">
        <f t="shared" ref="F145:S147" si="1">F119*($E$25/F117)^2</f>
        <v>105.35871084444442</v>
      </c>
      <c r="G145" s="21">
        <f t="shared" si="1"/>
        <v>104.35635524444443</v>
      </c>
      <c r="H145" s="21">
        <f t="shared" si="1"/>
        <v>103.35399964444441</v>
      </c>
      <c r="I145" s="21">
        <f t="shared" si="1"/>
        <v>102.46301688888886</v>
      </c>
      <c r="J145" s="21">
        <f t="shared" si="1"/>
        <v>101.46066128888886</v>
      </c>
      <c r="K145" s="21">
        <f t="shared" si="1"/>
        <v>100.5696785333333</v>
      </c>
      <c r="L145" s="21">
        <f t="shared" si="1"/>
        <v>99.567322933333315</v>
      </c>
      <c r="M145" s="21">
        <f t="shared" si="1"/>
        <v>98.564967333333314</v>
      </c>
      <c r="N145" s="21">
        <f t="shared" si="1"/>
        <v>97.673984577777759</v>
      </c>
      <c r="O145" s="21">
        <f t="shared" si="1"/>
        <v>96.671628977777758</v>
      </c>
      <c r="P145" s="21">
        <f t="shared" si="1"/>
        <v>95.780646222222202</v>
      </c>
      <c r="Q145" s="21">
        <f t="shared" si="1"/>
        <v>94.778290622222201</v>
      </c>
      <c r="R145" s="21">
        <f t="shared" si="1"/>
        <v>93.887307866666646</v>
      </c>
      <c r="S145" s="21">
        <f t="shared" si="1"/>
        <v>92.884952266666645</v>
      </c>
      <c r="T145" s="55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</row>
    <row r="146" spans="1:35" x14ac:dyDescent="0.2">
      <c r="A146" s="12">
        <v>2</v>
      </c>
      <c r="B146" s="13" t="s">
        <v>401</v>
      </c>
      <c r="C146" s="12" t="s">
        <v>275</v>
      </c>
      <c r="D146" s="12" t="s">
        <v>77</v>
      </c>
      <c r="E146" s="21">
        <f>E145*1.1</f>
        <v>116.87466295999999</v>
      </c>
      <c r="F146" s="21">
        <f>F145*1.1</f>
        <v>115.89458192888887</v>
      </c>
      <c r="G146" s="21">
        <f>G145*1.1</f>
        <v>114.79199076888888</v>
      </c>
      <c r="H146" s="21">
        <f>H145*1.1</f>
        <v>113.68939960888886</v>
      </c>
      <c r="I146" s="21">
        <f>I145*1.1</f>
        <v>112.70931857777775</v>
      </c>
      <c r="J146" s="21">
        <f>J145*1.1</f>
        <v>111.60672741777775</v>
      </c>
      <c r="K146" s="21">
        <f>K145*1.1</f>
        <v>110.62664638666664</v>
      </c>
      <c r="L146" s="21">
        <f>L145*1.1</f>
        <v>109.52405522666666</v>
      </c>
      <c r="M146" s="21">
        <f>M145*1.1</f>
        <v>108.42146406666666</v>
      </c>
      <c r="N146" s="21">
        <f>N145*1.1</f>
        <v>107.44138303555555</v>
      </c>
      <c r="O146" s="21">
        <f>O145*1.1</f>
        <v>106.33879187555554</v>
      </c>
      <c r="P146" s="21">
        <f>P145*1.1</f>
        <v>105.35871084444443</v>
      </c>
      <c r="Q146" s="21">
        <f>Q145*1.1</f>
        <v>104.25611968444443</v>
      </c>
      <c r="R146" s="21">
        <f>R145*1.1</f>
        <v>103.27603865333332</v>
      </c>
      <c r="S146" s="21">
        <f>S145*1.1</f>
        <v>102.17344749333331</v>
      </c>
      <c r="T146" s="55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</row>
    <row r="147" spans="1:35" x14ac:dyDescent="0.2">
      <c r="A147" s="12">
        <v>2</v>
      </c>
      <c r="B147" s="13" t="s">
        <v>402</v>
      </c>
      <c r="C147" s="12" t="s">
        <v>275</v>
      </c>
      <c r="D147" s="12" t="s">
        <v>77</v>
      </c>
      <c r="E147" s="21">
        <f>E145*0.9</f>
        <v>95.624724239999992</v>
      </c>
      <c r="F147" s="21">
        <f>F145*0.9</f>
        <v>94.822839759999979</v>
      </c>
      <c r="G147" s="21">
        <f>G145*0.9</f>
        <v>93.920719719999994</v>
      </c>
      <c r="H147" s="21">
        <f>H145*0.9</f>
        <v>93.01859967999998</v>
      </c>
      <c r="I147" s="21">
        <f>I145*0.9</f>
        <v>92.216715199999982</v>
      </c>
      <c r="J147" s="21">
        <f>J145*0.9</f>
        <v>91.314595159999968</v>
      </c>
      <c r="K147" s="21">
        <f>K145*0.9</f>
        <v>90.512710679999969</v>
      </c>
      <c r="L147" s="21">
        <f>L145*0.9</f>
        <v>89.610590639999984</v>
      </c>
      <c r="M147" s="21">
        <f>M145*0.9</f>
        <v>88.708470599999984</v>
      </c>
      <c r="N147" s="21">
        <f>N145*0.9</f>
        <v>87.906586119999986</v>
      </c>
      <c r="O147" s="21">
        <f>O145*0.9</f>
        <v>87.004466079999986</v>
      </c>
      <c r="P147" s="21">
        <f>P145*0.9</f>
        <v>86.202581599999988</v>
      </c>
      <c r="Q147" s="21">
        <f>Q145*0.9</f>
        <v>85.300461559999988</v>
      </c>
      <c r="R147" s="21">
        <f>R145*0.9</f>
        <v>84.49857707999999</v>
      </c>
      <c r="S147" s="21">
        <f>S145*0.9</f>
        <v>83.596457039999976</v>
      </c>
      <c r="T147" s="55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</row>
    <row r="148" spans="1:35" x14ac:dyDescent="0.2">
      <c r="A148" s="12">
        <v>3</v>
      </c>
      <c r="B148" s="13" t="s">
        <v>251</v>
      </c>
      <c r="C148" s="12" t="s">
        <v>276</v>
      </c>
      <c r="D148" s="12" t="s">
        <v>83</v>
      </c>
      <c r="E148" s="22">
        <f t="shared" ref="E148:S148" si="2">E120</f>
        <v>0.81759999999999999</v>
      </c>
      <c r="F148" s="22">
        <f t="shared" si="2"/>
        <v>0.8236</v>
      </c>
      <c r="G148" s="22">
        <f t="shared" si="2"/>
        <v>0.82740000000000002</v>
      </c>
      <c r="H148" s="22">
        <f t="shared" si="2"/>
        <v>0.83079999999999998</v>
      </c>
      <c r="I148" s="22">
        <f t="shared" si="2"/>
        <v>0.83450000000000002</v>
      </c>
      <c r="J148" s="22">
        <f t="shared" si="2"/>
        <v>0.83809999999999996</v>
      </c>
      <c r="K148" s="22">
        <f t="shared" si="2"/>
        <v>0.84130000000000005</v>
      </c>
      <c r="L148" s="22">
        <f t="shared" si="2"/>
        <v>0.84340000000000004</v>
      </c>
      <c r="M148" s="22">
        <f t="shared" si="2"/>
        <v>0.84430000000000005</v>
      </c>
      <c r="N148" s="22">
        <f t="shared" si="2"/>
        <v>0.84379999999999999</v>
      </c>
      <c r="O148" s="22">
        <f t="shared" si="2"/>
        <v>0.84199999999999997</v>
      </c>
      <c r="P148" s="22">
        <f t="shared" si="2"/>
        <v>0.83930000000000005</v>
      </c>
      <c r="Q148" s="22">
        <f t="shared" si="2"/>
        <v>0.8357</v>
      </c>
      <c r="R148" s="22">
        <f t="shared" si="2"/>
        <v>0.83040000000000003</v>
      </c>
      <c r="S148" s="22">
        <f t="shared" si="2"/>
        <v>0.82169999999999999</v>
      </c>
    </row>
    <row r="149" spans="1:35" x14ac:dyDescent="0.2">
      <c r="A149" s="12">
        <v>4</v>
      </c>
      <c r="B149" s="13" t="s">
        <v>253</v>
      </c>
      <c r="C149" s="12" t="s">
        <v>109</v>
      </c>
      <c r="D149" s="12" t="s">
        <v>83</v>
      </c>
      <c r="E149" s="22">
        <f t="shared" ref="E149:S149" si="3">(1+E145/($E$11+273.15))^(E148*($E$32/($E$32-1)))</f>
        <v>2.5613308121067537</v>
      </c>
      <c r="F149" s="22">
        <f t="shared" si="3"/>
        <v>2.5616455012895432</v>
      </c>
      <c r="G149" s="22">
        <f t="shared" si="3"/>
        <v>2.5531013603427026</v>
      </c>
      <c r="H149" s="22">
        <f t="shared" si="3"/>
        <v>2.543210776600235</v>
      </c>
      <c r="I149" s="22">
        <f t="shared" si="3"/>
        <v>2.5361889591912954</v>
      </c>
      <c r="J149" s="22">
        <f t="shared" si="3"/>
        <v>2.5265050283714765</v>
      </c>
      <c r="K149" s="22">
        <f t="shared" si="3"/>
        <v>2.517741186657974</v>
      </c>
      <c r="L149" s="22">
        <f t="shared" si="3"/>
        <v>2.503618073112678</v>
      </c>
      <c r="M149" s="22">
        <f t="shared" si="3"/>
        <v>2.4862022018082306</v>
      </c>
      <c r="N149" s="22">
        <f t="shared" si="3"/>
        <v>2.467307922206567</v>
      </c>
      <c r="O149" s="22">
        <f t="shared" si="3"/>
        <v>2.4429889300924774</v>
      </c>
      <c r="P149" s="22">
        <f t="shared" si="3"/>
        <v>2.4187970707367765</v>
      </c>
      <c r="Q149" s="22">
        <f t="shared" si="3"/>
        <v>2.3905462631795564</v>
      </c>
      <c r="R149" s="22">
        <f t="shared" si="3"/>
        <v>2.3606713940905975</v>
      </c>
      <c r="S149" s="22">
        <f t="shared" si="3"/>
        <v>2.3211901890221185</v>
      </c>
    </row>
    <row r="150" spans="1:35" x14ac:dyDescent="0.2">
      <c r="B150" s="10" t="s">
        <v>255</v>
      </c>
    </row>
    <row r="151" spans="1:35" x14ac:dyDescent="0.2">
      <c r="A151" s="12">
        <v>1</v>
      </c>
      <c r="B151" s="13" t="s">
        <v>247</v>
      </c>
      <c r="C151" s="12" t="s">
        <v>274</v>
      </c>
      <c r="D151" s="12" t="s">
        <v>123</v>
      </c>
      <c r="E151" s="21">
        <f t="shared" ref="E151:S151" si="4">E127*$E$25/E126</f>
        <v>844.26666666666665</v>
      </c>
      <c r="F151" s="21">
        <f t="shared" si="4"/>
        <v>923.41666666666663</v>
      </c>
      <c r="G151" s="21">
        <f t="shared" si="4"/>
        <v>1002.5666666666667</v>
      </c>
      <c r="H151" s="21">
        <f t="shared" si="4"/>
        <v>1081.7166666666667</v>
      </c>
      <c r="I151" s="21">
        <f t="shared" si="4"/>
        <v>1160.8666666666666</v>
      </c>
      <c r="J151" s="21">
        <f t="shared" si="4"/>
        <v>1240.0166666666667</v>
      </c>
      <c r="K151" s="21">
        <f t="shared" si="4"/>
        <v>1319.1666666666667</v>
      </c>
      <c r="L151" s="21">
        <f t="shared" si="4"/>
        <v>1398.3166666666666</v>
      </c>
      <c r="M151" s="21">
        <f t="shared" si="4"/>
        <v>1477.4666666666667</v>
      </c>
      <c r="N151" s="21">
        <f t="shared" si="4"/>
        <v>1556.6166666666666</v>
      </c>
      <c r="O151" s="21">
        <f t="shared" si="4"/>
        <v>1635.7666666666667</v>
      </c>
      <c r="P151" s="21">
        <f t="shared" si="4"/>
        <v>1714.9166666666667</v>
      </c>
      <c r="Q151" s="21">
        <f t="shared" si="4"/>
        <v>1794.0666666666666</v>
      </c>
      <c r="R151" s="21">
        <f t="shared" si="4"/>
        <v>1873.2166666666667</v>
      </c>
      <c r="S151" s="21">
        <f t="shared" si="4"/>
        <v>1952.3666666666666</v>
      </c>
    </row>
    <row r="152" spans="1:35" x14ac:dyDescent="0.2">
      <c r="A152" s="12">
        <v>2</v>
      </c>
      <c r="B152" s="13" t="s">
        <v>249</v>
      </c>
      <c r="C152" s="12" t="s">
        <v>275</v>
      </c>
      <c r="D152" s="12" t="s">
        <v>77</v>
      </c>
      <c r="E152" s="21">
        <f t="shared" ref="E152:S152" si="5">(((E124/(E124-1)/($E$32/($E$32-1)))*E123/$E$31*E128*($E$25/E126)^2))</f>
        <v>76.847262666666651</v>
      </c>
      <c r="F152" s="21">
        <f t="shared" si="5"/>
        <v>75.622161377777772</v>
      </c>
      <c r="G152" s="21">
        <f t="shared" si="5"/>
        <v>74.397060088888864</v>
      </c>
      <c r="H152" s="21">
        <f t="shared" si="5"/>
        <v>73.171958799999985</v>
      </c>
      <c r="I152" s="21">
        <f t="shared" si="5"/>
        <v>71.946857511111091</v>
      </c>
      <c r="J152" s="21">
        <f t="shared" si="5"/>
        <v>70.721756222222211</v>
      </c>
      <c r="K152" s="21">
        <f t="shared" si="5"/>
        <v>69.608027777777764</v>
      </c>
      <c r="L152" s="21">
        <f t="shared" si="5"/>
        <v>68.38292648888887</v>
      </c>
      <c r="M152" s="21">
        <f t="shared" si="5"/>
        <v>67.157825199999976</v>
      </c>
      <c r="N152" s="21">
        <f t="shared" si="5"/>
        <v>65.932723911111097</v>
      </c>
      <c r="O152" s="21">
        <f t="shared" si="5"/>
        <v>64.707622622222203</v>
      </c>
      <c r="P152" s="21">
        <f t="shared" si="5"/>
        <v>63.482521333333317</v>
      </c>
      <c r="Q152" s="21">
        <f t="shared" si="5"/>
        <v>62.25742004444443</v>
      </c>
      <c r="R152" s="21">
        <f t="shared" si="5"/>
        <v>61.032318755555536</v>
      </c>
      <c r="S152" s="21">
        <f t="shared" si="5"/>
        <v>59.807217466666657</v>
      </c>
    </row>
    <row r="153" spans="1:35" x14ac:dyDescent="0.2">
      <c r="A153" s="12">
        <v>3</v>
      </c>
      <c r="B153" s="13" t="s">
        <v>251</v>
      </c>
      <c r="C153" s="12" t="s">
        <v>276</v>
      </c>
      <c r="D153" s="12" t="s">
        <v>83</v>
      </c>
      <c r="E153" s="22">
        <f t="shared" ref="E153:S153" si="6">E129</f>
        <v>0.7752</v>
      </c>
      <c r="F153" s="22">
        <f t="shared" si="6"/>
        <v>0.78849999999999998</v>
      </c>
      <c r="G153" s="22">
        <f t="shared" si="6"/>
        <v>0.80100000000000005</v>
      </c>
      <c r="H153" s="22">
        <f t="shared" si="6"/>
        <v>0.81210000000000004</v>
      </c>
      <c r="I153" s="22">
        <f t="shared" si="6"/>
        <v>0.82169999999999999</v>
      </c>
      <c r="J153" s="22">
        <f t="shared" si="6"/>
        <v>0.82909999999999995</v>
      </c>
      <c r="K153" s="22">
        <f t="shared" si="6"/>
        <v>0.83420000000000005</v>
      </c>
      <c r="L153" s="22">
        <f t="shared" si="6"/>
        <v>0.83630000000000004</v>
      </c>
      <c r="M153" s="22">
        <f t="shared" si="6"/>
        <v>0.83489999999999998</v>
      </c>
      <c r="N153" s="22">
        <f t="shared" si="6"/>
        <v>0.82930000000000004</v>
      </c>
      <c r="O153" s="22">
        <f t="shared" si="6"/>
        <v>0.81820000000000004</v>
      </c>
      <c r="P153" s="22">
        <f t="shared" si="6"/>
        <v>0.79990000000000006</v>
      </c>
      <c r="Q153" s="22">
        <f t="shared" si="6"/>
        <v>0.77210000000000001</v>
      </c>
      <c r="R153" s="22">
        <f t="shared" si="6"/>
        <v>0.73129999999999995</v>
      </c>
      <c r="S153" s="22">
        <f t="shared" si="6"/>
        <v>0.67330000000000001</v>
      </c>
    </row>
    <row r="154" spans="1:35" x14ac:dyDescent="0.2">
      <c r="A154" s="12">
        <v>4</v>
      </c>
      <c r="B154" s="13" t="s">
        <v>253</v>
      </c>
      <c r="C154" s="12" t="s">
        <v>109</v>
      </c>
      <c r="D154" s="12" t="s">
        <v>83</v>
      </c>
      <c r="E154" s="22">
        <f t="shared" ref="E154:S154" si="7">(1+E152/($E$11+273.15))^(E153*($E$32/($E$32-1)))</f>
        <v>1.9597794585284067</v>
      </c>
      <c r="F154" s="22">
        <f t="shared" si="7"/>
        <v>1.9634358343656251</v>
      </c>
      <c r="G154" s="22">
        <f t="shared" si="7"/>
        <v>1.9650624266057508</v>
      </c>
      <c r="H154" s="22">
        <f t="shared" si="7"/>
        <v>1.9637292563989097</v>
      </c>
      <c r="I154" s="22">
        <f t="shared" si="7"/>
        <v>1.9593803554501503</v>
      </c>
      <c r="J154" s="22">
        <f t="shared" si="7"/>
        <v>1.9510405083109024</v>
      </c>
      <c r="K154" s="22">
        <f t="shared" si="7"/>
        <v>1.9406048215621017</v>
      </c>
      <c r="L154" s="22">
        <f t="shared" si="7"/>
        <v>1.9235739943304617</v>
      </c>
      <c r="M154" s="22">
        <f t="shared" si="7"/>
        <v>1.9013913490015064</v>
      </c>
      <c r="N154" s="22">
        <f t="shared" si="7"/>
        <v>1.8734933231385806</v>
      </c>
      <c r="O154" s="22">
        <f t="shared" si="7"/>
        <v>1.8386533643591896</v>
      </c>
      <c r="P154" s="22">
        <f t="shared" si="7"/>
        <v>1.7954190500397176</v>
      </c>
      <c r="Q154" s="22">
        <f t="shared" si="7"/>
        <v>1.7420165510153254</v>
      </c>
      <c r="R154" s="22">
        <f t="shared" si="7"/>
        <v>1.6758900773391181</v>
      </c>
      <c r="S154" s="22">
        <f t="shared" si="7"/>
        <v>1.5947790709290688</v>
      </c>
    </row>
    <row r="155" spans="1:35" x14ac:dyDescent="0.2">
      <c r="B155" s="10" t="s">
        <v>264</v>
      </c>
    </row>
    <row r="156" spans="1:35" x14ac:dyDescent="0.2">
      <c r="A156" s="12">
        <v>1</v>
      </c>
      <c r="B156" s="13" t="s">
        <v>247</v>
      </c>
      <c r="C156" s="12" t="s">
        <v>274</v>
      </c>
      <c r="D156" s="12" t="s">
        <v>123</v>
      </c>
      <c r="E156" s="21">
        <f t="shared" ref="E156:S156" si="8">E136*$E$25/E135</f>
        <v>527.66666666666663</v>
      </c>
      <c r="F156" s="21">
        <f t="shared" si="8"/>
        <v>569.14126666666664</v>
      </c>
      <c r="G156" s="21">
        <f t="shared" si="8"/>
        <v>610.61586666666665</v>
      </c>
      <c r="H156" s="21">
        <f t="shared" si="8"/>
        <v>652.09046666666666</v>
      </c>
      <c r="I156" s="21">
        <f t="shared" si="8"/>
        <v>693.45953333333341</v>
      </c>
      <c r="J156" s="21">
        <f t="shared" si="8"/>
        <v>734.93413333333331</v>
      </c>
      <c r="K156" s="21">
        <f t="shared" si="8"/>
        <v>776.40873333333343</v>
      </c>
      <c r="L156" s="21">
        <f t="shared" si="8"/>
        <v>817.88333333333333</v>
      </c>
      <c r="M156" s="21">
        <f t="shared" si="8"/>
        <v>859.35793333333322</v>
      </c>
      <c r="N156" s="21">
        <f t="shared" si="8"/>
        <v>900.83253333333334</v>
      </c>
      <c r="O156" s="21">
        <f t="shared" si="8"/>
        <v>942.30713333333335</v>
      </c>
      <c r="P156" s="21">
        <f t="shared" si="8"/>
        <v>983.67619999999999</v>
      </c>
      <c r="Q156" s="21">
        <f t="shared" si="8"/>
        <v>1025.1507999999999</v>
      </c>
      <c r="R156" s="21">
        <f t="shared" si="8"/>
        <v>1066.6254000000001</v>
      </c>
      <c r="S156" s="21">
        <f t="shared" si="8"/>
        <v>1108.0999999999999</v>
      </c>
    </row>
    <row r="157" spans="1:35" x14ac:dyDescent="0.2">
      <c r="A157" s="12">
        <v>2</v>
      </c>
      <c r="B157" s="13" t="s">
        <v>249</v>
      </c>
      <c r="C157" s="12" t="s">
        <v>275</v>
      </c>
      <c r="D157" s="12" t="s">
        <v>77</v>
      </c>
      <c r="E157" s="21">
        <f t="shared" ref="E157:S157" si="9">(((E133/(E133-1)/($E$32/($E$32-1)))*E132/$E$31*E137*($E$25/E135)^2))</f>
        <v>80.411193688888872</v>
      </c>
      <c r="F157" s="21">
        <f t="shared" si="9"/>
        <v>77.738245422222207</v>
      </c>
      <c r="G157" s="21">
        <f t="shared" si="9"/>
        <v>74.953924311111095</v>
      </c>
      <c r="H157" s="21">
        <f t="shared" si="9"/>
        <v>72.280976044444429</v>
      </c>
      <c r="I157" s="21">
        <f t="shared" si="9"/>
        <v>69.496654933333318</v>
      </c>
      <c r="J157" s="21">
        <f t="shared" si="9"/>
        <v>66.823706666666652</v>
      </c>
      <c r="K157" s="21">
        <f t="shared" si="9"/>
        <v>64.150758399999987</v>
      </c>
      <c r="L157" s="21">
        <f t="shared" si="9"/>
        <v>61.366437288888875</v>
      </c>
      <c r="M157" s="21">
        <f t="shared" si="9"/>
        <v>58.693489022222209</v>
      </c>
      <c r="N157" s="21">
        <f t="shared" si="9"/>
        <v>55.909167911111105</v>
      </c>
      <c r="O157" s="21">
        <f t="shared" si="9"/>
        <v>53.236219644444432</v>
      </c>
      <c r="P157" s="21">
        <f t="shared" si="9"/>
        <v>50.563271377777767</v>
      </c>
      <c r="Q157" s="21">
        <f t="shared" si="9"/>
        <v>47.778950266666655</v>
      </c>
      <c r="R157" s="21">
        <f t="shared" si="9"/>
        <v>45.106001999999989</v>
      </c>
      <c r="S157" s="21">
        <f t="shared" si="9"/>
        <v>42.321680888888878</v>
      </c>
    </row>
    <row r="158" spans="1:35" x14ac:dyDescent="0.2">
      <c r="A158" s="12">
        <v>3</v>
      </c>
      <c r="B158" s="13" t="s">
        <v>251</v>
      </c>
      <c r="C158" s="12" t="s">
        <v>276</v>
      </c>
      <c r="D158" s="12" t="s">
        <v>83</v>
      </c>
      <c r="E158" s="22">
        <f t="shared" ref="E158:S158" si="10">E138</f>
        <v>0.72550000000000003</v>
      </c>
      <c r="F158" s="22">
        <f t="shared" si="10"/>
        <v>0.75970000000000004</v>
      </c>
      <c r="G158" s="22">
        <f t="shared" si="10"/>
        <v>0.78590000000000004</v>
      </c>
      <c r="H158" s="22">
        <f t="shared" si="10"/>
        <v>0.8075</v>
      </c>
      <c r="I158" s="22">
        <f t="shared" si="10"/>
        <v>0.82520000000000004</v>
      </c>
      <c r="J158" s="22">
        <f t="shared" si="10"/>
        <v>0.83860000000000001</v>
      </c>
      <c r="K158" s="22">
        <f t="shared" si="10"/>
        <v>0.8468</v>
      </c>
      <c r="L158" s="22">
        <f t="shared" si="10"/>
        <v>0.8488</v>
      </c>
      <c r="M158" s="22">
        <f t="shared" si="10"/>
        <v>0.84319999999999995</v>
      </c>
      <c r="N158" s="22">
        <f t="shared" si="10"/>
        <v>0.82830000000000004</v>
      </c>
      <c r="O158" s="22">
        <f t="shared" si="10"/>
        <v>0.80089999999999995</v>
      </c>
      <c r="P158" s="22">
        <f t="shared" si="10"/>
        <v>0.75560000000000005</v>
      </c>
      <c r="Q158" s="22">
        <f t="shared" si="10"/>
        <v>0.68310000000000004</v>
      </c>
      <c r="R158" s="22">
        <f t="shared" si="10"/>
        <v>0.56830000000000003</v>
      </c>
      <c r="S158" s="22">
        <f t="shared" si="10"/>
        <v>0.38829999999999998</v>
      </c>
    </row>
    <row r="159" spans="1:35" x14ac:dyDescent="0.2">
      <c r="A159" s="12">
        <v>4</v>
      </c>
      <c r="B159" s="13" t="s">
        <v>253</v>
      </c>
      <c r="C159" s="12" t="s">
        <v>109</v>
      </c>
      <c r="D159" s="12" t="s">
        <v>83</v>
      </c>
      <c r="E159" s="22">
        <f t="shared" ref="E159:S159" si="11">(1+E157/($E$11+273.15))^(E158*($E$32/($E$32-1)))</f>
        <v>1.9259668379480863</v>
      </c>
      <c r="F159" s="22">
        <f t="shared" si="11"/>
        <v>1.946710365756688</v>
      </c>
      <c r="G159" s="22">
        <f t="shared" si="11"/>
        <v>1.9487622742160811</v>
      </c>
      <c r="H159" s="22">
        <f t="shared" si="11"/>
        <v>1.9420424572850368</v>
      </c>
      <c r="I159" s="22">
        <f t="shared" si="11"/>
        <v>1.9249650992107072</v>
      </c>
      <c r="J159" s="22">
        <f t="shared" si="11"/>
        <v>1.9013224169852634</v>
      </c>
      <c r="K159" s="22">
        <f t="shared" si="11"/>
        <v>1.8690524431007387</v>
      </c>
      <c r="L159" s="22">
        <f t="shared" si="11"/>
        <v>1.8262716527909071</v>
      </c>
      <c r="M159" s="22">
        <f t="shared" si="11"/>
        <v>1.7764547192650202</v>
      </c>
      <c r="N159" s="22">
        <f t="shared" si="11"/>
        <v>1.7160605381232812</v>
      </c>
      <c r="O159" s="22">
        <f t="shared" si="11"/>
        <v>1.6475629491802304</v>
      </c>
      <c r="P159" s="22">
        <f t="shared" si="11"/>
        <v>1.5672184804831748</v>
      </c>
      <c r="Q159" s="22">
        <f t="shared" si="11"/>
        <v>1.4703966331216465</v>
      </c>
      <c r="R159" s="22">
        <f t="shared" si="11"/>
        <v>1.3554041842518052</v>
      </c>
      <c r="S159" s="22">
        <f t="shared" si="11"/>
        <v>1.2163261527487537</v>
      </c>
    </row>
    <row r="210" spans="1:30" x14ac:dyDescent="0.2">
      <c r="C210" s="37">
        <f t="array" ref="C210:H212">LINEST(E145:S145,E144:S144^{1;2;3;4},,TRUE())</f>
        <v>-3.8130512538822052E-13</v>
      </c>
      <c r="D210" s="37">
        <v>4.1334848886371221E-9</v>
      </c>
      <c r="E210" s="37">
        <v>-1.660068521835657E-5</v>
      </c>
      <c r="F210" s="37">
        <v>1.8240923109629967E-2</v>
      </c>
      <c r="G210" s="37">
        <v>109.8444396944018</v>
      </c>
      <c r="H210" s="37" t="e">
        <v>#N/A</v>
      </c>
      <c r="M210" s="37">
        <f t="array" ref="M210:R212">LINEST(E152:S152,E151:S151^{1;2;3;4},,TRUE())</f>
        <v>1.2786783909596688E-12</v>
      </c>
      <c r="N210" s="37">
        <v>-7.6178066395348959E-9</v>
      </c>
      <c r="O210" s="37">
        <v>1.6460059834676495E-5</v>
      </c>
      <c r="P210" s="37">
        <v>-3.0576977485843728E-2</v>
      </c>
      <c r="Q210" s="37">
        <v>94.876469452773932</v>
      </c>
      <c r="R210" s="37" t="e">
        <v>#N/A</v>
      </c>
      <c r="Y210" s="37">
        <f t="array" ref="Y210:AD212">LINEST(E157:S157,E156:S156^{1;2;3;4},,TRUE())</f>
        <v>-8.6988565085796954E-12</v>
      </c>
      <c r="Z210" s="37">
        <v>2.6777322885556716E-8</v>
      </c>
      <c r="AA210" s="37">
        <v>-3.0128634375471811E-5</v>
      </c>
      <c r="AB210" s="37">
        <v>-5.0896847086999361E-2</v>
      </c>
      <c r="AC210" s="37">
        <v>112.40765796951122</v>
      </c>
      <c r="AD210" s="37" t="e">
        <v>#N/A</v>
      </c>
    </row>
    <row r="211" spans="1:30" x14ac:dyDescent="0.2">
      <c r="C211" s="37">
        <v>7.5355157447878701E-13</v>
      </c>
      <c r="D211" s="37">
        <v>8.035529781302463E-9</v>
      </c>
      <c r="E211" s="37">
        <v>3.1893629049179507E-5</v>
      </c>
      <c r="F211" s="37">
        <v>5.5832589027804705E-2</v>
      </c>
      <c r="G211" s="37">
        <v>36.368151563817939</v>
      </c>
      <c r="H211" s="37" t="e">
        <v>#N/A</v>
      </c>
      <c r="M211" s="37">
        <v>6.662487514065555E-13</v>
      </c>
      <c r="N211" s="37">
        <v>3.7314548251674994E-9</v>
      </c>
      <c r="O211" s="37">
        <v>7.6615979316362275E-6</v>
      </c>
      <c r="P211" s="37">
        <v>6.8234076887693359E-3</v>
      </c>
      <c r="Q211" s="37">
        <v>2.2207793993624043</v>
      </c>
      <c r="R211" s="37" t="e">
        <v>#N/A</v>
      </c>
      <c r="Y211" s="37">
        <v>1.4038042446389137E-11</v>
      </c>
      <c r="Z211" s="37">
        <v>4.5974819426986918E-8</v>
      </c>
      <c r="AA211" s="37">
        <v>5.5447458490534207E-5</v>
      </c>
      <c r="AB211" s="37">
        <v>2.915420612884392E-2</v>
      </c>
      <c r="AC211" s="37">
        <v>5.6338454091506298</v>
      </c>
      <c r="AD211" s="37" t="e">
        <v>#N/A</v>
      </c>
    </row>
    <row r="212" spans="1:30" x14ac:dyDescent="0.2">
      <c r="C212" s="37">
        <v>0.99994614785334945</v>
      </c>
      <c r="D212" s="37">
        <v>3.7101161378272511E-2</v>
      </c>
      <c r="E212" s="37" t="e">
        <v>#N/A</v>
      </c>
      <c r="F212" s="37" t="e">
        <v>#N/A</v>
      </c>
      <c r="G212" s="37" t="e">
        <v>#N/A</v>
      </c>
      <c r="H212" s="37" t="e">
        <v>#N/A</v>
      </c>
      <c r="M212" s="37">
        <v>0.99998741347135023</v>
      </c>
      <c r="N212" s="37">
        <v>2.2797466403695763E-2</v>
      </c>
      <c r="O212" s="37" t="e">
        <v>#N/A</v>
      </c>
      <c r="P212" s="37" t="e">
        <v>#N/A</v>
      </c>
      <c r="Q212" s="37" t="e">
        <v>#N/A</v>
      </c>
      <c r="R212" s="37" t="e">
        <v>#N/A</v>
      </c>
      <c r="Y212" s="37">
        <v>0.99999368177804249</v>
      </c>
      <c r="Z212" s="37">
        <v>3.6160778688115874E-2</v>
      </c>
      <c r="AA212" s="37" t="e">
        <v>#N/A</v>
      </c>
      <c r="AB212" s="37" t="e">
        <v>#N/A</v>
      </c>
      <c r="AC212" s="37" t="e">
        <v>#N/A</v>
      </c>
      <c r="AD212" s="37" t="e">
        <v>#N/A</v>
      </c>
    </row>
    <row r="213" spans="1:30" x14ac:dyDescent="0.2">
      <c r="C213" s="37"/>
      <c r="D213" s="37"/>
      <c r="E213" s="37"/>
      <c r="F213" s="37"/>
      <c r="G213" s="37"/>
      <c r="H213" s="37"/>
      <c r="M213" s="37"/>
      <c r="N213" s="37"/>
      <c r="O213" s="37"/>
      <c r="P213" s="37"/>
      <c r="Q213" s="37"/>
      <c r="R213" s="37"/>
      <c r="Y213" s="37"/>
      <c r="Z213" s="37"/>
      <c r="AA213" s="37"/>
      <c r="AB213" s="37"/>
      <c r="AC213" s="37"/>
      <c r="AD213" s="37"/>
    </row>
    <row r="214" spans="1:30" x14ac:dyDescent="0.2">
      <c r="C214" s="37">
        <f t="array" ref="C214:H216">LINEST(E148:S148,E144:S144^{1;2;3;4},,TRUE())</f>
        <v>-4.2868700702763981E-15</v>
      </c>
      <c r="D214" s="37">
        <v>9.0397542065626237E-12</v>
      </c>
      <c r="E214" s="37">
        <v>4.9893699159610021E-8</v>
      </c>
      <c r="F214" s="37">
        <v>-1.1732289678117079E-4</v>
      </c>
      <c r="G214" s="37">
        <v>0.84634645159211574</v>
      </c>
      <c r="H214" s="37" t="e">
        <v>#N/A</v>
      </c>
      <c r="M214" s="37">
        <f t="array" ref="M214:R216">LINEST(E153:S153,E151:S151^{1;2;3;4},,TRUE())</f>
        <v>-3.1306174851178685E-13</v>
      </c>
      <c r="N214" s="37">
        <v>1.4083006139014867E-9</v>
      </c>
      <c r="O214" s="37">
        <v>-2.5032107902652712E-6</v>
      </c>
      <c r="P214" s="37">
        <v>2.1783393882289104E-3</v>
      </c>
      <c r="Q214" s="37">
        <v>3.1089607422360332E-2</v>
      </c>
      <c r="R214" s="37" t="e">
        <v>#N/A</v>
      </c>
      <c r="Y214" s="37">
        <f t="array" ref="Y214:AD216">LINEST(E158:S158,E156:S156^{1;2;3;4},,TRUE())</f>
        <v>-1.9379965525486619E-11</v>
      </c>
      <c r="Z214" s="37">
        <v>5.620650088535213E-8</v>
      </c>
      <c r="AA214" s="37">
        <v>-6.1927296103900681E-5</v>
      </c>
      <c r="AB214" s="37">
        <v>3.0955543371376768E-2</v>
      </c>
      <c r="AC214" s="37">
        <v>-5.1247711897523995</v>
      </c>
      <c r="AD214" s="37" t="e">
        <v>#N/A</v>
      </c>
    </row>
    <row r="215" spans="1:30" x14ac:dyDescent="0.2">
      <c r="C215" s="37">
        <v>1.1787244119833757E-14</v>
      </c>
      <c r="D215" s="37">
        <v>1.2569378709071072E-10</v>
      </c>
      <c r="E215" s="37">
        <v>4.9888820381023983E-7</v>
      </c>
      <c r="F215" s="37">
        <v>8.7334746419750467E-4</v>
      </c>
      <c r="G215" s="37">
        <v>0.56887981551408395</v>
      </c>
      <c r="H215" s="37" t="e">
        <v>#N/A</v>
      </c>
      <c r="M215" s="37">
        <v>2.778468563219031E-14</v>
      </c>
      <c r="N215" s="37">
        <v>1.556134987857307E-10</v>
      </c>
      <c r="O215" s="37">
        <v>3.1951292894934427E-7</v>
      </c>
      <c r="P215" s="37">
        <v>2.8455773789066026E-4</v>
      </c>
      <c r="Q215" s="37">
        <v>9.2613543124039049E-2</v>
      </c>
      <c r="R215" s="37" t="e">
        <v>#N/A</v>
      </c>
      <c r="Y215" s="37">
        <v>1.8762991214430005E-12</v>
      </c>
      <c r="Z215" s="37">
        <v>6.1449104195823663E-9</v>
      </c>
      <c r="AA215" s="37">
        <v>7.4110060608056277E-6</v>
      </c>
      <c r="AB215" s="37">
        <v>3.8966979587662111E-3</v>
      </c>
      <c r="AC215" s="37">
        <v>0.75300949059702449</v>
      </c>
      <c r="AD215" s="37" t="e">
        <v>#N/A</v>
      </c>
    </row>
    <row r="216" spans="1:30" x14ac:dyDescent="0.2">
      <c r="C216" s="37">
        <v>0.99679229641242073</v>
      </c>
      <c r="D216" s="37">
        <v>5.8034574023354635E-4</v>
      </c>
      <c r="E216" s="37" t="e">
        <v>#N/A</v>
      </c>
      <c r="F216" s="37" t="e">
        <v>#N/A</v>
      </c>
      <c r="G216" s="37" t="e">
        <v>#N/A</v>
      </c>
      <c r="H216" s="37" t="e">
        <v>#N/A</v>
      </c>
      <c r="M216" s="37">
        <v>0.9996832463413049</v>
      </c>
      <c r="N216" s="37">
        <v>9.5072664061261985E-4</v>
      </c>
      <c r="O216" s="37" t="e">
        <v>#N/A</v>
      </c>
      <c r="P216" s="37" t="e">
        <v>#N/A</v>
      </c>
      <c r="Q216" s="37" t="e">
        <v>#N/A</v>
      </c>
      <c r="R216" s="37" t="e">
        <v>#N/A</v>
      </c>
      <c r="Y216" s="37">
        <v>0.99895471232786492</v>
      </c>
      <c r="Z216" s="37">
        <v>4.8331836537977239E-3</v>
      </c>
      <c r="AA216" s="37" t="e">
        <v>#N/A</v>
      </c>
      <c r="AB216" s="37" t="e">
        <v>#N/A</v>
      </c>
      <c r="AC216" s="37" t="e">
        <v>#N/A</v>
      </c>
      <c r="AD216" s="37" t="e">
        <v>#N/A</v>
      </c>
    </row>
    <row r="217" spans="1:30" x14ac:dyDescent="0.2">
      <c r="C217" s="37"/>
      <c r="D217" s="37"/>
      <c r="E217" s="37"/>
      <c r="F217" s="37"/>
      <c r="G217" s="37"/>
      <c r="H217" s="37"/>
      <c r="M217" s="37"/>
      <c r="N217" s="37"/>
      <c r="O217" s="37"/>
      <c r="P217" s="37"/>
      <c r="Q217" s="37"/>
      <c r="R217" s="37"/>
      <c r="Y217" s="37"/>
      <c r="Z217" s="37"/>
      <c r="AA217" s="37"/>
      <c r="AB217" s="37"/>
      <c r="AC217" s="37"/>
      <c r="AD217" s="37"/>
    </row>
    <row r="218" spans="1:30" x14ac:dyDescent="0.2">
      <c r="C218" s="37">
        <f t="array" ref="C218:H220">LINEST(E149:S149,E144:S144^{1;2;3;4},,TRUE())</f>
        <v>2.0557187629313764E-15</v>
      </c>
      <c r="D218" s="37">
        <v>-9.0149635490462278E-11</v>
      </c>
      <c r="E218" s="37">
        <v>4.7073427043939565E-7</v>
      </c>
      <c r="F218" s="37">
        <v>-9.174403504748843E-4</v>
      </c>
      <c r="G218" s="37">
        <v>3.2063816030482863</v>
      </c>
      <c r="H218" s="37" t="e">
        <v>#N/A</v>
      </c>
      <c r="M218" s="37">
        <f t="array" ref="M218:R220">LINEST(E154:S154,E151:S151^{1;2;3;4},,TRUE())</f>
        <v>-1.9193265405396307E-13</v>
      </c>
      <c r="N218" s="37">
        <v>7.7097024746571015E-10</v>
      </c>
      <c r="O218" s="37">
        <v>-1.3989387590078625E-6</v>
      </c>
      <c r="P218" s="37">
        <v>1.2533340806124358E-3</v>
      </c>
      <c r="Q218" s="37">
        <v>1.5319217597699779</v>
      </c>
      <c r="R218" s="37" t="e">
        <v>#N/A</v>
      </c>
      <c r="Y218" s="37">
        <f t="array" ref="Y218:AD220">LINEST(E159:S159,E156:S156^{1;2;3;4},,TRUE())</f>
        <v>-7.6137024107173009E-12</v>
      </c>
      <c r="Z218" s="37">
        <v>2.335515267333448E-8</v>
      </c>
      <c r="AA218" s="37">
        <v>-2.9123027492482228E-5</v>
      </c>
      <c r="AB218" s="37">
        <v>1.6340299863025449E-2</v>
      </c>
      <c r="AC218" s="37">
        <v>-1.4281177494421176</v>
      </c>
      <c r="AD218" s="37" t="e">
        <v>#N/A</v>
      </c>
    </row>
    <row r="219" spans="1:30" x14ac:dyDescent="0.2">
      <c r="C219" s="37">
        <v>4.0664115905361169E-14</v>
      </c>
      <c r="D219" s="37">
        <v>4.336235573708078E-10</v>
      </c>
      <c r="E219" s="37">
        <v>1.7210848895053812E-6</v>
      </c>
      <c r="F219" s="37">
        <v>3.0129097309542674E-3</v>
      </c>
      <c r="G219" s="37">
        <v>1.9625448085325081</v>
      </c>
      <c r="H219" s="37" t="e">
        <v>#N/A</v>
      </c>
      <c r="M219" s="37">
        <v>1.874348045526932E-14</v>
      </c>
      <c r="N219" s="37">
        <v>1.0497648278903662E-10</v>
      </c>
      <c r="O219" s="37">
        <v>2.1554263446585495E-7</v>
      </c>
      <c r="P219" s="37">
        <v>1.9196194872077028E-4</v>
      </c>
      <c r="Q219" s="37">
        <v>6.247686795590475E-2</v>
      </c>
      <c r="R219" s="37" t="e">
        <v>#N/A</v>
      </c>
      <c r="Y219" s="37">
        <v>4.9153001755347096E-13</v>
      </c>
      <c r="Z219" s="37">
        <v>1.609768875273432E-9</v>
      </c>
      <c r="AA219" s="37">
        <v>1.9414452085631014E-6</v>
      </c>
      <c r="AB219" s="37">
        <v>1.0208095256154582E-3</v>
      </c>
      <c r="AC219" s="37">
        <v>0.19726426554334864</v>
      </c>
      <c r="AD219" s="37" t="e">
        <v>#N/A</v>
      </c>
    </row>
    <row r="220" spans="1:30" x14ac:dyDescent="0.2">
      <c r="C220" s="37">
        <v>0.99951527184724842</v>
      </c>
      <c r="D220" s="37">
        <v>2.0021004236546163E-3</v>
      </c>
      <c r="E220" s="37" t="e">
        <v>#N/A</v>
      </c>
      <c r="F220" s="37" t="e">
        <v>#N/A</v>
      </c>
      <c r="G220" s="37" t="e">
        <v>#N/A</v>
      </c>
      <c r="H220" s="37" t="e">
        <v>#N/A</v>
      </c>
      <c r="M220" s="37">
        <v>0.99997883744908189</v>
      </c>
      <c r="N220" s="37">
        <v>6.4135784879930358E-4</v>
      </c>
      <c r="O220" s="37" t="e">
        <v>#N/A</v>
      </c>
      <c r="P220" s="37" t="e">
        <v>#N/A</v>
      </c>
      <c r="Q220" s="37" t="e">
        <v>#N/A</v>
      </c>
      <c r="R220" s="37" t="e">
        <v>#N/A</v>
      </c>
      <c r="Y220" s="37">
        <v>0.99997947099221174</v>
      </c>
      <c r="Z220" s="37">
        <v>1.2661386551006352E-3</v>
      </c>
      <c r="AA220" s="37" t="e">
        <v>#N/A</v>
      </c>
      <c r="AB220" s="37" t="e">
        <v>#N/A</v>
      </c>
      <c r="AC220" s="37" t="e">
        <v>#N/A</v>
      </c>
      <c r="AD220" s="37" t="e">
        <v>#N/A</v>
      </c>
    </row>
    <row r="222" spans="1:30" ht="15.75" x14ac:dyDescent="0.2">
      <c r="A222" s="8" t="s">
        <v>277</v>
      </c>
      <c r="B222" s="8"/>
      <c r="C222" s="8"/>
      <c r="D222" s="8"/>
      <c r="E222" s="8"/>
    </row>
    <row r="224" spans="1:30" x14ac:dyDescent="0.2">
      <c r="A224" s="12"/>
      <c r="B224" s="13" t="s">
        <v>240</v>
      </c>
      <c r="C224" s="12"/>
      <c r="D224" s="12"/>
      <c r="E224" s="12"/>
    </row>
    <row r="225" spans="1:5" x14ac:dyDescent="0.2">
      <c r="A225" s="12">
        <v>1</v>
      </c>
      <c r="B225" s="13" t="s">
        <v>278</v>
      </c>
      <c r="C225" s="12" t="s">
        <v>279</v>
      </c>
      <c r="D225" s="12" t="s">
        <v>77</v>
      </c>
      <c r="E225" s="21">
        <f>C210*E51^4+D210*E51^3+E210*E51^2+F210*E51+G210</f>
        <v>91.949173428347166</v>
      </c>
    </row>
    <row r="226" spans="1:5" x14ac:dyDescent="0.2">
      <c r="A226" s="12">
        <v>2</v>
      </c>
      <c r="B226" s="13" t="s">
        <v>280</v>
      </c>
      <c r="C226" s="12" t="s">
        <v>281</v>
      </c>
      <c r="D226" s="12" t="s">
        <v>83</v>
      </c>
      <c r="E226" s="22">
        <f>C218*E51^4+D218*E51^3+E218*E51^2+F218*E51+G218</f>
        <v>2.2820440067511907</v>
      </c>
    </row>
    <row r="227" spans="1:5" x14ac:dyDescent="0.2">
      <c r="A227" s="12">
        <v>3</v>
      </c>
      <c r="B227" s="13" t="s">
        <v>282</v>
      </c>
      <c r="C227" s="12" t="s">
        <v>283</v>
      </c>
      <c r="D227" s="12" t="s">
        <v>83</v>
      </c>
      <c r="E227" s="22">
        <f>C214*E51^4+D214*E51^3+E214*E51^2+F214*E51+G214</f>
        <v>0.81232534239262177</v>
      </c>
    </row>
    <row r="228" spans="1:5" ht="15.75" x14ac:dyDescent="0.2">
      <c r="A228" s="12">
        <v>4</v>
      </c>
      <c r="B228" s="13" t="s">
        <v>284</v>
      </c>
      <c r="C228" s="33" t="s">
        <v>285</v>
      </c>
      <c r="D228" s="12" t="s">
        <v>286</v>
      </c>
      <c r="E228" s="20">
        <f>(1-E225/E45)*100</f>
        <v>15.48789206953386</v>
      </c>
    </row>
    <row r="229" spans="1:5" ht="15.75" x14ac:dyDescent="0.2">
      <c r="A229" s="12">
        <v>5</v>
      </c>
      <c r="B229" s="13" t="s">
        <v>287</v>
      </c>
      <c r="C229" s="33" t="s">
        <v>288</v>
      </c>
      <c r="D229" s="12" t="s">
        <v>286</v>
      </c>
      <c r="E229" s="20">
        <f>(1-E226/E46)*100</f>
        <v>2.4771713391557149</v>
      </c>
    </row>
    <row r="230" spans="1:5" ht="15.75" x14ac:dyDescent="0.2">
      <c r="A230" s="12">
        <v>6</v>
      </c>
      <c r="B230" s="13" t="s">
        <v>289</v>
      </c>
      <c r="C230" s="33" t="s">
        <v>290</v>
      </c>
      <c r="D230" s="12" t="s">
        <v>286</v>
      </c>
      <c r="E230" s="20">
        <f>(1-E227/E49)*100</f>
        <v>-12.157371839643316</v>
      </c>
    </row>
    <row r="231" spans="1:5" x14ac:dyDescent="0.2">
      <c r="A231" s="12"/>
      <c r="B231" s="13" t="s">
        <v>255</v>
      </c>
      <c r="C231" s="12"/>
      <c r="D231" s="12"/>
      <c r="E231" s="12"/>
    </row>
    <row r="232" spans="1:5" x14ac:dyDescent="0.2">
      <c r="A232" s="12">
        <v>1</v>
      </c>
      <c r="B232" s="13" t="s">
        <v>278</v>
      </c>
      <c r="C232" s="12" t="s">
        <v>291</v>
      </c>
      <c r="D232" s="12" t="s">
        <v>77</v>
      </c>
      <c r="E232" s="21">
        <f>M210*E62^4+N210*E62^3+O210*E62^2+P210*E62+Q210</f>
        <v>64.725922281234773</v>
      </c>
    </row>
    <row r="233" spans="1:5" x14ac:dyDescent="0.2">
      <c r="A233" s="12">
        <v>2</v>
      </c>
      <c r="B233" s="13" t="s">
        <v>280</v>
      </c>
      <c r="C233" s="12" t="s">
        <v>292</v>
      </c>
      <c r="D233" s="12" t="s">
        <v>83</v>
      </c>
      <c r="E233" s="22">
        <f>M218*E62^4+N218*E62^3+O218*E62^2+P218*E62+Q218</f>
        <v>1.8395369761449492</v>
      </c>
    </row>
    <row r="234" spans="1:5" x14ac:dyDescent="0.2">
      <c r="A234" s="12">
        <v>3</v>
      </c>
      <c r="B234" s="13" t="s">
        <v>282</v>
      </c>
      <c r="C234" s="12" t="s">
        <v>293</v>
      </c>
      <c r="D234" s="12" t="s">
        <v>83</v>
      </c>
      <c r="E234" s="22">
        <f>M214*E62^4+N214*E62^3+O214*E62^2+P214*E62+Q214</f>
        <v>0.81912899556442853</v>
      </c>
    </row>
    <row r="235" spans="1:5" ht="15.75" x14ac:dyDescent="0.2">
      <c r="A235" s="12">
        <v>4</v>
      </c>
      <c r="B235" s="13" t="s">
        <v>284</v>
      </c>
      <c r="C235" s="33" t="s">
        <v>294</v>
      </c>
      <c r="D235" s="12" t="s">
        <v>286</v>
      </c>
      <c r="E235" s="20">
        <f>(1-E232/E56)*100</f>
        <v>7.4021140468744751</v>
      </c>
    </row>
    <row r="236" spans="1:5" ht="15.75" x14ac:dyDescent="0.2">
      <c r="A236" s="12">
        <v>5</v>
      </c>
      <c r="B236" s="13" t="s">
        <v>287</v>
      </c>
      <c r="C236" s="33" t="s">
        <v>295</v>
      </c>
      <c r="D236" s="12" t="s">
        <v>286</v>
      </c>
      <c r="E236" s="20">
        <f>(1-E233/E57)*100</f>
        <v>-1.2447796183250981</v>
      </c>
    </row>
    <row r="237" spans="1:5" ht="15.75" x14ac:dyDescent="0.2">
      <c r="A237" s="12">
        <v>6</v>
      </c>
      <c r="B237" s="13" t="s">
        <v>289</v>
      </c>
      <c r="C237" s="33" t="s">
        <v>296</v>
      </c>
      <c r="D237" s="12" t="s">
        <v>286</v>
      </c>
      <c r="E237" s="20">
        <f>(1-E234/E60)*100</f>
        <v>-0.84757354756432868</v>
      </c>
    </row>
    <row r="238" spans="1:5" x14ac:dyDescent="0.2">
      <c r="A238" s="12"/>
      <c r="B238" s="13" t="s">
        <v>264</v>
      </c>
      <c r="C238" s="12"/>
      <c r="D238" s="12"/>
      <c r="E238" s="12"/>
    </row>
    <row r="239" spans="1:5" x14ac:dyDescent="0.2">
      <c r="A239" s="12">
        <v>1</v>
      </c>
      <c r="B239" s="13" t="s">
        <v>278</v>
      </c>
      <c r="C239" s="12" t="s">
        <v>297</v>
      </c>
      <c r="D239" s="12" t="s">
        <v>77</v>
      </c>
      <c r="E239" s="21">
        <f>Y210*E73^4+Z210*E73^3+AA210*E73^2+AB210*E73+AC210</f>
        <v>54.59758562990406</v>
      </c>
    </row>
    <row r="240" spans="1:5" x14ac:dyDescent="0.2">
      <c r="A240" s="12">
        <v>2</v>
      </c>
      <c r="B240" s="13" t="s">
        <v>280</v>
      </c>
      <c r="C240" s="12" t="s">
        <v>298</v>
      </c>
      <c r="D240" s="12" t="s">
        <v>83</v>
      </c>
      <c r="E240" s="22">
        <f>Y218*E73^4+Z218*E73^3+AA218*E73^2+AB218*E73+AC218</f>
        <v>1.6845726011718813</v>
      </c>
    </row>
    <row r="241" spans="1:15" x14ac:dyDescent="0.2">
      <c r="A241" s="12">
        <v>3</v>
      </c>
      <c r="B241" s="13" t="s">
        <v>282</v>
      </c>
      <c r="C241" s="12" t="s">
        <v>299</v>
      </c>
      <c r="D241" s="12" t="s">
        <v>83</v>
      </c>
      <c r="E241" s="22">
        <f>Y214*E73^4+Z214*E73^3+AA214*E73^2+AB214*E73+AC214</f>
        <v>0.82170504535666744</v>
      </c>
    </row>
    <row r="242" spans="1:15" ht="15.75" x14ac:dyDescent="0.2">
      <c r="A242" s="12">
        <v>4</v>
      </c>
      <c r="B242" s="13" t="s">
        <v>284</v>
      </c>
      <c r="C242" s="33" t="s">
        <v>300</v>
      </c>
      <c r="D242" s="12" t="s">
        <v>286</v>
      </c>
      <c r="E242" s="20">
        <f>(1-E239/E67)*100</f>
        <v>27.300152290407343</v>
      </c>
    </row>
    <row r="243" spans="1:15" ht="15.75" x14ac:dyDescent="0.2">
      <c r="A243" s="12">
        <v>5</v>
      </c>
      <c r="B243" s="13" t="s">
        <v>287</v>
      </c>
      <c r="C243" s="33" t="s">
        <v>301</v>
      </c>
      <c r="D243" s="12" t="s">
        <v>286</v>
      </c>
      <c r="E243" s="20">
        <f>(1-E240/E68)*100</f>
        <v>7.5582454372051133</v>
      </c>
    </row>
    <row r="244" spans="1:15" ht="15.75" x14ac:dyDescent="0.2">
      <c r="A244" s="12">
        <v>6</v>
      </c>
      <c r="B244" s="13" t="s">
        <v>289</v>
      </c>
      <c r="C244" s="33" t="s">
        <v>302</v>
      </c>
      <c r="D244" s="12" t="s">
        <v>286</v>
      </c>
      <c r="E244" s="20">
        <f>(1-E241/E71)*100</f>
        <v>-6.2904234898746525</v>
      </c>
    </row>
    <row r="246" spans="1:15" ht="15.75" x14ac:dyDescent="0.2">
      <c r="A246" s="8" t="s">
        <v>303</v>
      </c>
      <c r="B246" s="8"/>
      <c r="C246" s="8"/>
      <c r="D246" s="8"/>
      <c r="E246" s="8"/>
    </row>
    <row r="248" spans="1:15" x14ac:dyDescent="0.2">
      <c r="A248" s="12"/>
      <c r="B248" s="13" t="s">
        <v>304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pans="1:15" x14ac:dyDescent="0.2">
      <c r="A249" s="12">
        <v>1</v>
      </c>
      <c r="B249" s="13" t="s">
        <v>305</v>
      </c>
      <c r="C249" s="12" t="s">
        <v>95</v>
      </c>
      <c r="D249" s="12" t="s">
        <v>96</v>
      </c>
      <c r="E249" s="21">
        <v>3803.5</v>
      </c>
      <c r="F249" s="21">
        <v>3704.7</v>
      </c>
      <c r="G249" s="21">
        <v>3474.4</v>
      </c>
      <c r="H249" s="21">
        <v>3247</v>
      </c>
      <c r="I249" s="21">
        <v>3186.5</v>
      </c>
      <c r="J249" s="21">
        <v>3087.2</v>
      </c>
      <c r="K249" s="21">
        <v>2955.6</v>
      </c>
      <c r="L249" s="21">
        <v>2738.9</v>
      </c>
      <c r="M249" s="21">
        <v>2510.9</v>
      </c>
      <c r="N249" s="21">
        <v>2434</v>
      </c>
      <c r="O249" s="21">
        <v>2127.9</v>
      </c>
    </row>
    <row r="250" spans="1:15" x14ac:dyDescent="0.2">
      <c r="A250" s="12">
        <v>2</v>
      </c>
      <c r="B250" s="13" t="s">
        <v>306</v>
      </c>
      <c r="C250" s="12" t="s">
        <v>307</v>
      </c>
      <c r="D250" s="12" t="s">
        <v>83</v>
      </c>
      <c r="E250" s="22">
        <v>0.22600000000000001</v>
      </c>
      <c r="F250" s="22">
        <v>0.217</v>
      </c>
      <c r="G250" s="22">
        <v>0.19400000000000001</v>
      </c>
      <c r="H250" s="22">
        <v>0.18099999999999999</v>
      </c>
      <c r="I250" s="22">
        <v>0.17599999999999999</v>
      </c>
      <c r="J250" s="22">
        <v>0.16900000000000001</v>
      </c>
      <c r="K250" s="22">
        <v>0.157</v>
      </c>
      <c r="L250" s="22">
        <v>0.14000000000000001</v>
      </c>
      <c r="M250" s="22">
        <v>0.128</v>
      </c>
      <c r="N250" s="22">
        <v>0.125</v>
      </c>
      <c r="O250" s="22">
        <v>0.11</v>
      </c>
    </row>
    <row r="251" spans="1:15" x14ac:dyDescent="0.2">
      <c r="A251" s="12">
        <v>3</v>
      </c>
      <c r="B251" s="13" t="s">
        <v>308</v>
      </c>
      <c r="C251" s="12" t="s">
        <v>309</v>
      </c>
      <c r="D251" s="12" t="s">
        <v>180</v>
      </c>
      <c r="E251" s="20">
        <v>29.245999999999999</v>
      </c>
      <c r="F251" s="20">
        <v>27.599</v>
      </c>
      <c r="G251" s="20">
        <v>24.013000000000002</v>
      </c>
      <c r="H251" s="20">
        <v>21.812999999999999</v>
      </c>
      <c r="I251" s="20">
        <v>19.95</v>
      </c>
      <c r="J251" s="20">
        <v>20.13</v>
      </c>
      <c r="K251" s="20">
        <v>18.225000000000001</v>
      </c>
      <c r="L251" s="20">
        <v>16.367999999999999</v>
      </c>
      <c r="M251" s="20">
        <v>14.455</v>
      </c>
      <c r="N251" s="20">
        <v>14.49</v>
      </c>
      <c r="O251" s="20">
        <v>12.342000000000001</v>
      </c>
    </row>
    <row r="252" spans="1:15" x14ac:dyDescent="0.2">
      <c r="A252" s="12"/>
      <c r="B252" s="13" t="s">
        <v>310</v>
      </c>
      <c r="C252" s="12"/>
      <c r="D252" s="12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 x14ac:dyDescent="0.2">
      <c r="A253" s="12">
        <v>1</v>
      </c>
      <c r="B253" s="13" t="s">
        <v>305</v>
      </c>
      <c r="C253" s="12" t="s">
        <v>95</v>
      </c>
      <c r="D253" s="12" t="s">
        <v>96</v>
      </c>
      <c r="E253" s="21">
        <v>3803.5</v>
      </c>
      <c r="F253" s="21">
        <v>3704.7</v>
      </c>
      <c r="G253" s="21">
        <v>3474.4</v>
      </c>
      <c r="H253" s="21">
        <v>3247</v>
      </c>
      <c r="I253" s="21">
        <v>3186.5</v>
      </c>
      <c r="J253" s="21">
        <v>3087.2</v>
      </c>
      <c r="K253" s="21">
        <v>2955.6</v>
      </c>
      <c r="L253" s="21">
        <v>2738.9</v>
      </c>
      <c r="M253" s="21">
        <v>2510.9</v>
      </c>
      <c r="N253" s="21">
        <v>2434</v>
      </c>
      <c r="O253" s="21">
        <v>2127.9</v>
      </c>
    </row>
    <row r="254" spans="1:15" x14ac:dyDescent="0.2">
      <c r="A254" s="12">
        <v>2</v>
      </c>
      <c r="B254" s="13" t="s">
        <v>306</v>
      </c>
      <c r="C254" s="12" t="s">
        <v>307</v>
      </c>
      <c r="D254" s="12" t="s">
        <v>83</v>
      </c>
      <c r="E254" s="22">
        <v>0.21299999999999999</v>
      </c>
      <c r="F254" s="22">
        <v>0.20899999999999999</v>
      </c>
      <c r="G254" s="22">
        <v>0.19700000000000001</v>
      </c>
      <c r="H254" s="22">
        <v>0.17499999999999999</v>
      </c>
      <c r="I254" s="22">
        <v>0.17199999999999999</v>
      </c>
      <c r="J254" s="22">
        <v>0.16700000000000001</v>
      </c>
      <c r="K254" s="22">
        <v>0.158</v>
      </c>
      <c r="L254" s="22">
        <v>0.14499999999999999</v>
      </c>
      <c r="M254" s="22">
        <v>0.13100000000000001</v>
      </c>
      <c r="N254" s="22">
        <v>0.127</v>
      </c>
      <c r="O254" s="22">
        <v>0.108</v>
      </c>
    </row>
    <row r="255" spans="1:15" x14ac:dyDescent="0.2">
      <c r="A255" s="12">
        <v>3</v>
      </c>
      <c r="B255" s="13" t="s">
        <v>308</v>
      </c>
      <c r="C255" s="12" t="s">
        <v>309</v>
      </c>
      <c r="D255" s="12" t="s">
        <v>180</v>
      </c>
      <c r="E255" s="20">
        <v>22.379000000000001</v>
      </c>
      <c r="F255" s="20">
        <v>20.166</v>
      </c>
      <c r="G255" s="20">
        <v>18.065000000000001</v>
      </c>
      <c r="H255" s="20">
        <v>17.231999999999999</v>
      </c>
      <c r="I255" s="20">
        <v>14.734999999999999</v>
      </c>
      <c r="J255" s="20">
        <v>15.16</v>
      </c>
      <c r="K255" s="20">
        <v>15.574999999999999</v>
      </c>
      <c r="L255" s="20">
        <v>12.884</v>
      </c>
      <c r="M255" s="20">
        <v>9.9689999999999994</v>
      </c>
      <c r="N255" s="20">
        <v>10.047000000000001</v>
      </c>
      <c r="O255" s="20">
        <v>10.191000000000001</v>
      </c>
    </row>
    <row r="292" spans="1:18" x14ac:dyDescent="0.2">
      <c r="C292" s="37">
        <f t="array" ref="C292:H294">LINEST(E251:O251,E249:O249^{1;2},,TRUE())</f>
        <v>3.444771558532137E-6</v>
      </c>
      <c r="D292" s="37">
        <v>-1.0547853444584679E-2</v>
      </c>
      <c r="E292" s="37">
        <v>19.371254889646103</v>
      </c>
      <c r="F292" s="37" t="e">
        <v>#N/A</v>
      </c>
      <c r="G292" s="37" t="e">
        <v>#N/A</v>
      </c>
      <c r="H292" s="37" t="e">
        <v>#N/A</v>
      </c>
      <c r="M292" s="37">
        <f t="array" ref="M292:R294">LINEST(E255:O255,E253:O253^{1;2},,TRUE())</f>
        <v>2.2099519020494098E-6</v>
      </c>
      <c r="N292" s="37">
        <v>-5.6903466754773448E-3</v>
      </c>
      <c r="O292" s="37">
        <v>11.548035126704768</v>
      </c>
      <c r="P292" s="37" t="e">
        <v>#N/A</v>
      </c>
      <c r="Q292" s="37" t="e">
        <v>#N/A</v>
      </c>
      <c r="R292" s="37" t="e">
        <v>#N/A</v>
      </c>
    </row>
    <row r="293" spans="1:18" x14ac:dyDescent="0.2">
      <c r="C293" s="37">
        <v>4.8009993023405122E-7</v>
      </c>
      <c r="D293" s="37">
        <v>2.8818851942686834E-3</v>
      </c>
      <c r="E293" s="37">
        <v>4.2343000367852701</v>
      </c>
      <c r="F293" s="37" t="e">
        <v>#N/A</v>
      </c>
      <c r="G293" s="37" t="e">
        <v>#N/A</v>
      </c>
      <c r="H293" s="37" t="e">
        <v>#N/A</v>
      </c>
      <c r="M293" s="37">
        <v>1.17434971000247E-6</v>
      </c>
      <c r="N293" s="37">
        <v>7.0492429367776752E-3</v>
      </c>
      <c r="O293" s="37">
        <v>10.357320855760353</v>
      </c>
      <c r="P293" s="37" t="e">
        <v>#N/A</v>
      </c>
      <c r="Q293" s="37" t="e">
        <v>#N/A</v>
      </c>
      <c r="R293" s="37" t="e">
        <v>#N/A</v>
      </c>
    </row>
    <row r="294" spans="1:18" x14ac:dyDescent="0.2">
      <c r="C294" s="37">
        <v>0.99557190800021311</v>
      </c>
      <c r="D294" s="37">
        <v>0.40652258027219612</v>
      </c>
      <c r="E294" s="37" t="e">
        <v>#N/A</v>
      </c>
      <c r="F294" s="37" t="e">
        <v>#N/A</v>
      </c>
      <c r="G294" s="37" t="e">
        <v>#N/A</v>
      </c>
      <c r="H294" s="37" t="e">
        <v>#N/A</v>
      </c>
      <c r="M294" s="37">
        <v>0.95433080566238171</v>
      </c>
      <c r="N294" s="37">
        <v>0.99437563762897119</v>
      </c>
      <c r="O294" s="37" t="e">
        <v>#N/A</v>
      </c>
      <c r="P294" s="37" t="e">
        <v>#N/A</v>
      </c>
      <c r="Q294" s="37" t="e">
        <v>#N/A</v>
      </c>
      <c r="R294" s="37" t="e">
        <v>#N/A</v>
      </c>
    </row>
    <row r="296" spans="1:18" ht="15.75" x14ac:dyDescent="0.2">
      <c r="A296" s="8" t="s">
        <v>311</v>
      </c>
      <c r="B296" s="8"/>
      <c r="C296" s="8"/>
      <c r="D296" s="8"/>
      <c r="E296" s="8"/>
    </row>
    <row r="298" spans="1:18" x14ac:dyDescent="0.2">
      <c r="A298" s="12"/>
      <c r="B298" s="13" t="s">
        <v>304</v>
      </c>
      <c r="C298" s="12"/>
      <c r="D298" s="12"/>
      <c r="E298" s="12"/>
    </row>
    <row r="299" spans="1:18" x14ac:dyDescent="0.2">
      <c r="A299" s="12">
        <v>1</v>
      </c>
      <c r="B299" s="13" t="s">
        <v>312</v>
      </c>
      <c r="C299" s="12" t="s">
        <v>313</v>
      </c>
      <c r="D299" s="12" t="s">
        <v>83</v>
      </c>
      <c r="E299" s="22">
        <f>TREND(E250:O250,E249:O249,E78)</f>
        <v>0.25104684894733675</v>
      </c>
    </row>
    <row r="300" spans="1:18" x14ac:dyDescent="0.2">
      <c r="A300" s="12">
        <v>2</v>
      </c>
      <c r="B300" s="13" t="s">
        <v>314</v>
      </c>
      <c r="C300" s="12" t="s">
        <v>315</v>
      </c>
      <c r="D300" s="12" t="s">
        <v>180</v>
      </c>
      <c r="E300" s="20">
        <f>C292*E78^2+D292*E78+E292</f>
        <v>36.488234358785853</v>
      </c>
    </row>
    <row r="301" spans="1:18" x14ac:dyDescent="0.2">
      <c r="A301" s="12">
        <v>3</v>
      </c>
      <c r="B301" s="13" t="s">
        <v>316</v>
      </c>
      <c r="C301" s="12" t="s">
        <v>317</v>
      </c>
      <c r="D301" s="12" t="s">
        <v>286</v>
      </c>
      <c r="E301" s="20">
        <f>(1-E299/E79)*100</f>
        <v>-202.26040613259349</v>
      </c>
    </row>
    <row r="302" spans="1:18" x14ac:dyDescent="0.2">
      <c r="A302" s="12">
        <v>4</v>
      </c>
      <c r="B302" s="13" t="s">
        <v>318</v>
      </c>
      <c r="C302" s="12" t="s">
        <v>319</v>
      </c>
      <c r="D302" s="12" t="s">
        <v>286</v>
      </c>
      <c r="E302" s="21">
        <f>(1-E300/E82)*100</f>
        <v>-70.953553395322317</v>
      </c>
    </row>
    <row r="303" spans="1:18" x14ac:dyDescent="0.2">
      <c r="A303" s="12"/>
      <c r="B303" s="13" t="s">
        <v>310</v>
      </c>
      <c r="C303" s="12"/>
      <c r="D303" s="12"/>
      <c r="E303" s="12"/>
    </row>
    <row r="304" spans="1:18" x14ac:dyDescent="0.2">
      <c r="A304" s="12">
        <v>1</v>
      </c>
      <c r="B304" s="13" t="s">
        <v>312</v>
      </c>
      <c r="C304" s="12" t="s">
        <v>313</v>
      </c>
      <c r="D304" s="12" t="s">
        <v>83</v>
      </c>
      <c r="E304" s="22">
        <f>TREND(E254:O254,E253:O253,E78)</f>
        <v>0.24118471376845529</v>
      </c>
    </row>
    <row r="305" spans="1:5" x14ac:dyDescent="0.2">
      <c r="A305" s="12">
        <v>2</v>
      </c>
      <c r="B305" s="13" t="s">
        <v>314</v>
      </c>
      <c r="C305" s="12" t="s">
        <v>315</v>
      </c>
      <c r="D305" s="12" t="s">
        <v>180</v>
      </c>
      <c r="E305" s="20">
        <f>M292*E78^2+N292*E78+O292</f>
        <v>27.088468661152408</v>
      </c>
    </row>
    <row r="306" spans="1:5" x14ac:dyDescent="0.2">
      <c r="A306" s="12">
        <v>3</v>
      </c>
      <c r="B306" s="13" t="s">
        <v>316</v>
      </c>
      <c r="C306" s="12" t="s">
        <v>317</v>
      </c>
      <c r="D306" s="12" t="s">
        <v>286</v>
      </c>
      <c r="E306" s="21">
        <f>(1-E304/E89)*100</f>
        <v>521.40329155655127</v>
      </c>
    </row>
    <row r="307" spans="1:5" x14ac:dyDescent="0.2">
      <c r="A307" s="12">
        <v>4</v>
      </c>
      <c r="B307" s="13" t="s">
        <v>318</v>
      </c>
      <c r="C307" s="12" t="s">
        <v>319</v>
      </c>
      <c r="D307" s="12" t="s">
        <v>286</v>
      </c>
      <c r="E307" s="20">
        <f>(1-E305/E92)*100</f>
        <v>-27.812516195113691</v>
      </c>
    </row>
    <row r="309" spans="1:5" ht="15.75" x14ac:dyDescent="0.2">
      <c r="A309" s="8" t="s">
        <v>320</v>
      </c>
      <c r="B309" s="8"/>
      <c r="C309" s="8"/>
      <c r="D309" s="8"/>
      <c r="E309" s="8"/>
    </row>
    <row r="311" spans="1:5" x14ac:dyDescent="0.2">
      <c r="A311" s="12">
        <v>1</v>
      </c>
      <c r="B311" s="13" t="s">
        <v>78</v>
      </c>
      <c r="C311" s="12" t="s">
        <v>79</v>
      </c>
      <c r="D311" s="12" t="s">
        <v>80</v>
      </c>
      <c r="E311" s="21">
        <f>E31</f>
        <v>288.39999999999998</v>
      </c>
    </row>
    <row r="312" spans="1:5" x14ac:dyDescent="0.2">
      <c r="A312" s="12">
        <v>2</v>
      </c>
      <c r="B312" s="13" t="s">
        <v>81</v>
      </c>
      <c r="C312" s="12" t="s">
        <v>82</v>
      </c>
      <c r="D312" s="12" t="s">
        <v>83</v>
      </c>
      <c r="E312" s="21">
        <f>E32</f>
        <v>1.4</v>
      </c>
    </row>
    <row r="313" spans="1:5" x14ac:dyDescent="0.2">
      <c r="A313" s="12">
        <v>3</v>
      </c>
      <c r="B313" s="13" t="s">
        <v>321</v>
      </c>
      <c r="C313" s="12" t="s">
        <v>322</v>
      </c>
      <c r="D313" s="12" t="s">
        <v>9</v>
      </c>
      <c r="E313" s="20">
        <f>E41</f>
        <v>99.350000000000009</v>
      </c>
    </row>
    <row r="314" spans="1:5" x14ac:dyDescent="0.2">
      <c r="A314" s="12">
        <v>4</v>
      </c>
      <c r="B314" s="13" t="s">
        <v>27</v>
      </c>
      <c r="C314" s="12" t="s">
        <v>323</v>
      </c>
      <c r="D314" s="12" t="s">
        <v>19</v>
      </c>
      <c r="E314" s="21">
        <f>E8</f>
        <v>-0.1</v>
      </c>
    </row>
    <row r="315" spans="1:5" x14ac:dyDescent="0.2">
      <c r="A315" s="12">
        <v>5</v>
      </c>
      <c r="B315" s="13" t="s">
        <v>324</v>
      </c>
      <c r="C315" s="12" t="s">
        <v>325</v>
      </c>
      <c r="D315" s="12" t="s">
        <v>19</v>
      </c>
      <c r="E315" s="21">
        <f>E21</f>
        <v>18.399999999999999</v>
      </c>
    </row>
    <row r="316" spans="1:5" x14ac:dyDescent="0.2">
      <c r="A316" s="12">
        <v>6</v>
      </c>
      <c r="B316" s="13" t="s">
        <v>326</v>
      </c>
      <c r="C316" s="12" t="s">
        <v>70</v>
      </c>
      <c r="D316" s="12" t="s">
        <v>71</v>
      </c>
      <c r="E316" s="38">
        <f>E25</f>
        <v>3166</v>
      </c>
    </row>
    <row r="317" spans="1:5" ht="18.75" x14ac:dyDescent="0.2">
      <c r="A317" s="12">
        <v>7</v>
      </c>
      <c r="B317" s="13" t="s">
        <v>327</v>
      </c>
      <c r="C317" s="39" t="s">
        <v>328</v>
      </c>
      <c r="D317" s="12" t="s">
        <v>329</v>
      </c>
      <c r="E317" s="38">
        <f>E103*1000</f>
        <v>200</v>
      </c>
    </row>
    <row r="318" spans="1:5" ht="18.75" x14ac:dyDescent="0.2">
      <c r="A318" s="12">
        <v>8</v>
      </c>
      <c r="B318" s="13" t="s">
        <v>118</v>
      </c>
      <c r="C318" s="39" t="s">
        <v>330</v>
      </c>
      <c r="D318" s="12" t="s">
        <v>331</v>
      </c>
      <c r="E318" s="22">
        <f>E313*1000/E311/(E314+273.15)</f>
        <v>1.2616254307114303</v>
      </c>
    </row>
    <row r="319" spans="1:5" ht="18.75" x14ac:dyDescent="0.2">
      <c r="A319" s="12">
        <v>9</v>
      </c>
      <c r="B319" s="13" t="s">
        <v>121</v>
      </c>
      <c r="C319" s="39" t="s">
        <v>332</v>
      </c>
      <c r="D319" s="12" t="s">
        <v>333</v>
      </c>
      <c r="E319" s="21">
        <f>E51</f>
        <v>3356.9673790537481</v>
      </c>
    </row>
    <row r="320" spans="1:5" ht="18.75" x14ac:dyDescent="0.2">
      <c r="A320" s="12"/>
      <c r="B320" s="13" t="s">
        <v>334</v>
      </c>
      <c r="C320" s="39" t="s">
        <v>335</v>
      </c>
      <c r="D320" s="12" t="s">
        <v>333</v>
      </c>
      <c r="E320" s="21">
        <f>E319*(E25/E117)</f>
        <v>3542.7195740280554</v>
      </c>
    </row>
    <row r="321" spans="1:5" x14ac:dyDescent="0.2">
      <c r="A321" s="12">
        <v>11</v>
      </c>
      <c r="B321" s="13" t="s">
        <v>94</v>
      </c>
      <c r="C321" s="39" t="s">
        <v>95</v>
      </c>
      <c r="D321" s="12" t="s">
        <v>96</v>
      </c>
      <c r="E321" s="21">
        <f>E319*E318</f>
        <v>4235.2354154829063</v>
      </c>
    </row>
    <row r="322" spans="1:5" ht="18.75" x14ac:dyDescent="0.2">
      <c r="A322" s="12">
        <v>12</v>
      </c>
      <c r="B322" s="13" t="s">
        <v>106</v>
      </c>
      <c r="C322" s="39" t="s">
        <v>336</v>
      </c>
      <c r="D322" s="12" t="s">
        <v>77</v>
      </c>
      <c r="E322" s="21">
        <f>E45</f>
        <v>108.80000000000001</v>
      </c>
    </row>
    <row r="323" spans="1:5" ht="18.75" x14ac:dyDescent="0.2">
      <c r="A323" s="12">
        <v>13</v>
      </c>
      <c r="B323" s="13" t="s">
        <v>116</v>
      </c>
      <c r="C323" s="39" t="s">
        <v>337</v>
      </c>
      <c r="D323" s="12" t="s">
        <v>83</v>
      </c>
      <c r="E323" s="22">
        <f>E49</f>
        <v>0.72427280442523356</v>
      </c>
    </row>
    <row r="324" spans="1:5" ht="18.75" x14ac:dyDescent="0.2">
      <c r="A324" s="12">
        <v>14</v>
      </c>
      <c r="B324" s="13" t="s">
        <v>108</v>
      </c>
      <c r="C324" s="39" t="s">
        <v>338</v>
      </c>
      <c r="D324" s="12" t="s">
        <v>83</v>
      </c>
      <c r="E324" s="22">
        <f>(1+E322/(E314+273.15))^(E323*E312/(E312-1))</f>
        <v>2.3400100654252642</v>
      </c>
    </row>
    <row r="325" spans="1:5" ht="18.75" x14ac:dyDescent="0.2">
      <c r="A325" s="12">
        <v>15</v>
      </c>
      <c r="B325" s="13" t="s">
        <v>100</v>
      </c>
      <c r="C325" s="39" t="s">
        <v>339</v>
      </c>
      <c r="D325" s="12" t="s">
        <v>9</v>
      </c>
      <c r="E325" s="20">
        <f>E324*E313</f>
        <v>232.48000000000002</v>
      </c>
    </row>
    <row r="326" spans="1:5" ht="18.75" x14ac:dyDescent="0.2">
      <c r="A326" s="12">
        <v>16</v>
      </c>
      <c r="B326" s="13" t="s">
        <v>104</v>
      </c>
      <c r="C326" s="39" t="s">
        <v>340</v>
      </c>
      <c r="D326" s="12" t="s">
        <v>77</v>
      </c>
      <c r="E326" s="20">
        <f>E322+E314+273.15</f>
        <v>381.85</v>
      </c>
    </row>
    <row r="327" spans="1:5" ht="18.75" x14ac:dyDescent="0.2">
      <c r="A327" s="12">
        <v>17</v>
      </c>
      <c r="B327" s="13" t="s">
        <v>172</v>
      </c>
      <c r="C327" s="39" t="s">
        <v>341</v>
      </c>
      <c r="D327" s="12" t="s">
        <v>83</v>
      </c>
      <c r="E327" s="22">
        <f>E299</f>
        <v>0.25104684894733675</v>
      </c>
    </row>
    <row r="328" spans="1:5" ht="18.75" x14ac:dyDescent="0.2">
      <c r="A328" s="12">
        <v>18</v>
      </c>
      <c r="B328" s="13" t="s">
        <v>128</v>
      </c>
      <c r="C328" s="39" t="s">
        <v>342</v>
      </c>
      <c r="D328" s="12" t="s">
        <v>77</v>
      </c>
      <c r="E328" s="20">
        <f>E315+E327*(E326-E315-273.15)+273.15</f>
        <v>314.21953045994451</v>
      </c>
    </row>
    <row r="329" spans="1:5" ht="18.75" x14ac:dyDescent="0.2">
      <c r="A329" s="12">
        <v>19</v>
      </c>
      <c r="B329" s="13" t="s">
        <v>343</v>
      </c>
      <c r="C329" s="39" t="s">
        <v>344</v>
      </c>
      <c r="D329" s="12" t="s">
        <v>77</v>
      </c>
      <c r="E329" s="20">
        <f>(E328+E326)/2</f>
        <v>348.03476522997227</v>
      </c>
    </row>
    <row r="330" spans="1:5" ht="18.75" x14ac:dyDescent="0.2">
      <c r="A330" s="12">
        <v>20</v>
      </c>
      <c r="B330" s="13" t="s">
        <v>176</v>
      </c>
      <c r="C330" s="39" t="s">
        <v>345</v>
      </c>
      <c r="D330" s="12" t="s">
        <v>331</v>
      </c>
      <c r="E330" s="22">
        <f>E325*1000/E311/E329</f>
        <v>2.3161554987077153</v>
      </c>
    </row>
    <row r="331" spans="1:5" ht="18.75" x14ac:dyDescent="0.2">
      <c r="A331" s="12">
        <v>21</v>
      </c>
      <c r="B331" s="13" t="s">
        <v>346</v>
      </c>
      <c r="C331" s="39" t="s">
        <v>347</v>
      </c>
      <c r="D331" s="12" t="s">
        <v>348</v>
      </c>
      <c r="E331" s="20">
        <f>E300</f>
        <v>36.488234358785853</v>
      </c>
    </row>
    <row r="332" spans="1:5" ht="18.75" x14ac:dyDescent="0.2">
      <c r="A332" s="12">
        <v>22</v>
      </c>
      <c r="B332" s="13" t="s">
        <v>174</v>
      </c>
      <c r="C332" s="39" t="s">
        <v>349</v>
      </c>
      <c r="D332" s="12" t="s">
        <v>9</v>
      </c>
      <c r="E332" s="20">
        <f>E331/E330</f>
        <v>15.753793032956656</v>
      </c>
    </row>
    <row r="333" spans="1:5" ht="18.75" x14ac:dyDescent="0.2">
      <c r="A333" s="12">
        <v>23</v>
      </c>
      <c r="B333" s="13" t="s">
        <v>124</v>
      </c>
      <c r="C333" s="39" t="s">
        <v>350</v>
      </c>
      <c r="D333" s="12" t="s">
        <v>9</v>
      </c>
      <c r="E333" s="20">
        <f>E325-E332</f>
        <v>216.72620696704337</v>
      </c>
    </row>
    <row r="334" spans="1:5" ht="18.75" x14ac:dyDescent="0.2">
      <c r="A334" s="12">
        <v>24</v>
      </c>
      <c r="B334" s="13" t="s">
        <v>142</v>
      </c>
      <c r="C334" s="39" t="s">
        <v>351</v>
      </c>
      <c r="D334" s="12" t="s">
        <v>331</v>
      </c>
      <c r="E334" s="22">
        <f>E333*1000/E328/E311</f>
        <v>2.3915694599146948</v>
      </c>
    </row>
    <row r="335" spans="1:5" ht="18.75" x14ac:dyDescent="0.2">
      <c r="A335" s="12">
        <v>25</v>
      </c>
      <c r="B335" s="13" t="s">
        <v>144</v>
      </c>
      <c r="C335" s="39" t="s">
        <v>352</v>
      </c>
      <c r="D335" s="12" t="s">
        <v>333</v>
      </c>
      <c r="E335" s="21">
        <f>E321/E334</f>
        <v>1770.9021153138381</v>
      </c>
    </row>
    <row r="336" spans="1:5" ht="18.75" x14ac:dyDescent="0.2">
      <c r="A336" s="12">
        <v>27</v>
      </c>
      <c r="B336" s="13" t="s">
        <v>132</v>
      </c>
      <c r="C336" s="39" t="s">
        <v>353</v>
      </c>
      <c r="D336" s="12" t="s">
        <v>77</v>
      </c>
      <c r="E336" s="21">
        <f>E56</f>
        <v>69.900000000000034</v>
      </c>
    </row>
    <row r="337" spans="1:5" ht="18.75" x14ac:dyDescent="0.2">
      <c r="A337" s="12">
        <v>28</v>
      </c>
      <c r="B337" s="13" t="s">
        <v>140</v>
      </c>
      <c r="C337" s="39" t="s">
        <v>354</v>
      </c>
      <c r="D337" s="12" t="s">
        <v>83</v>
      </c>
      <c r="E337" s="22">
        <f>E60</f>
        <v>0.81224462498157168</v>
      </c>
    </row>
    <row r="338" spans="1:5" ht="18.75" x14ac:dyDescent="0.2">
      <c r="A338" s="12">
        <v>29</v>
      </c>
      <c r="B338" s="13" t="s">
        <v>134</v>
      </c>
      <c r="C338" s="39" t="s">
        <v>355</v>
      </c>
      <c r="D338" s="12" t="s">
        <v>83</v>
      </c>
      <c r="E338" s="22">
        <f>(1+E336/E328)^(E337*E312/(E312-1))</f>
        <v>1.7700742414863961</v>
      </c>
    </row>
    <row r="339" spans="1:5" ht="18.75" x14ac:dyDescent="0.2">
      <c r="A339" s="12">
        <v>30</v>
      </c>
      <c r="B339" s="13" t="s">
        <v>126</v>
      </c>
      <c r="C339" s="39" t="s">
        <v>356</v>
      </c>
      <c r="D339" s="12" t="s">
        <v>9</v>
      </c>
      <c r="E339" s="20">
        <f>E338*E333</f>
        <v>383.62147640741301</v>
      </c>
    </row>
    <row r="340" spans="1:5" ht="18.75" x14ac:dyDescent="0.2">
      <c r="A340" s="12">
        <v>31</v>
      </c>
      <c r="B340" s="13" t="s">
        <v>130</v>
      </c>
      <c r="C340" s="39" t="s">
        <v>357</v>
      </c>
      <c r="D340" s="12" t="s">
        <v>77</v>
      </c>
      <c r="E340" s="21">
        <f>E336+E328</f>
        <v>384.11953045994454</v>
      </c>
    </row>
    <row r="341" spans="1:5" ht="18.75" x14ac:dyDescent="0.2">
      <c r="A341" s="12">
        <v>32</v>
      </c>
      <c r="B341" s="13" t="s">
        <v>195</v>
      </c>
      <c r="C341" s="39" t="s">
        <v>358</v>
      </c>
      <c r="D341" s="12" t="s">
        <v>83</v>
      </c>
      <c r="E341" s="22">
        <f>E304</f>
        <v>0.24118471376845529</v>
      </c>
    </row>
    <row r="342" spans="1:5" ht="18.75" x14ac:dyDescent="0.2">
      <c r="A342" s="12">
        <v>33</v>
      </c>
      <c r="B342" s="13" t="s">
        <v>359</v>
      </c>
      <c r="C342" s="39" t="s">
        <v>360</v>
      </c>
      <c r="D342" s="12" t="s">
        <v>77</v>
      </c>
      <c r="E342" s="21">
        <f>E315+E341*(E340-E315-273.15)+273.15</f>
        <v>313.87635570766201</v>
      </c>
    </row>
    <row r="343" spans="1:5" ht="18.75" x14ac:dyDescent="0.2">
      <c r="A343" s="12">
        <v>34</v>
      </c>
      <c r="B343" s="13" t="s">
        <v>361</v>
      </c>
      <c r="C343" s="39" t="s">
        <v>362</v>
      </c>
      <c r="D343" s="12" t="s">
        <v>77</v>
      </c>
      <c r="E343" s="21">
        <f>(E342+E340)/2</f>
        <v>348.99794308380331</v>
      </c>
    </row>
    <row r="344" spans="1:5" ht="18.75" x14ac:dyDescent="0.2">
      <c r="A344" s="12">
        <v>35</v>
      </c>
      <c r="B344" s="13" t="s">
        <v>199</v>
      </c>
      <c r="C344" s="39" t="s">
        <v>363</v>
      </c>
      <c r="D344" s="12" t="s">
        <v>331</v>
      </c>
      <c r="E344" s="20">
        <f>E339*1000/E311/E343</f>
        <v>3.8114022766355298</v>
      </c>
    </row>
    <row r="345" spans="1:5" ht="18.75" x14ac:dyDescent="0.2">
      <c r="A345" s="12">
        <v>36</v>
      </c>
      <c r="B345" s="13" t="s">
        <v>364</v>
      </c>
      <c r="C345" s="39" t="s">
        <v>365</v>
      </c>
      <c r="D345" s="12" t="s">
        <v>348</v>
      </c>
      <c r="E345" s="20">
        <f>E305</f>
        <v>27.088468661152408</v>
      </c>
    </row>
    <row r="346" spans="1:5" ht="18.75" x14ac:dyDescent="0.2">
      <c r="A346" s="12">
        <v>37</v>
      </c>
      <c r="B346" s="13" t="s">
        <v>197</v>
      </c>
      <c r="C346" s="39" t="s">
        <v>366</v>
      </c>
      <c r="D346" s="12" t="s">
        <v>9</v>
      </c>
      <c r="E346" s="20">
        <f>E345/E344</f>
        <v>7.1072184710621604</v>
      </c>
    </row>
    <row r="347" spans="1:5" ht="18.75" x14ac:dyDescent="0.2">
      <c r="A347" s="12">
        <v>38</v>
      </c>
      <c r="B347" s="13" t="s">
        <v>146</v>
      </c>
      <c r="C347" s="39" t="s">
        <v>367</v>
      </c>
      <c r="D347" s="12" t="s">
        <v>9</v>
      </c>
      <c r="E347" s="20">
        <f>E339-E346</f>
        <v>376.51425793635087</v>
      </c>
    </row>
    <row r="348" spans="1:5" ht="18.75" x14ac:dyDescent="0.2">
      <c r="A348" s="12">
        <v>39</v>
      </c>
      <c r="B348" s="13" t="s">
        <v>164</v>
      </c>
      <c r="C348" s="39" t="s">
        <v>368</v>
      </c>
      <c r="D348" s="12" t="s">
        <v>331</v>
      </c>
      <c r="E348" s="20">
        <f>E347*1000/E342/E311</f>
        <v>4.1593701354040666</v>
      </c>
    </row>
    <row r="349" spans="1:5" ht="18.75" x14ac:dyDescent="0.2">
      <c r="A349" s="12">
        <v>40</v>
      </c>
      <c r="B349" s="13" t="s">
        <v>166</v>
      </c>
      <c r="C349" s="39" t="s">
        <v>369</v>
      </c>
      <c r="D349" s="12" t="s">
        <v>333</v>
      </c>
      <c r="E349" s="20">
        <f>E321/E348</f>
        <v>1018.2396078274168</v>
      </c>
    </row>
    <row r="350" spans="1:5" ht="18.75" x14ac:dyDescent="0.2">
      <c r="A350" s="12">
        <v>42</v>
      </c>
      <c r="B350" s="13" t="s">
        <v>154</v>
      </c>
      <c r="C350" s="39" t="s">
        <v>370</v>
      </c>
      <c r="D350" s="12" t="s">
        <v>77</v>
      </c>
      <c r="E350" s="21">
        <f>E67</f>
        <v>75.099999999999966</v>
      </c>
    </row>
    <row r="351" spans="1:5" ht="18.75" x14ac:dyDescent="0.2">
      <c r="A351" s="12">
        <v>43</v>
      </c>
      <c r="B351" s="13" t="s">
        <v>162</v>
      </c>
      <c r="C351" s="39" t="s">
        <v>371</v>
      </c>
      <c r="D351" s="12" t="s">
        <v>83</v>
      </c>
      <c r="E351" s="22">
        <f>E71</f>
        <v>0.77307533301430864</v>
      </c>
    </row>
    <row r="352" spans="1:5" ht="18.75" x14ac:dyDescent="0.2">
      <c r="A352" s="12">
        <v>44</v>
      </c>
      <c r="B352" s="13" t="s">
        <v>372</v>
      </c>
      <c r="C352" s="39" t="s">
        <v>373</v>
      </c>
      <c r="D352" s="12" t="s">
        <v>83</v>
      </c>
      <c r="E352" s="22">
        <f>(1+E350/E342)^(E351*E312/(E312-1))</f>
        <v>1.786822423180489</v>
      </c>
    </row>
    <row r="353" spans="1:5" ht="18.75" x14ac:dyDescent="0.2">
      <c r="A353" s="12">
        <v>45</v>
      </c>
      <c r="B353" s="13" t="s">
        <v>148</v>
      </c>
      <c r="C353" s="39" t="s">
        <v>374</v>
      </c>
      <c r="D353" s="12" t="s">
        <v>9</v>
      </c>
      <c r="E353" s="20">
        <f>E352*E347</f>
        <v>672.7641187278341</v>
      </c>
    </row>
    <row r="354" spans="1:5" x14ac:dyDescent="0.2">
      <c r="A354" s="12">
        <v>46</v>
      </c>
      <c r="B354" s="13" t="s">
        <v>375</v>
      </c>
      <c r="C354" s="39" t="s">
        <v>88</v>
      </c>
      <c r="D354" s="12" t="s">
        <v>83</v>
      </c>
      <c r="E354" s="22">
        <f>E353/E313</f>
        <v>6.7716569575021044</v>
      </c>
    </row>
    <row r="355" spans="1:5" x14ac:dyDescent="0.2">
      <c r="A355" s="12">
        <v>47</v>
      </c>
      <c r="B355" s="13" t="s">
        <v>376</v>
      </c>
      <c r="C355" s="39" t="s">
        <v>377</v>
      </c>
      <c r="D355" s="12" t="s">
        <v>77</v>
      </c>
      <c r="E355" s="21">
        <f>E322+E336+E350</f>
        <v>253.8</v>
      </c>
    </row>
    <row r="356" spans="1:5" ht="18.75" x14ac:dyDescent="0.2">
      <c r="A356" s="12">
        <v>48</v>
      </c>
      <c r="B356" s="13" t="s">
        <v>378</v>
      </c>
      <c r="C356" s="39" t="s">
        <v>379</v>
      </c>
      <c r="D356" s="12" t="s">
        <v>83</v>
      </c>
      <c r="E356" s="22">
        <f>(E314+273.15)*LN(E354)/E355/(E312/(E312-1))</f>
        <v>0.58794916424110077</v>
      </c>
    </row>
    <row r="357" spans="1:5" x14ac:dyDescent="0.2">
      <c r="A357" s="12">
        <v>49</v>
      </c>
      <c r="B357" s="13" t="s">
        <v>380</v>
      </c>
      <c r="C357" s="39" t="s">
        <v>381</v>
      </c>
      <c r="D357" s="12" t="s">
        <v>112</v>
      </c>
      <c r="E357" s="20">
        <f>E312/(E312-1)*E311*E355/1000</f>
        <v>256.18572</v>
      </c>
    </row>
    <row r="358" spans="1:5" ht="18.75" x14ac:dyDescent="0.2">
      <c r="A358" s="12">
        <v>50</v>
      </c>
      <c r="B358" s="13" t="s">
        <v>382</v>
      </c>
      <c r="C358" s="39" t="s">
        <v>383</v>
      </c>
      <c r="D358" s="12" t="s">
        <v>115</v>
      </c>
      <c r="E358" s="22">
        <f>E321*E357/60000</f>
        <v>18.083447238083124</v>
      </c>
    </row>
    <row r="359" spans="1:5" ht="18.75" x14ac:dyDescent="0.2">
      <c r="A359" s="12">
        <v>51</v>
      </c>
      <c r="B359" s="13" t="s">
        <v>384</v>
      </c>
      <c r="C359" s="39" t="s">
        <v>385</v>
      </c>
      <c r="D359" s="12" t="s">
        <v>115</v>
      </c>
      <c r="E359" s="22">
        <f>E358+E317*(E316/3000)^2/1000</f>
        <v>18.306192926972013</v>
      </c>
    </row>
    <row r="361" spans="1:5" ht="15.75" x14ac:dyDescent="0.2">
      <c r="A361" s="8" t="s">
        <v>386</v>
      </c>
      <c r="B361" s="8"/>
      <c r="C361" s="8"/>
      <c r="D361" s="8"/>
      <c r="E361" s="8"/>
    </row>
    <row r="363" spans="1:5" x14ac:dyDescent="0.2">
      <c r="A363" s="12">
        <v>1</v>
      </c>
      <c r="B363" s="13" t="s">
        <v>78</v>
      </c>
      <c r="C363" s="12" t="s">
        <v>79</v>
      </c>
      <c r="D363" s="12" t="s">
        <v>80</v>
      </c>
      <c r="E363" s="21">
        <f t="shared" ref="E363:E369" si="12">E311</f>
        <v>288.39999999999998</v>
      </c>
    </row>
    <row r="364" spans="1:5" x14ac:dyDescent="0.2">
      <c r="A364" s="12">
        <v>2</v>
      </c>
      <c r="B364" s="13" t="s">
        <v>81</v>
      </c>
      <c r="C364" s="12" t="s">
        <v>82</v>
      </c>
      <c r="D364" s="12" t="s">
        <v>83</v>
      </c>
      <c r="E364" s="21">
        <f t="shared" si="12"/>
        <v>1.4</v>
      </c>
    </row>
    <row r="365" spans="1:5" x14ac:dyDescent="0.2">
      <c r="A365" s="12">
        <v>3</v>
      </c>
      <c r="B365" s="13" t="s">
        <v>321</v>
      </c>
      <c r="C365" s="12" t="s">
        <v>322</v>
      </c>
      <c r="D365" s="12" t="s">
        <v>9</v>
      </c>
      <c r="E365" s="20">
        <f t="shared" si="12"/>
        <v>99.350000000000009</v>
      </c>
    </row>
    <row r="366" spans="1:5" x14ac:dyDescent="0.2">
      <c r="A366" s="12">
        <v>4</v>
      </c>
      <c r="B366" s="13" t="s">
        <v>27</v>
      </c>
      <c r="C366" s="12" t="s">
        <v>323</v>
      </c>
      <c r="D366" s="12" t="s">
        <v>19</v>
      </c>
      <c r="E366" s="21">
        <f t="shared" si="12"/>
        <v>-0.1</v>
      </c>
    </row>
    <row r="367" spans="1:5" x14ac:dyDescent="0.2">
      <c r="A367" s="12">
        <v>5</v>
      </c>
      <c r="B367" s="13" t="s">
        <v>324</v>
      </c>
      <c r="C367" s="12" t="s">
        <v>325</v>
      </c>
      <c r="D367" s="12" t="s">
        <v>19</v>
      </c>
      <c r="E367" s="21">
        <f t="shared" si="12"/>
        <v>18.399999999999999</v>
      </c>
    </row>
    <row r="368" spans="1:5" x14ac:dyDescent="0.2">
      <c r="A368" s="12">
        <v>6</v>
      </c>
      <c r="B368" s="13" t="s">
        <v>326</v>
      </c>
      <c r="C368" s="12" t="s">
        <v>70</v>
      </c>
      <c r="D368" s="12" t="s">
        <v>71</v>
      </c>
      <c r="E368" s="38">
        <f t="shared" si="12"/>
        <v>3166</v>
      </c>
    </row>
    <row r="369" spans="1:5" ht="18.75" x14ac:dyDescent="0.2">
      <c r="A369" s="12">
        <v>7</v>
      </c>
      <c r="B369" s="13" t="s">
        <v>327</v>
      </c>
      <c r="C369" s="39" t="s">
        <v>328</v>
      </c>
      <c r="D369" s="12" t="s">
        <v>329</v>
      </c>
      <c r="E369" s="38">
        <f t="shared" si="12"/>
        <v>200</v>
      </c>
    </row>
    <row r="370" spans="1:5" ht="18.75" x14ac:dyDescent="0.2">
      <c r="A370" s="12">
        <v>8</v>
      </c>
      <c r="B370" s="13" t="s">
        <v>118</v>
      </c>
      <c r="C370" s="39" t="s">
        <v>330</v>
      </c>
      <c r="D370" s="12" t="s">
        <v>331</v>
      </c>
      <c r="E370" s="22">
        <f>E365*1000/E363/(E366+273.15)</f>
        <v>1.2616254307114303</v>
      </c>
    </row>
    <row r="371" spans="1:5" ht="18.75" x14ac:dyDescent="0.2">
      <c r="A371" s="12">
        <v>9</v>
      </c>
      <c r="B371" s="13" t="s">
        <v>121</v>
      </c>
      <c r="C371" s="39" t="s">
        <v>332</v>
      </c>
      <c r="D371" s="12" t="s">
        <v>333</v>
      </c>
      <c r="E371" s="21">
        <f>E319</f>
        <v>3356.9673790537481</v>
      </c>
    </row>
    <row r="372" spans="1:5" x14ac:dyDescent="0.2">
      <c r="A372" s="12">
        <v>11</v>
      </c>
      <c r="B372" s="13" t="s">
        <v>94</v>
      </c>
      <c r="C372" s="39" t="s">
        <v>95</v>
      </c>
      <c r="D372" s="12" t="s">
        <v>96</v>
      </c>
      <c r="E372" s="21">
        <f>E371*E370</f>
        <v>4235.2354154829063</v>
      </c>
    </row>
    <row r="373" spans="1:5" ht="18.75" x14ac:dyDescent="0.2">
      <c r="A373" s="12">
        <v>12</v>
      </c>
      <c r="B373" s="13" t="s">
        <v>106</v>
      </c>
      <c r="C373" s="39" t="s">
        <v>336</v>
      </c>
      <c r="D373" s="12" t="s">
        <v>77</v>
      </c>
      <c r="E373" s="21">
        <f>E225</f>
        <v>91.949173428347166</v>
      </c>
    </row>
    <row r="374" spans="1:5" ht="18.75" x14ac:dyDescent="0.2">
      <c r="A374" s="12">
        <v>13</v>
      </c>
      <c r="B374" s="13" t="s">
        <v>116</v>
      </c>
      <c r="C374" s="39" t="s">
        <v>337</v>
      </c>
      <c r="D374" s="12" t="s">
        <v>83</v>
      </c>
      <c r="E374" s="22">
        <f>E227</f>
        <v>0.81232534239262177</v>
      </c>
    </row>
    <row r="375" spans="1:5" ht="18.75" x14ac:dyDescent="0.2">
      <c r="A375" s="12">
        <v>14</v>
      </c>
      <c r="B375" s="13" t="s">
        <v>108</v>
      </c>
      <c r="C375" s="39" t="s">
        <v>338</v>
      </c>
      <c r="D375" s="12" t="s">
        <v>83</v>
      </c>
      <c r="E375" s="22">
        <f>(1+E373/(E366+273.15))^(E374*E364/(E364-1))</f>
        <v>2.2823212835355648</v>
      </c>
    </row>
    <row r="376" spans="1:5" ht="18.75" x14ac:dyDescent="0.2">
      <c r="A376" s="12">
        <v>15</v>
      </c>
      <c r="B376" s="13" t="s">
        <v>100</v>
      </c>
      <c r="C376" s="39" t="s">
        <v>339</v>
      </c>
      <c r="D376" s="12" t="s">
        <v>9</v>
      </c>
      <c r="E376" s="20">
        <f>E375*E365</f>
        <v>226.7486195192584</v>
      </c>
    </row>
    <row r="377" spans="1:5" ht="18.75" x14ac:dyDescent="0.2">
      <c r="A377" s="12">
        <v>16</v>
      </c>
      <c r="B377" s="13" t="s">
        <v>104</v>
      </c>
      <c r="C377" s="39" t="s">
        <v>340</v>
      </c>
      <c r="D377" s="12" t="s">
        <v>77</v>
      </c>
      <c r="E377" s="20">
        <f>E373+E366+273.15</f>
        <v>364.99917342834715</v>
      </c>
    </row>
    <row r="378" spans="1:5" ht="18.75" x14ac:dyDescent="0.2">
      <c r="A378" s="12">
        <v>17</v>
      </c>
      <c r="B378" s="13" t="s">
        <v>172</v>
      </c>
      <c r="C378" s="39" t="s">
        <v>341</v>
      </c>
      <c r="D378" s="12" t="s">
        <v>83</v>
      </c>
      <c r="E378" s="22">
        <f>E299</f>
        <v>0.25104684894733675</v>
      </c>
    </row>
    <row r="379" spans="1:5" ht="18.75" x14ac:dyDescent="0.2">
      <c r="A379" s="12">
        <v>18</v>
      </c>
      <c r="B379" s="13" t="s">
        <v>128</v>
      </c>
      <c r="C379" s="39" t="s">
        <v>342</v>
      </c>
      <c r="D379" s="12" t="s">
        <v>77</v>
      </c>
      <c r="E379" s="21">
        <f>E367+E378*(E377-E367-273.15)+273.15</f>
        <v>309.98918354697298</v>
      </c>
    </row>
    <row r="380" spans="1:5" ht="18.75" x14ac:dyDescent="0.2">
      <c r="A380" s="12">
        <v>19</v>
      </c>
      <c r="B380" s="13" t="s">
        <v>343</v>
      </c>
      <c r="C380" s="39" t="s">
        <v>344</v>
      </c>
      <c r="D380" s="12" t="s">
        <v>77</v>
      </c>
      <c r="E380" s="21">
        <f>(E379+E377)/2</f>
        <v>337.49417848766007</v>
      </c>
    </row>
    <row r="381" spans="1:5" ht="18.75" x14ac:dyDescent="0.2">
      <c r="A381" s="12">
        <v>20</v>
      </c>
      <c r="B381" s="13" t="s">
        <v>176</v>
      </c>
      <c r="C381" s="39" t="s">
        <v>345</v>
      </c>
      <c r="D381" s="12" t="s">
        <v>331</v>
      </c>
      <c r="E381" s="22">
        <f>E376*1000/E363/E380</f>
        <v>2.3296093980249384</v>
      </c>
    </row>
    <row r="382" spans="1:5" ht="18.75" x14ac:dyDescent="0.2">
      <c r="A382" s="12">
        <v>21</v>
      </c>
      <c r="B382" s="13" t="s">
        <v>346</v>
      </c>
      <c r="C382" s="39" t="s">
        <v>347</v>
      </c>
      <c r="D382" s="12" t="s">
        <v>348</v>
      </c>
      <c r="E382" s="20">
        <f>E331</f>
        <v>36.488234358785853</v>
      </c>
    </row>
    <row r="383" spans="1:5" ht="18.75" x14ac:dyDescent="0.2">
      <c r="A383" s="12">
        <v>22</v>
      </c>
      <c r="B383" s="13" t="s">
        <v>174</v>
      </c>
      <c r="C383" s="39" t="s">
        <v>349</v>
      </c>
      <c r="D383" s="12" t="s">
        <v>9</v>
      </c>
      <c r="E383" s="20">
        <f>E382/E381</f>
        <v>15.662812139116914</v>
      </c>
    </row>
    <row r="384" spans="1:5" ht="18.75" x14ac:dyDescent="0.2">
      <c r="A384" s="12">
        <v>23</v>
      </c>
      <c r="B384" s="13" t="s">
        <v>124</v>
      </c>
      <c r="C384" s="39" t="s">
        <v>350</v>
      </c>
      <c r="D384" s="12" t="s">
        <v>9</v>
      </c>
      <c r="E384" s="20">
        <f>E376-E383</f>
        <v>211.08580738014149</v>
      </c>
    </row>
    <row r="385" spans="1:5" ht="18.75" x14ac:dyDescent="0.2">
      <c r="A385" s="12">
        <v>24</v>
      </c>
      <c r="B385" s="13" t="s">
        <v>142</v>
      </c>
      <c r="C385" s="39" t="s">
        <v>351</v>
      </c>
      <c r="D385" s="12" t="s">
        <v>331</v>
      </c>
      <c r="E385" s="22">
        <f>E384*1000/E379/E363</f>
        <v>2.3611155294787909</v>
      </c>
    </row>
    <row r="386" spans="1:5" ht="18.75" x14ac:dyDescent="0.2">
      <c r="A386" s="12">
        <v>25</v>
      </c>
      <c r="B386" s="13" t="s">
        <v>144</v>
      </c>
      <c r="C386" s="39" t="s">
        <v>352</v>
      </c>
      <c r="D386" s="12" t="s">
        <v>333</v>
      </c>
      <c r="E386" s="21">
        <f>E372/E385</f>
        <v>1793.7434075569447</v>
      </c>
    </row>
    <row r="387" spans="1:5" ht="18.75" x14ac:dyDescent="0.2">
      <c r="A387" s="12">
        <v>27</v>
      </c>
      <c r="B387" s="13" t="s">
        <v>132</v>
      </c>
      <c r="C387" s="39" t="s">
        <v>353</v>
      </c>
      <c r="D387" s="12" t="s">
        <v>77</v>
      </c>
      <c r="E387" s="21">
        <f>M210*E386^4+N210*E386^3+O210*E386^2+P210*E386+Q210</f>
        <v>62.261724144651026</v>
      </c>
    </row>
    <row r="388" spans="1:5" ht="18.75" x14ac:dyDescent="0.2">
      <c r="A388" s="12">
        <v>28</v>
      </c>
      <c r="B388" s="13" t="s">
        <v>140</v>
      </c>
      <c r="C388" s="39" t="s">
        <v>354</v>
      </c>
      <c r="D388" s="12" t="s">
        <v>83</v>
      </c>
      <c r="E388" s="22">
        <f>M214*E386^4+N214*E386^3+O214*E386^2+P214*E386+Q214</f>
        <v>0.77127210414181824</v>
      </c>
    </row>
    <row r="389" spans="1:5" ht="18.75" x14ac:dyDescent="0.2">
      <c r="A389" s="12">
        <v>29</v>
      </c>
      <c r="B389" s="13" t="s">
        <v>134</v>
      </c>
      <c r="C389" s="39" t="s">
        <v>355</v>
      </c>
      <c r="D389" s="12" t="s">
        <v>83</v>
      </c>
      <c r="E389" s="22">
        <f>(1+E387/E379)^(E388*E364/(E364-1))</f>
        <v>1.638994049240188</v>
      </c>
    </row>
    <row r="390" spans="1:5" ht="18.75" x14ac:dyDescent="0.2">
      <c r="A390" s="12">
        <v>30</v>
      </c>
      <c r="B390" s="13" t="s">
        <v>126</v>
      </c>
      <c r="C390" s="39" t="s">
        <v>356</v>
      </c>
      <c r="D390" s="12" t="s">
        <v>9</v>
      </c>
      <c r="E390" s="20">
        <f>E389*E384</f>
        <v>345.96838217511248</v>
      </c>
    </row>
    <row r="391" spans="1:5" ht="18.75" x14ac:dyDescent="0.2">
      <c r="A391" s="12">
        <v>31</v>
      </c>
      <c r="B391" s="13" t="s">
        <v>130</v>
      </c>
      <c r="C391" s="39" t="s">
        <v>357</v>
      </c>
      <c r="D391" s="12" t="s">
        <v>77</v>
      </c>
      <c r="E391" s="21">
        <f>E387+E379</f>
        <v>372.25090769162398</v>
      </c>
    </row>
    <row r="392" spans="1:5" ht="18.75" x14ac:dyDescent="0.2">
      <c r="A392" s="12">
        <v>32</v>
      </c>
      <c r="B392" s="13" t="s">
        <v>195</v>
      </c>
      <c r="C392" s="39" t="s">
        <v>358</v>
      </c>
      <c r="D392" s="12" t="s">
        <v>83</v>
      </c>
      <c r="E392" s="22">
        <f>E304</f>
        <v>0.24118471376845529</v>
      </c>
    </row>
    <row r="393" spans="1:5" ht="18.75" x14ac:dyDescent="0.2">
      <c r="A393" s="12">
        <v>33</v>
      </c>
      <c r="B393" s="13" t="s">
        <v>359</v>
      </c>
      <c r="C393" s="39" t="s">
        <v>360</v>
      </c>
      <c r="D393" s="12" t="s">
        <v>77</v>
      </c>
      <c r="E393" s="21">
        <f>E367+E392*(E391-E367-273.15)+273.15</f>
        <v>311.01382532245884</v>
      </c>
    </row>
    <row r="394" spans="1:5" ht="18.75" x14ac:dyDescent="0.2">
      <c r="A394" s="12">
        <v>34</v>
      </c>
      <c r="B394" s="13" t="s">
        <v>361</v>
      </c>
      <c r="C394" s="39" t="s">
        <v>362</v>
      </c>
      <c r="D394" s="12" t="s">
        <v>77</v>
      </c>
      <c r="E394" s="21">
        <f>(E393+E391)/2</f>
        <v>341.63236650704141</v>
      </c>
    </row>
    <row r="395" spans="1:5" ht="18.75" x14ac:dyDescent="0.2">
      <c r="A395" s="12">
        <v>35</v>
      </c>
      <c r="B395" s="13" t="s">
        <v>199</v>
      </c>
      <c r="C395" s="39" t="s">
        <v>363</v>
      </c>
      <c r="D395" s="12" t="s">
        <v>331</v>
      </c>
      <c r="E395" s="20">
        <f>E390*1000/E363/E394</f>
        <v>3.5114148811691561</v>
      </c>
    </row>
    <row r="396" spans="1:5" ht="18.75" x14ac:dyDescent="0.2">
      <c r="A396" s="12">
        <v>36</v>
      </c>
      <c r="B396" s="13" t="s">
        <v>364</v>
      </c>
      <c r="C396" s="39" t="s">
        <v>365</v>
      </c>
      <c r="D396" s="12" t="s">
        <v>348</v>
      </c>
      <c r="E396" s="20">
        <f>E305</f>
        <v>27.088468661152408</v>
      </c>
    </row>
    <row r="397" spans="1:5" ht="18.75" x14ac:dyDescent="0.2">
      <c r="A397" s="12">
        <v>37</v>
      </c>
      <c r="B397" s="13" t="s">
        <v>197</v>
      </c>
      <c r="C397" s="39" t="s">
        <v>366</v>
      </c>
      <c r="D397" s="12" t="s">
        <v>9</v>
      </c>
      <c r="E397" s="20">
        <f>E396/E395</f>
        <v>7.7144027629492378</v>
      </c>
    </row>
    <row r="398" spans="1:5" ht="18.75" x14ac:dyDescent="0.2">
      <c r="A398" s="12">
        <v>38</v>
      </c>
      <c r="B398" s="13" t="s">
        <v>146</v>
      </c>
      <c r="C398" s="39" t="s">
        <v>367</v>
      </c>
      <c r="D398" s="12" t="s">
        <v>9</v>
      </c>
      <c r="E398" s="20">
        <f>E390-E397</f>
        <v>338.25397941216323</v>
      </c>
    </row>
    <row r="399" spans="1:5" ht="18.75" x14ac:dyDescent="0.2">
      <c r="A399" s="12">
        <v>39</v>
      </c>
      <c r="B399" s="13" t="s">
        <v>164</v>
      </c>
      <c r="C399" s="39" t="s">
        <v>368</v>
      </c>
      <c r="D399" s="12" t="s">
        <v>331</v>
      </c>
      <c r="E399" s="22">
        <f>E398*1000/E393/E363</f>
        <v>3.7710992592290142</v>
      </c>
    </row>
    <row r="400" spans="1:5" ht="18.75" x14ac:dyDescent="0.2">
      <c r="A400" s="12">
        <v>40</v>
      </c>
      <c r="B400" s="13" t="s">
        <v>166</v>
      </c>
      <c r="C400" s="39" t="s">
        <v>369</v>
      </c>
      <c r="D400" s="12" t="s">
        <v>333</v>
      </c>
      <c r="E400" s="20">
        <f>E372/E399</f>
        <v>1123.077151872365</v>
      </c>
    </row>
    <row r="401" spans="1:5" ht="18.75" x14ac:dyDescent="0.2">
      <c r="A401" s="12">
        <v>42</v>
      </c>
      <c r="B401" s="13" t="s">
        <v>154</v>
      </c>
      <c r="C401" s="39" t="s">
        <v>370</v>
      </c>
      <c r="D401" s="12" t="s">
        <v>77</v>
      </c>
      <c r="E401" s="21">
        <f>Y210*E400^4+Z210*E400^3+AA210*E400^2+AB210*E400+AC210</f>
        <v>41.33753255602825</v>
      </c>
    </row>
    <row r="402" spans="1:5" ht="18.75" x14ac:dyDescent="0.2">
      <c r="A402" s="12">
        <v>43</v>
      </c>
      <c r="B402" s="13" t="s">
        <v>162</v>
      </c>
      <c r="C402" s="39" t="s">
        <v>371</v>
      </c>
      <c r="D402" s="12" t="s">
        <v>83</v>
      </c>
      <c r="E402" s="22">
        <f>Y214*E400^4+Z214*E400^3+AA214*E400^2+AB214*E400+AC214</f>
        <v>0.31912980476759323</v>
      </c>
    </row>
    <row r="403" spans="1:5" ht="18.75" x14ac:dyDescent="0.2">
      <c r="A403" s="12">
        <v>44</v>
      </c>
      <c r="B403" s="13" t="s">
        <v>372</v>
      </c>
      <c r="C403" s="39" t="s">
        <v>373</v>
      </c>
      <c r="D403" s="12" t="s">
        <v>83</v>
      </c>
      <c r="E403" s="22">
        <f>(1+E401/E393)^(E402*E364/(E364-1))</f>
        <v>1.1495681971655769</v>
      </c>
    </row>
    <row r="404" spans="1:5" ht="18.75" x14ac:dyDescent="0.2">
      <c r="A404" s="12">
        <v>45</v>
      </c>
      <c r="B404" s="13" t="s">
        <v>148</v>
      </c>
      <c r="C404" s="39" t="s">
        <v>374</v>
      </c>
      <c r="D404" s="12" t="s">
        <v>9</v>
      </c>
      <c r="E404" s="20">
        <f>E403*E398</f>
        <v>388.84601729692264</v>
      </c>
    </row>
    <row r="405" spans="1:5" x14ac:dyDescent="0.2">
      <c r="A405" s="12">
        <v>46</v>
      </c>
      <c r="B405" s="13" t="s">
        <v>375</v>
      </c>
      <c r="C405" s="39" t="s">
        <v>88</v>
      </c>
      <c r="D405" s="12" t="s">
        <v>83</v>
      </c>
      <c r="E405" s="22">
        <f>E404/E365</f>
        <v>3.913900526390766</v>
      </c>
    </row>
    <row r="406" spans="1:5" x14ac:dyDescent="0.2">
      <c r="A406" s="12">
        <v>47</v>
      </c>
      <c r="B406" s="13" t="s">
        <v>376</v>
      </c>
      <c r="C406" s="39" t="s">
        <v>377</v>
      </c>
      <c r="D406" s="12" t="s">
        <v>77</v>
      </c>
      <c r="E406" s="21">
        <f>E373+E387+E401</f>
        <v>195.54843012902643</v>
      </c>
    </row>
    <row r="407" spans="1:5" ht="18.75" x14ac:dyDescent="0.2">
      <c r="A407" s="12">
        <v>48</v>
      </c>
      <c r="B407" s="13" t="s">
        <v>378</v>
      </c>
      <c r="C407" s="39" t="s">
        <v>379</v>
      </c>
      <c r="D407" s="12" t="s">
        <v>83</v>
      </c>
      <c r="E407" s="22">
        <f>(E366+273.15)*LN(E405)/E406/(E364/(E364-1))</f>
        <v>0.54438269168327136</v>
      </c>
    </row>
    <row r="408" spans="1:5" x14ac:dyDescent="0.2">
      <c r="A408" s="12">
        <v>49</v>
      </c>
      <c r="B408" s="13" t="s">
        <v>380</v>
      </c>
      <c r="C408" s="39" t="s">
        <v>381</v>
      </c>
      <c r="D408" s="12" t="s">
        <v>112</v>
      </c>
      <c r="E408" s="20">
        <f>E364/(E364-1)*E363*E406/1000</f>
        <v>197.3865853722393</v>
      </c>
    </row>
    <row r="409" spans="1:5" ht="18.75" x14ac:dyDescent="0.2">
      <c r="A409" s="12">
        <v>50</v>
      </c>
      <c r="B409" s="13" t="s">
        <v>382</v>
      </c>
      <c r="C409" s="39" t="s">
        <v>383</v>
      </c>
      <c r="D409" s="12" t="s">
        <v>115</v>
      </c>
      <c r="E409" s="22">
        <f>E372*E408/60000</f>
        <v>13.932977615162468</v>
      </c>
    </row>
    <row r="410" spans="1:5" ht="18.75" x14ac:dyDescent="0.2">
      <c r="A410" s="12">
        <v>51</v>
      </c>
      <c r="B410" s="13" t="s">
        <v>384</v>
      </c>
      <c r="C410" s="39" t="s">
        <v>385</v>
      </c>
      <c r="D410" s="12" t="s">
        <v>115</v>
      </c>
      <c r="E410" s="22">
        <f>E409+E369*(E368/3000)^2/1000</f>
        <v>14.155723304051357</v>
      </c>
    </row>
    <row r="411" spans="1:5" ht="15.75" x14ac:dyDescent="0.2">
      <c r="A411" s="12">
        <v>52</v>
      </c>
      <c r="B411" s="13" t="s">
        <v>387</v>
      </c>
      <c r="C411" s="33" t="s">
        <v>388</v>
      </c>
      <c r="D411" s="12" t="s">
        <v>115</v>
      </c>
      <c r="E411" s="22">
        <f>E108-E410</f>
        <v>4.1504696229206601</v>
      </c>
    </row>
    <row r="412" spans="1:5" ht="15.75" x14ac:dyDescent="0.2">
      <c r="A412" s="12">
        <v>53</v>
      </c>
      <c r="B412" s="13" t="s">
        <v>389</v>
      </c>
      <c r="C412" s="33" t="s">
        <v>388</v>
      </c>
      <c r="D412" s="12" t="s">
        <v>194</v>
      </c>
      <c r="E412" s="22">
        <f>TREND(H100:V100,H104:V104,E410)-E100</f>
        <v>-11.361597776419579</v>
      </c>
    </row>
    <row r="414" spans="1:5" ht="15.75" x14ac:dyDescent="0.2">
      <c r="A414" s="57" t="s">
        <v>403</v>
      </c>
      <c r="B414" s="57"/>
      <c r="C414" s="57"/>
      <c r="D414" s="57"/>
      <c r="E414" s="57"/>
    </row>
    <row r="416" spans="1:5" x14ac:dyDescent="0.2">
      <c r="A416" s="12">
        <v>1</v>
      </c>
      <c r="B416" s="13" t="s">
        <v>404</v>
      </c>
      <c r="C416" s="12" t="s">
        <v>407</v>
      </c>
      <c r="D416" s="12" t="s">
        <v>405</v>
      </c>
      <c r="E416" s="12" t="e">
        <f ca="1">ТРИГЕР_РАБОЧАЯ_ЗОНА(E145:S145, E144:S144, E51E45, 5%+1, -5% -0.2,5% -0.2,5% +0.2)</f>
        <v>#NAME?</v>
      </c>
    </row>
    <row r="417" spans="1:5" x14ac:dyDescent="0.2">
      <c r="A417" s="12"/>
      <c r="B417" s="13"/>
      <c r="C417" s="12"/>
      <c r="D417" s="12"/>
      <c r="E417" s="12"/>
    </row>
    <row r="418" spans="1:5" x14ac:dyDescent="0.2">
      <c r="A418" s="12"/>
      <c r="B418" s="13"/>
      <c r="C418" s="12"/>
      <c r="D418" s="12"/>
      <c r="E418" s="12"/>
    </row>
    <row r="419" spans="1:5" x14ac:dyDescent="0.2">
      <c r="A419" s="12"/>
      <c r="B419" s="13"/>
      <c r="C419" s="12"/>
      <c r="D419" s="12"/>
      <c r="E419" s="12"/>
    </row>
    <row r="420" spans="1:5" x14ac:dyDescent="0.2">
      <c r="A420" s="12"/>
      <c r="B420" s="13"/>
      <c r="C420" s="12"/>
      <c r="D420" s="12"/>
      <c r="E420" s="12"/>
    </row>
  </sheetData>
  <mergeCells count="17">
    <mergeCell ref="A361:E361"/>
    <mergeCell ref="A414:E414"/>
    <mergeCell ref="A141:E141"/>
    <mergeCell ref="A222:E222"/>
    <mergeCell ref="A246:E246"/>
    <mergeCell ref="A296:E296"/>
    <mergeCell ref="A309:E309"/>
    <mergeCell ref="A27:E27"/>
    <mergeCell ref="A39:E39"/>
    <mergeCell ref="A76:E76"/>
    <mergeCell ref="A98:E98"/>
    <mergeCell ref="A111:E111"/>
    <mergeCell ref="A1:E1"/>
    <mergeCell ref="A3:A4"/>
    <mergeCell ref="B3:B4"/>
    <mergeCell ref="C3:C4"/>
    <mergeCell ref="D3:D4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"/>
  <sheetViews>
    <sheetView zoomScaleNormal="100" workbookViewId="0">
      <selection activeCell="A9" sqref="A9:A11"/>
    </sheetView>
  </sheetViews>
  <sheetFormatPr defaultRowHeight="12.75" x14ac:dyDescent="0.2"/>
  <cols>
    <col min="1" max="1" width="4.42578125" customWidth="1"/>
    <col min="2" max="2" width="7.42578125" customWidth="1"/>
    <col min="3" max="3" width="13.42578125" customWidth="1"/>
    <col min="4" max="4" width="12.5703125" customWidth="1"/>
    <col min="5" max="5" width="11.5703125"/>
    <col min="6" max="1025" width="11.42578125"/>
  </cols>
  <sheetData>
    <row r="1" spans="1:32" ht="29.25" customHeight="1" x14ac:dyDescent="0.2">
      <c r="A1" s="5" t="s">
        <v>390</v>
      </c>
      <c r="B1" s="5"/>
      <c r="C1" s="5"/>
      <c r="D1" s="5"/>
      <c r="E1" s="5"/>
      <c r="F1" s="5"/>
      <c r="G1" s="5"/>
      <c r="H1" s="5"/>
      <c r="I1" s="5"/>
      <c r="J1" s="5"/>
    </row>
    <row r="2" spans="1:32" ht="35.25" customHeight="1" x14ac:dyDescent="0.2">
      <c r="A2" s="40">
        <v>1</v>
      </c>
      <c r="B2" s="4" t="s">
        <v>391</v>
      </c>
      <c r="C2" s="4"/>
      <c r="D2" s="4"/>
      <c r="E2" s="4"/>
      <c r="F2" s="4"/>
      <c r="G2" s="4"/>
      <c r="H2" s="4"/>
      <c r="I2" s="4"/>
      <c r="J2" s="4"/>
    </row>
    <row r="3" spans="1:32" ht="36" customHeight="1" x14ac:dyDescent="0.2">
      <c r="A3" s="3">
        <v>2</v>
      </c>
      <c r="B3" s="4" t="s">
        <v>392</v>
      </c>
      <c r="C3" s="4"/>
      <c r="D3" s="4"/>
      <c r="E3" s="4"/>
      <c r="F3" s="4"/>
      <c r="G3" s="4"/>
      <c r="H3" s="4"/>
      <c r="I3" s="4"/>
      <c r="J3" s="4"/>
    </row>
    <row r="4" spans="1:32" ht="24" customHeight="1" x14ac:dyDescent="0.2">
      <c r="A4" s="3"/>
      <c r="B4" s="41" t="s">
        <v>1</v>
      </c>
      <c r="C4" s="41" t="s">
        <v>2</v>
      </c>
      <c r="D4" s="41" t="s">
        <v>3</v>
      </c>
      <c r="E4" s="42" t="s">
        <v>393</v>
      </c>
      <c r="F4" s="41" t="s">
        <v>1</v>
      </c>
      <c r="G4" s="41" t="s">
        <v>394</v>
      </c>
      <c r="H4" s="41" t="s">
        <v>395</v>
      </c>
      <c r="I4" s="41" t="s">
        <v>395</v>
      </c>
      <c r="J4" s="43" t="s">
        <v>395</v>
      </c>
    </row>
    <row r="5" spans="1:32" ht="32.25" customHeight="1" x14ac:dyDescent="0.2">
      <c r="A5" s="40">
        <v>3</v>
      </c>
      <c r="B5" s="4" t="s">
        <v>396</v>
      </c>
      <c r="C5" s="4"/>
      <c r="D5" s="4"/>
      <c r="E5" s="4"/>
      <c r="F5" s="4"/>
      <c r="G5" s="4"/>
      <c r="H5" s="4"/>
      <c r="I5" s="4"/>
      <c r="J5" s="4"/>
      <c r="K5" s="44">
        <v>1</v>
      </c>
      <c r="L5" s="45" t="s">
        <v>212</v>
      </c>
      <c r="M5" s="44" t="s">
        <v>213</v>
      </c>
      <c r="N5" s="44" t="s">
        <v>194</v>
      </c>
      <c r="O5" s="46">
        <v>62.59</v>
      </c>
      <c r="P5" s="9" t="s">
        <v>214</v>
      </c>
      <c r="Q5" s="9" t="s">
        <v>215</v>
      </c>
      <c r="R5" s="29">
        <v>24.8</v>
      </c>
      <c r="S5" s="29">
        <v>28.8</v>
      </c>
      <c r="T5" s="29">
        <v>32.799999999999997</v>
      </c>
      <c r="U5" s="29">
        <v>36.700000000000003</v>
      </c>
      <c r="V5" s="29">
        <v>40.700000000000003</v>
      </c>
      <c r="W5" s="30">
        <v>44.7</v>
      </c>
      <c r="X5" s="29">
        <v>48.7</v>
      </c>
      <c r="Y5" s="29">
        <v>52.7</v>
      </c>
      <c r="Z5" s="29">
        <v>56.7</v>
      </c>
      <c r="AA5" s="29">
        <v>60.6</v>
      </c>
      <c r="AB5" s="29">
        <v>64.599999999999994</v>
      </c>
      <c r="AC5" s="29">
        <v>68.599999999999994</v>
      </c>
      <c r="AD5" s="29">
        <v>72.599999999999994</v>
      </c>
      <c r="AE5" s="29">
        <v>76.599999999999994</v>
      </c>
      <c r="AF5" s="29">
        <v>81.900000000000006</v>
      </c>
    </row>
    <row r="6" spans="1:32" ht="15.75" x14ac:dyDescent="0.2">
      <c r="A6" s="40">
        <v>4</v>
      </c>
      <c r="B6" s="2" t="s">
        <v>397</v>
      </c>
      <c r="C6" s="2"/>
      <c r="D6" s="2"/>
      <c r="E6" s="2"/>
      <c r="F6" s="2"/>
      <c r="G6" s="2"/>
      <c r="H6" s="2"/>
      <c r="I6" s="2"/>
      <c r="J6" s="2"/>
      <c r="K6" s="44">
        <v>2</v>
      </c>
      <c r="L6" s="45" t="s">
        <v>216</v>
      </c>
      <c r="M6" s="44" t="s">
        <v>217</v>
      </c>
      <c r="N6" s="44" t="s">
        <v>218</v>
      </c>
      <c r="O6" s="46">
        <v>8.39</v>
      </c>
      <c r="P6" s="9" t="s">
        <v>219</v>
      </c>
      <c r="Q6" s="9" t="s">
        <v>220</v>
      </c>
      <c r="R6" s="31">
        <v>8.3000000000000007</v>
      </c>
      <c r="S6" s="31">
        <v>8.3800000000000008</v>
      </c>
      <c r="T6" s="32">
        <v>8.4700000000000006</v>
      </c>
      <c r="U6" s="31">
        <v>8.5500000000000007</v>
      </c>
      <c r="V6" s="31">
        <v>8.64</v>
      </c>
      <c r="W6" s="31">
        <v>8.7200000000000006</v>
      </c>
      <c r="X6" s="31">
        <v>8.81</v>
      </c>
      <c r="Y6" s="31">
        <v>8.89</v>
      </c>
      <c r="Z6" s="31">
        <v>8.98</v>
      </c>
      <c r="AA6" s="31">
        <v>9.06</v>
      </c>
      <c r="AB6" s="31">
        <v>9.15</v>
      </c>
      <c r="AC6" s="31">
        <v>9.23</v>
      </c>
      <c r="AD6" s="31">
        <v>9.32</v>
      </c>
      <c r="AE6" s="31">
        <v>9.4</v>
      </c>
      <c r="AF6" s="31">
        <v>9.5</v>
      </c>
    </row>
    <row r="7" spans="1:32" ht="25.5" customHeight="1" x14ac:dyDescent="0.2">
      <c r="A7" s="40">
        <v>5</v>
      </c>
      <c r="B7" s="58" t="s">
        <v>398</v>
      </c>
      <c r="C7" s="1"/>
      <c r="D7" s="1"/>
      <c r="E7" s="1"/>
      <c r="F7" s="1"/>
      <c r="G7" s="1"/>
      <c r="H7" s="1"/>
      <c r="I7" s="1"/>
      <c r="J7" s="1"/>
      <c r="K7" s="44">
        <v>3</v>
      </c>
      <c r="L7" s="45" t="s">
        <v>221</v>
      </c>
      <c r="M7" s="44" t="s">
        <v>222</v>
      </c>
      <c r="N7" s="44" t="s">
        <v>19</v>
      </c>
      <c r="O7" s="47">
        <v>507.8</v>
      </c>
      <c r="P7" s="9"/>
      <c r="Q7" s="9" t="s">
        <v>223</v>
      </c>
      <c r="R7" s="31">
        <v>480</v>
      </c>
      <c r="S7" s="31">
        <v>481.8</v>
      </c>
      <c r="T7" s="31">
        <v>483.6</v>
      </c>
      <c r="U7" s="31">
        <v>485.4</v>
      </c>
      <c r="V7" s="31">
        <v>487.1</v>
      </c>
      <c r="W7" s="31">
        <v>488.9</v>
      </c>
      <c r="X7" s="31">
        <v>490.7</v>
      </c>
      <c r="Y7" s="31">
        <v>492.5</v>
      </c>
      <c r="Z7" s="31">
        <v>494.3</v>
      </c>
      <c r="AA7" s="31">
        <v>496.1</v>
      </c>
      <c r="AB7" s="31">
        <v>497.9</v>
      </c>
      <c r="AC7" s="31">
        <v>499.6</v>
      </c>
      <c r="AD7" s="31">
        <v>501.4</v>
      </c>
      <c r="AE7" s="31">
        <v>503.2</v>
      </c>
      <c r="AF7" s="31">
        <v>505</v>
      </c>
    </row>
    <row r="8" spans="1:32" ht="15.75" x14ac:dyDescent="0.2">
      <c r="A8" s="40">
        <v>6</v>
      </c>
      <c r="B8" s="68" t="s">
        <v>399</v>
      </c>
      <c r="C8" s="2"/>
      <c r="D8" s="2"/>
      <c r="E8" s="2"/>
      <c r="F8" s="2"/>
      <c r="G8" s="2"/>
      <c r="H8" s="2"/>
      <c r="I8" s="2"/>
      <c r="J8" s="2"/>
      <c r="K8" s="44">
        <v>4</v>
      </c>
      <c r="L8" s="45" t="s">
        <v>224</v>
      </c>
      <c r="M8" s="48" t="s">
        <v>225</v>
      </c>
      <c r="N8" s="44" t="s">
        <v>115</v>
      </c>
      <c r="O8" s="49">
        <v>0.2</v>
      </c>
    </row>
    <row r="9" spans="1:32" ht="15.75" x14ac:dyDescent="0.2">
      <c r="A9" s="69">
        <v>7</v>
      </c>
      <c r="B9" s="59" t="s">
        <v>406</v>
      </c>
      <c r="C9" s="60"/>
      <c r="D9" s="60"/>
      <c r="E9" s="60"/>
      <c r="F9" s="60"/>
      <c r="G9" s="60"/>
      <c r="H9" s="60"/>
      <c r="I9" s="61"/>
      <c r="J9" s="43"/>
      <c r="K9" s="44">
        <v>5</v>
      </c>
      <c r="L9" s="45" t="s">
        <v>226</v>
      </c>
      <c r="M9" s="44" t="s">
        <v>400</v>
      </c>
      <c r="N9" s="44" t="s">
        <v>115</v>
      </c>
      <c r="O9" s="51">
        <f>TREND(R9:AF9,R5:AF5,O5)</f>
        <v>17.437062234963953</v>
      </c>
      <c r="P9" s="9"/>
      <c r="Q9" s="9" t="s">
        <v>228</v>
      </c>
      <c r="R9" s="34">
        <v>6.5</v>
      </c>
      <c r="S9" s="34">
        <v>7.7</v>
      </c>
      <c r="T9" s="34">
        <v>8.8000000000000007</v>
      </c>
      <c r="U9" s="34">
        <v>10</v>
      </c>
      <c r="V9" s="34">
        <v>11.1</v>
      </c>
      <c r="W9" s="35">
        <v>12.3</v>
      </c>
      <c r="X9" s="34">
        <v>13.4</v>
      </c>
      <c r="Y9" s="34">
        <v>14.6</v>
      </c>
      <c r="Z9" s="34">
        <v>15.7</v>
      </c>
      <c r="AA9" s="34">
        <v>16.899999999999999</v>
      </c>
      <c r="AB9" s="34">
        <v>18</v>
      </c>
      <c r="AC9" s="34">
        <v>19.2</v>
      </c>
      <c r="AD9" s="34">
        <v>20.3</v>
      </c>
      <c r="AE9" s="34">
        <v>21.5</v>
      </c>
      <c r="AF9" s="34">
        <v>23</v>
      </c>
    </row>
    <row r="10" spans="1:32" ht="15.75" x14ac:dyDescent="0.2">
      <c r="A10" s="70"/>
      <c r="B10" s="62"/>
      <c r="C10" s="63"/>
      <c r="D10" s="63"/>
      <c r="E10" s="63"/>
      <c r="F10" s="63"/>
      <c r="G10" s="63"/>
      <c r="H10" s="63"/>
      <c r="I10" s="64"/>
      <c r="J10" s="43"/>
      <c r="K10" s="44">
        <v>6</v>
      </c>
      <c r="L10" s="45" t="s">
        <v>229</v>
      </c>
      <c r="M10" s="44" t="s">
        <v>230</v>
      </c>
      <c r="N10" s="44" t="s">
        <v>218</v>
      </c>
      <c r="O10" s="51">
        <f>TREND(R10:AF10,R6:AF6,O6)</f>
        <v>1.0029169020866773</v>
      </c>
      <c r="Q10" s="9" t="s">
        <v>230</v>
      </c>
      <c r="R10" s="34">
        <v>1.0035000000000001</v>
      </c>
      <c r="S10" s="34">
        <v>1.0029999999999999</v>
      </c>
      <c r="T10" s="34">
        <v>1.0024</v>
      </c>
      <c r="U10" s="34">
        <v>1.0018</v>
      </c>
      <c r="V10" s="34">
        <v>1.0013000000000001</v>
      </c>
      <c r="W10" s="34">
        <v>1.0006999999999999</v>
      </c>
      <c r="X10" s="34">
        <v>1.0001</v>
      </c>
      <c r="Y10" s="34">
        <v>0.99960000000000004</v>
      </c>
      <c r="Z10" s="34">
        <v>0.999</v>
      </c>
      <c r="AA10" s="34">
        <v>0.99839999999999995</v>
      </c>
      <c r="AB10" s="34">
        <v>0.99790000000000001</v>
      </c>
      <c r="AC10" s="34">
        <v>0.99729999999999996</v>
      </c>
      <c r="AD10" s="34">
        <v>0.99670000000000003</v>
      </c>
      <c r="AE10" s="34">
        <v>0.99619999999999997</v>
      </c>
      <c r="AF10" s="34">
        <v>0.99550000000000005</v>
      </c>
    </row>
    <row r="11" spans="1:32" ht="15.75" x14ac:dyDescent="0.2">
      <c r="A11" s="71"/>
      <c r="B11" s="65"/>
      <c r="C11" s="66"/>
      <c r="D11" s="66"/>
      <c r="E11" s="66"/>
      <c r="F11" s="66"/>
      <c r="G11" s="66"/>
      <c r="H11" s="66"/>
      <c r="I11" s="67"/>
      <c r="J11" s="43"/>
      <c r="K11" s="44">
        <v>7</v>
      </c>
      <c r="L11" s="45" t="s">
        <v>231</v>
      </c>
      <c r="M11" s="44" t="s">
        <v>232</v>
      </c>
      <c r="N11" s="44" t="s">
        <v>19</v>
      </c>
      <c r="O11" s="51">
        <f>TREND(R11:AF11,R7:AF7,O7)</f>
        <v>0.98448372812528018</v>
      </c>
      <c r="P11" s="9"/>
      <c r="Q11" s="9" t="s">
        <v>232</v>
      </c>
      <c r="R11" s="34">
        <v>1.0184</v>
      </c>
      <c r="S11" s="34">
        <v>1.0162</v>
      </c>
      <c r="T11" s="34">
        <v>1.014</v>
      </c>
      <c r="U11" s="34">
        <v>1.0118</v>
      </c>
      <c r="V11" s="34">
        <v>1.0097</v>
      </c>
      <c r="W11" s="34">
        <v>1.0075000000000001</v>
      </c>
      <c r="X11" s="34">
        <v>1.0053000000000001</v>
      </c>
      <c r="Y11" s="34">
        <v>1.0031000000000001</v>
      </c>
      <c r="Z11" s="34">
        <v>1.0009999999999999</v>
      </c>
      <c r="AA11" s="34">
        <v>0.99880000000000002</v>
      </c>
      <c r="AB11" s="34">
        <v>0.99660000000000004</v>
      </c>
      <c r="AC11" s="34">
        <v>0.99439999999999995</v>
      </c>
      <c r="AD11" s="34">
        <v>0.99229999999999996</v>
      </c>
      <c r="AE11" s="34">
        <v>0.99009999999999998</v>
      </c>
      <c r="AF11" s="34">
        <v>0.9879</v>
      </c>
    </row>
    <row r="12" spans="1:32" ht="15" x14ac:dyDescent="0.2">
      <c r="A12" s="50"/>
      <c r="B12" s="41"/>
      <c r="C12" s="41"/>
      <c r="D12" s="41"/>
      <c r="E12" s="41"/>
      <c r="F12" s="41"/>
      <c r="G12" s="41"/>
      <c r="H12" s="41"/>
      <c r="I12" s="41"/>
      <c r="J12" s="43"/>
      <c r="K12" s="44">
        <v>8</v>
      </c>
      <c r="L12" s="45" t="s">
        <v>233</v>
      </c>
      <c r="M12" s="44" t="s">
        <v>234</v>
      </c>
      <c r="N12" s="44" t="s">
        <v>115</v>
      </c>
      <c r="O12" s="51">
        <f>O9/O10/O11</f>
        <v>17.660371079395134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 ht="15" x14ac:dyDescent="0.2">
      <c r="A13" s="50"/>
      <c r="B13" s="41"/>
      <c r="C13" s="41"/>
      <c r="D13" s="41"/>
      <c r="E13" s="41"/>
      <c r="F13" s="41"/>
      <c r="G13" s="41"/>
      <c r="H13" s="41"/>
      <c r="I13" s="41"/>
      <c r="J13" s="43"/>
      <c r="K13" s="44">
        <v>9</v>
      </c>
      <c r="L13" s="45" t="s">
        <v>235</v>
      </c>
      <c r="M13" s="44" t="s">
        <v>236</v>
      </c>
      <c r="N13" s="44" t="s">
        <v>115</v>
      </c>
      <c r="O13" s="51" t="e">
        <f>#REF!+O8*(#REF!/3000)^2</f>
        <v>#REF!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ht="15.75" x14ac:dyDescent="0.2">
      <c r="A14" s="50"/>
      <c r="B14" s="41"/>
      <c r="C14" s="41"/>
      <c r="D14" s="41"/>
      <c r="E14" s="41"/>
      <c r="F14" s="41"/>
      <c r="G14" s="41"/>
      <c r="H14" s="41"/>
      <c r="I14" s="41"/>
      <c r="J14" s="43"/>
      <c r="K14" s="44">
        <v>10</v>
      </c>
      <c r="L14" s="45" t="s">
        <v>237</v>
      </c>
      <c r="M14" s="48" t="s">
        <v>238</v>
      </c>
      <c r="N14" s="44" t="s">
        <v>115</v>
      </c>
      <c r="O14" s="51" t="e">
        <f>O12-O13</f>
        <v>#REF!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 x14ac:dyDescent="0.2">
      <c r="A15" s="50"/>
      <c r="B15" s="41"/>
      <c r="C15" s="41"/>
      <c r="D15" s="41"/>
      <c r="E15" s="41"/>
      <c r="F15" s="41"/>
      <c r="G15" s="41"/>
      <c r="H15" s="41"/>
      <c r="I15" s="41"/>
      <c r="J15" s="43"/>
    </row>
    <row r="16" spans="1:32" x14ac:dyDescent="0.2">
      <c r="A16" s="50"/>
      <c r="B16" s="41"/>
      <c r="C16" s="41"/>
      <c r="D16" s="41"/>
      <c r="E16" s="41"/>
      <c r="F16" s="41"/>
      <c r="G16" s="41"/>
      <c r="H16" s="41"/>
      <c r="I16" s="41"/>
      <c r="J16" s="43"/>
    </row>
    <row r="17" spans="1:10" x14ac:dyDescent="0.2">
      <c r="A17" s="50"/>
      <c r="B17" s="41"/>
      <c r="C17" s="41"/>
      <c r="D17" s="41"/>
      <c r="E17" s="41"/>
      <c r="F17" s="41"/>
      <c r="G17" s="41"/>
      <c r="H17" s="41"/>
      <c r="I17" s="41"/>
      <c r="J17" s="43"/>
    </row>
    <row r="18" spans="1:10" x14ac:dyDescent="0.2">
      <c r="A18" s="50"/>
      <c r="B18" s="41"/>
      <c r="C18" s="41"/>
      <c r="D18" s="41"/>
      <c r="E18" s="41"/>
      <c r="F18" s="41"/>
      <c r="G18" s="41"/>
      <c r="H18" s="41"/>
      <c r="I18" s="41"/>
      <c r="J18" s="43"/>
    </row>
    <row r="19" spans="1:10" x14ac:dyDescent="0.2">
      <c r="A19" s="50"/>
      <c r="B19" s="41"/>
      <c r="C19" s="41"/>
      <c r="D19" s="41"/>
      <c r="E19" s="41"/>
      <c r="F19" s="41"/>
      <c r="G19" s="41"/>
      <c r="H19" s="41"/>
      <c r="I19" s="41"/>
      <c r="J19" s="43"/>
    </row>
    <row r="20" spans="1:10" x14ac:dyDescent="0.2">
      <c r="A20" s="50"/>
      <c r="B20" s="41"/>
      <c r="C20" s="41"/>
      <c r="D20" s="41"/>
      <c r="E20" s="41"/>
      <c r="F20" s="41"/>
      <c r="G20" s="41"/>
      <c r="H20" s="41"/>
      <c r="I20" s="41"/>
      <c r="J20" s="43"/>
    </row>
    <row r="21" spans="1:10" x14ac:dyDescent="0.2">
      <c r="A21" s="50"/>
      <c r="B21" s="41"/>
      <c r="C21" s="41"/>
      <c r="D21" s="41"/>
      <c r="E21" s="41"/>
      <c r="F21" s="41"/>
      <c r="G21" s="41"/>
      <c r="H21" s="41"/>
      <c r="I21" s="41"/>
      <c r="J21" s="43"/>
    </row>
    <row r="22" spans="1:10" x14ac:dyDescent="0.2">
      <c r="A22" s="50"/>
      <c r="B22" s="41"/>
      <c r="C22" s="41"/>
      <c r="D22" s="41"/>
      <c r="E22" s="41"/>
      <c r="F22" s="41"/>
      <c r="G22" s="41"/>
      <c r="H22" s="41"/>
      <c r="I22" s="41"/>
      <c r="J22" s="43"/>
    </row>
    <row r="23" spans="1:10" x14ac:dyDescent="0.2">
      <c r="A23" s="50"/>
      <c r="B23" s="41"/>
      <c r="C23" s="41"/>
      <c r="D23" s="41"/>
      <c r="E23" s="41"/>
      <c r="F23" s="41"/>
      <c r="G23" s="41"/>
      <c r="H23" s="41"/>
      <c r="I23" s="41"/>
      <c r="J23" s="43"/>
    </row>
    <row r="24" spans="1:10" x14ac:dyDescent="0.2">
      <c r="A24" s="50"/>
      <c r="B24" s="41"/>
      <c r="C24" s="41"/>
      <c r="D24" s="41"/>
      <c r="E24" s="41"/>
      <c r="F24" s="41"/>
      <c r="G24" s="41"/>
      <c r="H24" s="41"/>
      <c r="I24" s="41"/>
      <c r="J24" s="43"/>
    </row>
    <row r="25" spans="1:10" x14ac:dyDescent="0.2">
      <c r="A25" s="50"/>
      <c r="B25" s="41"/>
      <c r="C25" s="41"/>
      <c r="D25" s="41"/>
      <c r="E25" s="41"/>
      <c r="F25" s="41"/>
      <c r="G25" s="41"/>
      <c r="H25" s="41"/>
      <c r="I25" s="41"/>
      <c r="J25" s="43"/>
    </row>
    <row r="26" spans="1:10" x14ac:dyDescent="0.2">
      <c r="A26" s="50"/>
      <c r="B26" s="41"/>
      <c r="C26" s="41"/>
      <c r="D26" s="41"/>
      <c r="E26" s="41"/>
      <c r="F26" s="41"/>
      <c r="G26" s="41"/>
      <c r="H26" s="41"/>
      <c r="I26" s="41"/>
      <c r="J26" s="43"/>
    </row>
    <row r="27" spans="1:10" x14ac:dyDescent="0.2">
      <c r="A27" s="50"/>
      <c r="B27" s="41"/>
      <c r="C27" s="41"/>
      <c r="D27" s="41"/>
      <c r="E27" s="41"/>
      <c r="F27" s="41"/>
      <c r="G27" s="41"/>
      <c r="H27" s="41"/>
      <c r="I27" s="41"/>
      <c r="J27" s="43"/>
    </row>
    <row r="28" spans="1:10" x14ac:dyDescent="0.2">
      <c r="A28" s="50"/>
      <c r="B28" s="41"/>
      <c r="C28" s="41"/>
      <c r="D28" s="41"/>
      <c r="E28" s="41"/>
      <c r="F28" s="41"/>
      <c r="G28" s="41"/>
      <c r="H28" s="41"/>
      <c r="I28" s="41"/>
      <c r="J28" s="43"/>
    </row>
    <row r="29" spans="1:10" x14ac:dyDescent="0.2">
      <c r="A29" s="50"/>
      <c r="B29" s="41"/>
      <c r="C29" s="41"/>
      <c r="D29" s="41"/>
      <c r="E29" s="41"/>
      <c r="F29" s="41"/>
      <c r="G29" s="41"/>
      <c r="H29" s="41"/>
      <c r="I29" s="41"/>
      <c r="J29" s="43"/>
    </row>
    <row r="30" spans="1:10" x14ac:dyDescent="0.2">
      <c r="A30" s="50"/>
      <c r="B30" s="41"/>
      <c r="C30" s="41"/>
      <c r="D30" s="41"/>
      <c r="E30" s="41"/>
      <c r="F30" s="41"/>
      <c r="G30" s="41"/>
      <c r="H30" s="41"/>
      <c r="I30" s="41"/>
      <c r="J30" s="43"/>
    </row>
    <row r="31" spans="1:10" x14ac:dyDescent="0.2">
      <c r="A31" s="50"/>
      <c r="B31" s="41"/>
      <c r="C31" s="41"/>
      <c r="D31" s="41"/>
      <c r="E31" s="41"/>
      <c r="F31" s="41"/>
      <c r="G31" s="41"/>
      <c r="H31" s="41"/>
      <c r="I31" s="41"/>
      <c r="J31" s="43"/>
    </row>
    <row r="32" spans="1:10" x14ac:dyDescent="0.2">
      <c r="A32" s="52"/>
      <c r="B32" s="53"/>
      <c r="C32" s="53"/>
      <c r="D32" s="53"/>
      <c r="E32" s="53"/>
      <c r="F32" s="53"/>
      <c r="G32" s="53"/>
      <c r="H32" s="53"/>
      <c r="I32" s="53"/>
      <c r="J32" s="54"/>
    </row>
  </sheetData>
  <mergeCells count="10">
    <mergeCell ref="A9:A11"/>
    <mergeCell ref="B6:J6"/>
    <mergeCell ref="B7:J7"/>
    <mergeCell ref="B8:J8"/>
    <mergeCell ref="B9:I11"/>
    <mergeCell ref="A1:J1"/>
    <mergeCell ref="B2:J2"/>
    <mergeCell ref="A3:A4"/>
    <mergeCell ref="B3:J3"/>
    <mergeCell ref="B5:J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Правила форматирования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Данил Бакунин</cp:lastModifiedBy>
  <cp:revision>6</cp:revision>
  <cp:lastPrinted>2013-07-02T10:17:37Z</cp:lastPrinted>
  <dcterms:created xsi:type="dcterms:W3CDTF">1996-10-09T02:32:33Z</dcterms:created>
  <dcterms:modified xsi:type="dcterms:W3CDTF">2020-02-12T05:46:30Z</dcterms:modified>
  <dc:language>ru-RU</dc:language>
</cp:coreProperties>
</file>