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fileSharing readOnlyRecommended="1"/>
  <workbookPr backupFile="1" codeName="ThisWorkbook" defaultThemeVersion="124226"/>
  <mc:AlternateContent xmlns:mc="http://schemas.openxmlformats.org/markup-compatibility/2006">
    <mc:Choice Requires="x15">
      <x15ac:absPath xmlns:x15ac="http://schemas.microsoft.com/office/spreadsheetml/2010/11/ac" url="C:\Users\Andrii_Rudnik\Documents\Week 1\"/>
    </mc:Choice>
  </mc:AlternateContent>
  <xr:revisionPtr revIDLastSave="0" documentId="13_ncr:1_{7CF17DD3-F103-4D7C-8B65-8604C6F8897B}" xr6:coauthVersionLast="47" xr6:coauthVersionMax="47" xr10:uidLastSave="{00000000-0000-0000-0000-000000000000}"/>
  <bookViews>
    <workbookView xWindow="-120" yWindow="-120" windowWidth="29040" windowHeight="15840" tabRatio="920" activeTab="1" xr2:uid="{00000000-000D-0000-FFFF-FFFF00000000}"/>
  </bookViews>
  <sheets>
    <sheet name="How to Use this Calculator" sheetId="21" r:id="rId1"/>
    <sheet name="Parameters" sheetId="12" r:id="rId2"/>
    <sheet name="Tooling Costs" sheetId="11" r:id="rId3"/>
    <sheet name="Total ROI" sheetId="19" r:id="rId4"/>
    <sheet name="Quarterly ROI" sheetId="9" r:id="rId5"/>
    <sheet name="Effectiveness" sheetId="4" r:id="rId6"/>
    <sheet name="Productivity" sheetId="18" r:id="rId7"/>
    <sheet name="Cycle Time" sheetId="13" r:id="rId8"/>
    <sheet name="Notices" sheetId="20" r:id="rId9"/>
    <sheet name="Release Notes" sheetId="22" r:id="rId10"/>
  </sheets>
  <definedNames>
    <definedName name="avgAutoExecHours">Parameters!$C$18</definedName>
    <definedName name="avgCodeHours">Parameters!$C$17</definedName>
    <definedName name="avgConvertHours">Parameters!$C$16</definedName>
    <definedName name="avgDesignHours">Parameters!$C$16</definedName>
    <definedName name="avgMaintHours">Parameters!$C$20</definedName>
    <definedName name="avgManExecHours">Parameters!$C$19</definedName>
    <definedName name="avgManTestDays">Parameters!$C$9</definedName>
    <definedName name="avgObjectChangeHours">Parameters!$C$21</definedName>
    <definedName name="avgProcChangeHours">Parameters!$C$20</definedName>
    <definedName name="badFixEffect">Effectiveness!$F$23</definedName>
    <definedName name="badFixProbability">Parameters!$C$25</definedName>
    <definedName name="BaselineBugReports">Parameters!$C$28</definedName>
    <definedName name="baselineOutageHours">Parameters!$C$26</definedName>
    <definedName name="breakEvenMonth">'Quarterly ROI'!$D$42</definedName>
    <definedName name="costCapital">Parameters!$C$12</definedName>
    <definedName name="costInitalOther2">'Tooling Costs'!$H$26</definedName>
    <definedName name="costInitialOther">'Tooling Costs'!$H$20</definedName>
    <definedName name="costInitialOther2">'Tooling Costs'!$H$26</definedName>
    <definedName name="costRecuringOther">'Tooling Costs'!$H$33</definedName>
    <definedName name="devCycleDays">Parameters!#REF!</definedName>
    <definedName name="effectBadfix">Effectiveness!$F$23</definedName>
    <definedName name="effectIncident">Effectiveness!$F$18</definedName>
    <definedName name="effectInitialCycleDollars">'Cycle Time'!$F$26</definedName>
    <definedName name="effectInitialCycleStartingQtr">'Cycle Time'!$E$14</definedName>
    <definedName name="effectInitialProductivityDollars">Productivity!$F$23</definedName>
    <definedName name="effectInitialProductivityPercent">Productivity!$G$22</definedName>
    <definedName name="effectOutage">Effectiveness!$F$13</definedName>
    <definedName name="effectRecurProductivityDollars">Productivity!$F$45</definedName>
    <definedName name="effectRecurProductivityPercent">Productivity!$G$42</definedName>
    <definedName name="effectRecurringCycleDollars">'Cycle Time'!$F$27</definedName>
    <definedName name="effectRecurringCycleStartingQtr">'Cycle Time'!$E$20</definedName>
    <definedName name="incidentEffect">Effectiveness!$F$18</definedName>
    <definedName name="incidentHour">Parameters!$C$29</definedName>
    <definedName name="maxShare">Parameters!$C$34</definedName>
    <definedName name="nMntRel">Productivity!$D$16</definedName>
    <definedName name="nPlatforms">Parameters!$C$7</definedName>
    <definedName name="npv">'Quarterly ROI'!$D$40</definedName>
    <definedName name="nQtrRel">Productivity!$D$15</definedName>
    <definedName name="nRelease1Qrt">Parameters!$C$8</definedName>
    <definedName name="nRelease1Year">Parameters!$C$8</definedName>
    <definedName name="nTesters">Parameters!$C$4</definedName>
    <definedName name="nTestProcs">Parameters!$C$6</definedName>
    <definedName name="nTestRunsCycle">Parameters!#REF!</definedName>
    <definedName name="outageCostHour">Parameters!$C$27</definedName>
    <definedName name="outageEffect">Effectiveness!$F$13</definedName>
    <definedName name="outageHour">Parameters!$C$27</definedName>
    <definedName name="overheadDay">Parameters!$C$35</definedName>
    <definedName name="_xlnm.Print_Titles" localSheetId="4">'Quarterly ROI'!$A:$C,'Quarterly ROI'!$1:$2</definedName>
    <definedName name="testAssetGrowth">Parameters!$C$10</definedName>
    <definedName name="testAssetVolatility">Parameters!$C$11</definedName>
    <definedName name="testerCostHr">Parameters!$C$5</definedName>
    <definedName name="testerGrowthRate">Parameters!#REF!</definedName>
    <definedName name="testImproveFactor">Parameters!$C$24</definedName>
    <definedName name="testObjectVolatility">Parameters!$C$11</definedName>
    <definedName name="timeFrame">'Quarterly ROI'!$D$44</definedName>
    <definedName name="toolAnnMaint">'Tooling Costs'!$H$32</definedName>
    <definedName name="toolEquipment">'Tooling Costs'!$H$25</definedName>
    <definedName name="toolLicense">'Tooling Costs'!$H$21</definedName>
    <definedName name="toolTraining">'Tooling Costs'!$H$24</definedName>
    <definedName name="totalCosts">'Quarterly ROI'!$D$31</definedName>
    <definedName name="totBenefits">'Quarterly ROI'!$D$19</definedName>
    <definedName name="totInitAutoTestHours">Productivity!$D$22</definedName>
    <definedName name="totInitManTestHours">Productivity!$D$22</definedName>
    <definedName name="totMarket">Parameters!$C$33</definedName>
    <definedName name="totNetCash">'Quarterly ROI'!$D$35</definedName>
    <definedName name="totRecurAutoTestHours">Productivity!$D$42</definedName>
    <definedName name="totRecurManTestHours">Productivity!$D$42</definedName>
    <definedName name="totROI">'Quarterly ROI'!$D$38</definedName>
    <definedName name="vendorBaseLicenseQty">'Tooling Costs'!$G$17</definedName>
    <definedName name="vendorName">'Tooling Costs'!$E$12</definedName>
    <definedName name="vendorProduct">'Tooling Costs'!$E$13</definedName>
    <definedName name="vendorSeatQty">'Tooling Costs'!$G$18</definedName>
    <definedName name="vendorVUQty">'Tooling Costs'!$G$19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2" i="11" l="1"/>
  <c r="D8" i="18"/>
  <c r="D11" i="18"/>
  <c r="E8" i="18"/>
  <c r="E12" i="18"/>
  <c r="E4" i="18"/>
  <c r="D7" i="18"/>
  <c r="D12" i="18"/>
  <c r="D4" i="18"/>
  <c r="D7" i="4"/>
  <c r="D6" i="4"/>
  <c r="D17" i="4" s="1"/>
  <c r="D5" i="4"/>
  <c r="D15" i="18"/>
  <c r="D2" i="4"/>
  <c r="D4" i="4"/>
  <c r="D11" i="4" s="1"/>
  <c r="D3" i="4"/>
  <c r="D2" i="18"/>
  <c r="D5" i="18"/>
  <c r="E2" i="18"/>
  <c r="E3" i="18"/>
  <c r="F3" i="18" s="1"/>
  <c r="C5" i="13"/>
  <c r="D16" i="13" s="1"/>
  <c r="C2" i="13"/>
  <c r="C3" i="13"/>
  <c r="C4" i="13"/>
  <c r="E14" i="13"/>
  <c r="E20" i="13" s="1"/>
  <c r="E7" i="18"/>
  <c r="C21" i="12"/>
  <c r="E5" i="18" s="1"/>
  <c r="F2" i="11"/>
  <c r="H18" i="11"/>
  <c r="I28" i="9"/>
  <c r="D16" i="18"/>
  <c r="D14" i="18"/>
  <c r="D17" i="18"/>
  <c r="H17" i="11"/>
  <c r="H19" i="11"/>
  <c r="H20" i="11"/>
  <c r="L28" i="9" s="1"/>
  <c r="L31" i="9" s="1"/>
  <c r="H24" i="11"/>
  <c r="E26" i="9" s="1"/>
  <c r="D26" i="9" s="1"/>
  <c r="H25" i="11"/>
  <c r="E27" i="9" s="1"/>
  <c r="D27" i="9" s="1"/>
  <c r="H26" i="11"/>
  <c r="H33" i="11"/>
  <c r="D26" i="19"/>
  <c r="D25" i="19"/>
  <c r="D24" i="19"/>
  <c r="C23" i="19"/>
  <c r="C22" i="19"/>
  <c r="E10" i="18"/>
  <c r="D10" i="18"/>
  <c r="C6" i="13"/>
  <c r="E11" i="18"/>
  <c r="F4" i="18" l="1"/>
  <c r="D32" i="18"/>
  <c r="I5" i="9"/>
  <c r="J5" i="9"/>
  <c r="L5" i="9"/>
  <c r="F24" i="18"/>
  <c r="K5" i="9"/>
  <c r="F11" i="18"/>
  <c r="D27" i="18"/>
  <c r="E27" i="18" s="1"/>
  <c r="K28" i="9"/>
  <c r="K31" i="9" s="1"/>
  <c r="E28" i="9"/>
  <c r="J28" i="9"/>
  <c r="J31" i="9" s="1"/>
  <c r="H28" i="11"/>
  <c r="E20" i="18"/>
  <c r="F20" i="18" s="1"/>
  <c r="D21" i="18"/>
  <c r="D22" i="18" s="1"/>
  <c r="D23" i="18" s="1"/>
  <c r="E32" i="18"/>
  <c r="E33" i="18" s="1"/>
  <c r="E34" i="18" s="1"/>
  <c r="F12" i="18"/>
  <c r="F8" i="18"/>
  <c r="F10" i="18"/>
  <c r="F7" i="18"/>
  <c r="D36" i="18"/>
  <c r="E36" i="18"/>
  <c r="H15" i="9"/>
  <c r="F15" i="9"/>
  <c r="D28" i="18"/>
  <c r="E21" i="18"/>
  <c r="D22" i="13"/>
  <c r="C7" i="13"/>
  <c r="C8" i="13" s="1"/>
  <c r="F2" i="18"/>
  <c r="E11" i="4"/>
  <c r="D12" i="4"/>
  <c r="H21" i="11"/>
  <c r="E24" i="9" s="1"/>
  <c r="D33" i="18"/>
  <c r="D34" i="18" s="1"/>
  <c r="D18" i="4"/>
  <c r="D22" i="4"/>
  <c r="E17" i="4"/>
  <c r="F5" i="18"/>
  <c r="D13" i="4"/>
  <c r="H28" i="9"/>
  <c r="H31" i="9" s="1"/>
  <c r="G28" i="9"/>
  <c r="G31" i="9" s="1"/>
  <c r="F28" i="9"/>
  <c r="F31" i="9" s="1"/>
  <c r="E15" i="9"/>
  <c r="G15" i="9"/>
  <c r="E16" i="9"/>
  <c r="D29" i="18" l="1"/>
  <c r="D38" i="18"/>
  <c r="D40" i="18" s="1"/>
  <c r="F27" i="18"/>
  <c r="E29" i="18"/>
  <c r="E22" i="18"/>
  <c r="E23" i="18" s="1"/>
  <c r="F23" i="18" s="1"/>
  <c r="F32" i="18"/>
  <c r="E28" i="18"/>
  <c r="F28" i="18" s="1"/>
  <c r="E38" i="18"/>
  <c r="F21" i="18"/>
  <c r="F36" i="18"/>
  <c r="D30" i="18"/>
  <c r="D42" i="18" s="1"/>
  <c r="D43" i="18" s="1"/>
  <c r="F34" i="18"/>
  <c r="F17" i="4"/>
  <c r="E18" i="4"/>
  <c r="F18" i="4" s="1"/>
  <c r="D23" i="4"/>
  <c r="E22" i="4"/>
  <c r="E31" i="9"/>
  <c r="D24" i="9"/>
  <c r="E12" i="4"/>
  <c r="F12" i="4" s="1"/>
  <c r="E13" i="4"/>
  <c r="F11" i="4"/>
  <c r="F33" i="18"/>
  <c r="I25" i="9"/>
  <c r="H35" i="11"/>
  <c r="D28" i="9"/>
  <c r="F38" i="18" l="1"/>
  <c r="G10" i="9"/>
  <c r="E10" i="9"/>
  <c r="H10" i="9"/>
  <c r="F10" i="9"/>
  <c r="E40" i="18"/>
  <c r="F40" i="18" s="1"/>
  <c r="E30" i="18"/>
  <c r="F30" i="18" s="1"/>
  <c r="F29" i="18"/>
  <c r="F22" i="18"/>
  <c r="G22" i="18" s="1"/>
  <c r="E15" i="13" s="1"/>
  <c r="I31" i="9"/>
  <c r="D31" i="9" s="1"/>
  <c r="C10" i="19" s="1"/>
  <c r="D25" i="9"/>
  <c r="J10" i="9"/>
  <c r="I10" i="9"/>
  <c r="L10" i="9"/>
  <c r="K10" i="9"/>
  <c r="E32" i="9"/>
  <c r="F32" i="9" s="1"/>
  <c r="G32" i="9" s="1"/>
  <c r="H32" i="9" s="1"/>
  <c r="F13" i="4"/>
  <c r="E23" i="4"/>
  <c r="F23" i="4" s="1"/>
  <c r="F22" i="4"/>
  <c r="H5" i="9"/>
  <c r="F5" i="9"/>
  <c r="G5" i="9"/>
  <c r="E5" i="9"/>
  <c r="E9" i="9" l="1"/>
  <c r="G9" i="9"/>
  <c r="F9" i="9"/>
  <c r="H9" i="9"/>
  <c r="E11" i="9"/>
  <c r="G11" i="9"/>
  <c r="F11" i="9"/>
  <c r="H11" i="9"/>
  <c r="H12" i="9" s="1"/>
  <c r="E42" i="18"/>
  <c r="E43" i="18" s="1"/>
  <c r="F43" i="18" s="1"/>
  <c r="F45" i="18" s="1"/>
  <c r="I6" i="9" s="1"/>
  <c r="F42" i="18"/>
  <c r="G42" i="18" s="1"/>
  <c r="E22" i="13" s="1"/>
  <c r="F22" i="13" s="1"/>
  <c r="F23" i="13" s="1"/>
  <c r="F27" i="13" s="1"/>
  <c r="E16" i="13"/>
  <c r="F16" i="13" s="1"/>
  <c r="F17" i="13" s="1"/>
  <c r="F26" i="13" s="1"/>
  <c r="J15" i="9" s="1"/>
  <c r="D10" i="9"/>
  <c r="D5" i="9"/>
  <c r="E26" i="4"/>
  <c r="I11" i="9"/>
  <c r="K11" i="9"/>
  <c r="J11" i="9"/>
  <c r="L11" i="9"/>
  <c r="I9" i="9"/>
  <c r="L9" i="9"/>
  <c r="K9" i="9"/>
  <c r="J9" i="9"/>
  <c r="F26" i="4"/>
  <c r="I32" i="9"/>
  <c r="J32" i="9" s="1"/>
  <c r="K32" i="9" s="1"/>
  <c r="L32" i="9" s="1"/>
  <c r="D32" i="9" s="1"/>
  <c r="E21" i="13" l="1"/>
  <c r="G12" i="9"/>
  <c r="F12" i="9"/>
  <c r="E12" i="9"/>
  <c r="K6" i="9"/>
  <c r="J6" i="9"/>
  <c r="F6" i="9"/>
  <c r="H6" i="9"/>
  <c r="L6" i="9"/>
  <c r="E6" i="9"/>
  <c r="G6" i="9"/>
  <c r="I16" i="9"/>
  <c r="L16" i="9"/>
  <c r="H16" i="9"/>
  <c r="F16" i="9"/>
  <c r="K16" i="9"/>
  <c r="J16" i="9"/>
  <c r="G16" i="9"/>
  <c r="L15" i="9"/>
  <c r="K15" i="9"/>
  <c r="I15" i="9"/>
  <c r="L12" i="9"/>
  <c r="J12" i="9"/>
  <c r="K12" i="9"/>
  <c r="D11" i="9"/>
  <c r="I12" i="9"/>
  <c r="D9" i="9"/>
  <c r="E19" i="9" l="1"/>
  <c r="G19" i="9"/>
  <c r="G35" i="9" s="1"/>
  <c r="H19" i="9"/>
  <c r="H35" i="9" s="1"/>
  <c r="D6" i="9"/>
  <c r="J19" i="9"/>
  <c r="J35" i="9" s="1"/>
  <c r="D16" i="9"/>
  <c r="K19" i="9"/>
  <c r="K35" i="9" s="1"/>
  <c r="D15" i="9"/>
  <c r="F19" i="9"/>
  <c r="F35" i="9" s="1"/>
  <c r="I19" i="9"/>
  <c r="L19" i="9"/>
  <c r="L35" i="9" s="1"/>
  <c r="D12" i="9"/>
  <c r="E35" i="9" l="1"/>
  <c r="E36" i="9" s="1"/>
  <c r="F36" i="9" s="1"/>
  <c r="G36" i="9" s="1"/>
  <c r="E20" i="9"/>
  <c r="E38" i="9" s="1"/>
  <c r="D19" i="9"/>
  <c r="C11" i="19" s="1"/>
  <c r="I35" i="9"/>
  <c r="D35" i="9" l="1"/>
  <c r="C12" i="19" s="1"/>
  <c r="F20" i="9"/>
  <c r="F38" i="9" s="1"/>
  <c r="E42" i="9"/>
  <c r="D40" i="9"/>
  <c r="C14" i="19" s="1"/>
  <c r="F42" i="9"/>
  <c r="H36" i="9"/>
  <c r="H42" i="9" s="1"/>
  <c r="G42" i="9"/>
  <c r="G20" i="9" l="1"/>
  <c r="H20" i="9" s="1"/>
  <c r="H38" i="9" s="1"/>
  <c r="I36" i="9"/>
  <c r="I42" i="9" s="1"/>
  <c r="G38" i="9" l="1"/>
  <c r="I20" i="9"/>
  <c r="I38" i="9" s="1"/>
  <c r="J36" i="9"/>
  <c r="J42" i="9" s="1"/>
  <c r="J20" i="9" l="1"/>
  <c r="K20" i="9" s="1"/>
  <c r="K36" i="9"/>
  <c r="J38" i="9" l="1"/>
  <c r="L36" i="9"/>
  <c r="K38" i="9"/>
  <c r="L20" i="9"/>
  <c r="K42" i="9"/>
  <c r="D36" i="9" l="1"/>
  <c r="D44" i="9"/>
  <c r="C8" i="19" s="1"/>
  <c r="D20" i="9"/>
  <c r="L38" i="9"/>
  <c r="D38" i="9" s="1"/>
  <c r="C16" i="19" s="1"/>
  <c r="L42" i="9"/>
  <c r="D42" i="9" s="1"/>
  <c r="C18" i="19" s="1"/>
</calcChain>
</file>

<file path=xl/sharedStrings.xml><?xml version="1.0" encoding="utf-8"?>
<sst xmlns="http://schemas.openxmlformats.org/spreadsheetml/2006/main" count="352" uniqueCount="289">
  <si>
    <t>Training</t>
  </si>
  <si>
    <t>Test Automation Software</t>
  </si>
  <si>
    <t>Additional Seats</t>
  </si>
  <si>
    <t>Additional Virtual Users</t>
  </si>
  <si>
    <t>Annual Support</t>
  </si>
  <si>
    <t>Test Effectiveness Improvement</t>
  </si>
  <si>
    <t>Availability, in "Nines"</t>
  </si>
  <si>
    <t>Average Outage cost, $ per hour</t>
  </si>
  <si>
    <t>Average Incident cost, $ each</t>
  </si>
  <si>
    <t>Availability Effect</t>
  </si>
  <si>
    <t>Incident Rate Effect</t>
  </si>
  <si>
    <t>Daily Factory Overhead</t>
  </si>
  <si>
    <t>Base License</t>
  </si>
  <si>
    <t>Unit Cost</t>
  </si>
  <si>
    <t>Unit</t>
  </si>
  <si>
    <t>Site</t>
  </si>
  <si>
    <t>Person</t>
  </si>
  <si>
    <t>Virtual User</t>
  </si>
  <si>
    <t>Test Investment Parameters</t>
  </si>
  <si>
    <t>Number of Testers</t>
  </si>
  <si>
    <t>Hourly cost, each tester</t>
  </si>
  <si>
    <t xml:space="preserve">Average fully burdened hourly cost per tester </t>
  </si>
  <si>
    <t xml:space="preserve">Parameter </t>
  </si>
  <si>
    <t>Assumption</t>
  </si>
  <si>
    <t>Units</t>
  </si>
  <si>
    <t>Definition</t>
  </si>
  <si>
    <t>percent</t>
  </si>
  <si>
    <t>Test Effectiveness Parameters</t>
  </si>
  <si>
    <t>dollars</t>
  </si>
  <si>
    <t>Existing Manual Test Procedures</t>
  </si>
  <si>
    <t>days</t>
  </si>
  <si>
    <t>persons</t>
  </si>
  <si>
    <t>Time-To-Market Parameters</t>
  </si>
  <si>
    <t>procedures</t>
  </si>
  <si>
    <t>hours</t>
  </si>
  <si>
    <t>Automated</t>
  </si>
  <si>
    <t>Manual</t>
  </si>
  <si>
    <t>Total Market for product under test</t>
  </si>
  <si>
    <t>Unique configurations to be tested</t>
  </si>
  <si>
    <t>Effectiveness Parameters</t>
  </si>
  <si>
    <t>Difference</t>
  </si>
  <si>
    <t>Unscheduled Downtime, hours per year</t>
  </si>
  <si>
    <t>YEAR 1</t>
  </si>
  <si>
    <t>YEAR 2</t>
  </si>
  <si>
    <t>Total Benefits</t>
  </si>
  <si>
    <t>Number of Releases per Year</t>
  </si>
  <si>
    <t>Maximum market share</t>
  </si>
  <si>
    <t>releases</t>
  </si>
  <si>
    <t>Data Entry Instructions</t>
  </si>
  <si>
    <t>Enter zero for any parameter which is not applicable in your situation.</t>
  </si>
  <si>
    <t>platforms</t>
  </si>
  <si>
    <t>factor</t>
  </si>
  <si>
    <t>dollars/hour</t>
  </si>
  <si>
    <t>dollars each</t>
  </si>
  <si>
    <t>1Q</t>
  </si>
  <si>
    <t>2Q</t>
  </si>
  <si>
    <t>3Q</t>
  </si>
  <si>
    <t>4Q</t>
  </si>
  <si>
    <t>Company</t>
  </si>
  <si>
    <t>Initial Test Automation Costs</t>
  </si>
  <si>
    <t>License</t>
  </si>
  <si>
    <t>Quantity</t>
  </si>
  <si>
    <t>Cost</t>
  </si>
  <si>
    <t>Number of Supported Testers</t>
  </si>
  <si>
    <t>Frequency</t>
  </si>
  <si>
    <t>Once</t>
  </si>
  <si>
    <t>Annual</t>
  </si>
  <si>
    <t>Total Costs</t>
  </si>
  <si>
    <t xml:space="preserve">Cost of Capital </t>
  </si>
  <si>
    <t>Average cost of capital for discounted cash flow</t>
  </si>
  <si>
    <t>Effectiveness</t>
  </si>
  <si>
    <t>Scope Growth</t>
  </si>
  <si>
    <t>Initial Productivity Effects</t>
  </si>
  <si>
    <t xml:space="preserve">Automated </t>
  </si>
  <si>
    <t>Productivity Parameters</t>
  </si>
  <si>
    <t>Scope Parameters</t>
  </si>
  <si>
    <t>Number of Platforms</t>
  </si>
  <si>
    <t>Volatility Parameters</t>
  </si>
  <si>
    <t>Number of Test Scenarios</t>
  </si>
  <si>
    <t>Initial Release, Total Cost</t>
  </si>
  <si>
    <t>Bad Fix Effect</t>
  </si>
  <si>
    <t>Bad Fix Rate</t>
  </si>
  <si>
    <t>Expected Bad Fixes</t>
  </si>
  <si>
    <t xml:space="preserve"> Outage Cost Reduction</t>
  </si>
  <si>
    <t xml:space="preserve"> Incident Cost Reduction</t>
  </si>
  <si>
    <t xml:space="preserve"> Bad Fix Cost Reduction</t>
  </si>
  <si>
    <t>Total Annual Outage Cost</t>
  </si>
  <si>
    <t>Total Annual Incident Cost</t>
  </si>
  <si>
    <t>Annual Bad Fix Cost</t>
  </si>
  <si>
    <t>Cycle Time Reduction</t>
  </si>
  <si>
    <t>Typical Test Time, Manual Testing</t>
  </si>
  <si>
    <t>Maximum Revenue</t>
  </si>
  <si>
    <t>Average work to code a test scenario in a test object</t>
  </si>
  <si>
    <t>Average time to run a test object</t>
  </si>
  <si>
    <t>Average work to change a test object</t>
  </si>
  <si>
    <t>Average net add/drop application scope</t>
  </si>
  <si>
    <t>Average percent of test scenarios changed per release</t>
  </si>
  <si>
    <t>Recurring  Productivity Effect</t>
  </si>
  <si>
    <t>Equipment</t>
  </si>
  <si>
    <t>Initial Test Cycle Time</t>
  </si>
  <si>
    <t>Initial Cycle Time Effects</t>
  </si>
  <si>
    <t>Recurring  Cycle Time Effects</t>
  </si>
  <si>
    <t>Benefit Totals</t>
  </si>
  <si>
    <t xml:space="preserve"> Quarterly</t>
  </si>
  <si>
    <t xml:space="preserve"> Cumulative</t>
  </si>
  <si>
    <t>Tool License</t>
  </si>
  <si>
    <t>New Equipment</t>
  </si>
  <si>
    <t>Net Cash Flow</t>
  </si>
  <si>
    <t>Cash Flow Analysis</t>
  </si>
  <si>
    <t>Cost Totals</t>
  </si>
  <si>
    <t>Months to Breakeven</t>
  </si>
  <si>
    <t>Net Present Value</t>
  </si>
  <si>
    <t>Test Automation Benefits</t>
  </si>
  <si>
    <t>Test Automation Costs</t>
  </si>
  <si>
    <t>Net Cash Flow, Quarterly</t>
  </si>
  <si>
    <t>Net Cash Flow, Cumulative</t>
  </si>
  <si>
    <t>ROI, Quarterly</t>
  </si>
  <si>
    <t>Project ROI</t>
  </si>
  <si>
    <t>Total Cost, Subsequent Releases</t>
  </si>
  <si>
    <t>Recurring Test Cycle Time</t>
  </si>
  <si>
    <t>Value of initial test cycle reduction</t>
  </si>
  <si>
    <t>Initial test effort reduction</t>
  </si>
  <si>
    <t>Recurring test effort reduction</t>
  </si>
  <si>
    <t>Baseline annual outage hours</t>
  </si>
  <si>
    <t>Observed outage hours, annualized</t>
  </si>
  <si>
    <t>Observed production/field incidents, annualized</t>
  </si>
  <si>
    <t>Baseline Outage hours, annual</t>
  </si>
  <si>
    <t>Baseline incidents, annual</t>
  </si>
  <si>
    <t>Expected improvement in bug removal rate</t>
  </si>
  <si>
    <t>Time-To-Market Effect</t>
  </si>
  <si>
    <t>Initial Test Cycle</t>
  </si>
  <si>
    <t>Subsequent Test Cycles</t>
  </si>
  <si>
    <t>Average time to manually run a test scenario</t>
  </si>
  <si>
    <t>New Test Scenarios</t>
  </si>
  <si>
    <t>Unchanged Test Scenarios</t>
  </si>
  <si>
    <t>Vendor</t>
  </si>
  <si>
    <t>Product</t>
  </si>
  <si>
    <t xml:space="preserve">Other </t>
  </si>
  <si>
    <t>Total Initial Cost</t>
  </si>
  <si>
    <t>Total Annual Cost</t>
  </si>
  <si>
    <t>Other</t>
  </si>
  <si>
    <t>Total Test Automation Software</t>
  </si>
  <si>
    <t>Note: Conversion costs estimated on Productivity worksheet</t>
  </si>
  <si>
    <t xml:space="preserve">URL </t>
  </si>
  <si>
    <t>Session</t>
  </si>
  <si>
    <t>Design Hours</t>
  </si>
  <si>
    <t>Coding Hours</t>
  </si>
  <si>
    <t>Execution Hours</t>
  </si>
  <si>
    <t>Revision Hours</t>
  </si>
  <si>
    <t>Total Hours, Subsequent Releases</t>
  </si>
  <si>
    <t>Conversion Hours</t>
  </si>
  <si>
    <t>Initial Release Total Hours</t>
  </si>
  <si>
    <t>Net Growth, Test Scenarios</t>
  </si>
  <si>
    <t>Percent Changed Test Scenarios</t>
  </si>
  <si>
    <t>Total Hours, New Scenarios</t>
  </si>
  <si>
    <t>Total Hours, Scenario Revisions</t>
  </si>
  <si>
    <t>Average work to change a manual test procedure</t>
  </si>
  <si>
    <t>Test Scenario Volatility</t>
  </si>
  <si>
    <t>Enter your assumption for each parameter in the gold boxes, or just use the default.</t>
  </si>
  <si>
    <t>rate</t>
  </si>
  <si>
    <t>Breakeven Month</t>
  </si>
  <si>
    <t xml:space="preserve">Estimated ROI for Automation of Manual Testing </t>
  </si>
  <si>
    <t>Project</t>
  </si>
  <si>
    <t>Totals</t>
  </si>
  <si>
    <t xml:space="preserve">Annual Tool Support </t>
  </si>
  <si>
    <t>Annual Productivity Effect</t>
  </si>
  <si>
    <t>Number Releases per Year</t>
  </si>
  <si>
    <t>Productivity</t>
  </si>
  <si>
    <t>Time Frame, Months</t>
  </si>
  <si>
    <t>Per Release Productivity Effects</t>
  </si>
  <si>
    <t>Average Daily Opportunity Loss</t>
  </si>
  <si>
    <t>Value of recurring test cycle reduction</t>
  </si>
  <si>
    <t>Number of incidents per year</t>
  </si>
  <si>
    <t>Number of different platforms on which tests are repeated</t>
  </si>
  <si>
    <t>Average outage cost, $ per hour</t>
  </si>
  <si>
    <t>Baseline bad fix ratio</t>
  </si>
  <si>
    <t>Test effectiveness improvement</t>
  </si>
  <si>
    <t>Test Procedure Conversion work</t>
  </si>
  <si>
    <t>Test Procedure Maintenance work</t>
  </si>
  <si>
    <t>Test Object Maintenance work</t>
  </si>
  <si>
    <t>Test Scenario Design work</t>
  </si>
  <si>
    <t>Test Object Coding work</t>
  </si>
  <si>
    <t>Test Object Run work</t>
  </si>
  <si>
    <t>Test Procedure Run work</t>
  </si>
  <si>
    <t>Number of releases per year</t>
  </si>
  <si>
    <t>Existing manual test duration</t>
  </si>
  <si>
    <t>Note: Enter zeros in this section if your company does not offer commercial software products</t>
  </si>
  <si>
    <t>Addressable total market for your product, per release</t>
  </si>
  <si>
    <t>Market share, earliest possible release</t>
  </si>
  <si>
    <t>Average manual testing duration</t>
  </si>
  <si>
    <t>Average daily overhead cost</t>
  </si>
  <si>
    <t>Number of existing manual test procedures</t>
  </si>
  <si>
    <t>Vendor Recommendation</t>
  </si>
  <si>
    <t>Number of Seats</t>
  </si>
  <si>
    <t>Number of Virtual Users</t>
  </si>
  <si>
    <t>Number of Base Licenses</t>
  </si>
  <si>
    <t>Test Scenario Design Hours</t>
  </si>
  <si>
    <t>Test Object Coding Hours</t>
  </si>
  <si>
    <t>Test Scenario Execution Hours</t>
  </si>
  <si>
    <t>Test Productivity Parameters</t>
  </si>
  <si>
    <t>Revised Test Scenarios</t>
  </si>
  <si>
    <t>Test Scenario Revision Hours</t>
  </si>
  <si>
    <t xml:space="preserve">Average cost/loss of one production or field bug report </t>
  </si>
  <si>
    <t>Release Duration Parameters</t>
  </si>
  <si>
    <t>Test Cycle Elapsed Days</t>
  </si>
  <si>
    <t>Number Months per Release</t>
  </si>
  <si>
    <t>Number Quarters per Release</t>
  </si>
  <si>
    <t>Initial Release in Quarter</t>
  </si>
  <si>
    <t>Release Effect</t>
  </si>
  <si>
    <t>Initial Release revenue impact</t>
  </si>
  <si>
    <t>Subsequent Release revenue impact</t>
  </si>
  <si>
    <t>Baseline annual incident reports</t>
  </si>
  <si>
    <t>incidents</t>
  </si>
  <si>
    <t>Total Annual Effectiveness Benefit</t>
  </si>
  <si>
    <t>Average time to design a new test scenario</t>
  </si>
  <si>
    <t>Number of developers and testers to support</t>
  </si>
  <si>
    <t>Average time to convert a procedure to a test object</t>
  </si>
  <si>
    <t xml:space="preserve">Average cost/loss of one hour of unscheduled downtime </t>
  </si>
  <si>
    <t>Total Test Scenarios</t>
  </si>
  <si>
    <t>Total Execution Hours, all Scenarios</t>
  </si>
  <si>
    <t>First effected quarter</t>
  </si>
  <si>
    <t>Total market for product</t>
  </si>
  <si>
    <t xml:space="preserve">Total Effectiveness </t>
  </si>
  <si>
    <t>Start Date</t>
  </si>
  <si>
    <t>Observed percent of fixes that cause new bugs</t>
  </si>
  <si>
    <t>Recurring Test Automation Costs</t>
  </si>
  <si>
    <t>My Company</t>
  </si>
  <si>
    <t>My Product</t>
  </si>
  <si>
    <t xml:space="preserve">The full GNU General Public License may be viewed at </t>
  </si>
  <si>
    <t>http://www.gnu.org/licenses/gpl.html</t>
  </si>
  <si>
    <t xml:space="preserve">This spreadsheet provides a model to estimate the economic costs and benefits of software testing. </t>
  </si>
  <si>
    <t>For an explanation of its use, please see "What's my Testing ROI?"</t>
  </si>
  <si>
    <t>This program is provided in the hope that it will be useful, but WITHOUT ANY WARRANTY; without even the implied warranty of  MERCHANTABILITY or FITNESS FOR A PARTICULAR PURPOSE.  See the GNU General Public License for more details.</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</si>
  <si>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</si>
  <si>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</si>
  <si>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Parameters</t>
  </si>
  <si>
    <t>Total ROI</t>
  </si>
  <si>
    <t>General</t>
  </si>
  <si>
    <t>Gold boxes indicate where you enter a value.</t>
  </si>
  <si>
    <t>The formulas and formatting in this spreadsheet are Copyright 2005, mVerify Corporation and 2011, Robert V. Binder.</t>
  </si>
  <si>
    <t>An estimate of costs and benefits over a two year period is calculated from</t>
  </si>
  <si>
    <t xml:space="preserve">the values you enter for parameters on each tab.  </t>
  </si>
  <si>
    <t xml:space="preserve">Tooling Costs </t>
  </si>
  <si>
    <t>Enter a project name to be used in the report</t>
  </si>
  <si>
    <t>Enter an organization name to be used in the report</t>
  </si>
  <si>
    <t>Enter the date for the start of the project</t>
  </si>
  <si>
    <t xml:space="preserve">Overhead rate </t>
  </si>
  <si>
    <t>Vendor name</t>
  </si>
  <si>
    <t>Test Automation product name</t>
  </si>
  <si>
    <t>Vendor URL</t>
  </si>
  <si>
    <t>Cost of software license</t>
  </si>
  <si>
    <t xml:space="preserve">Incremental cost of seat or other capacity </t>
  </si>
  <si>
    <t xml:space="preserve">Incremental cost of virtual user or other capacity </t>
  </si>
  <si>
    <t>Conversion, support, training, etc.</t>
  </si>
  <si>
    <t xml:space="preserve">http://www.sourceforge.org/ta-roi/Whats-My-Testing-ROI.pdf </t>
  </si>
  <si>
    <t>Enter values as indicated.  Select the cell for what to enter.</t>
  </si>
  <si>
    <t xml:space="preserve">Version </t>
  </si>
  <si>
    <t>Date</t>
  </si>
  <si>
    <t>Note</t>
  </si>
  <si>
    <t>Initial release</t>
  </si>
  <si>
    <t>1.0</t>
  </si>
  <si>
    <t>1.1</t>
  </si>
  <si>
    <t>Corrected reported errors, first GPL version</t>
  </si>
  <si>
    <t>Add How to tab, release notes, Published on Source Forge</t>
  </si>
  <si>
    <t>Approximate calculations used the following logic, per one squad of WODP: 4 manual QA, 3 Hybris Devs, 3 CDS devs, 3 AEM devs, 1 automation QA. 14 people per squad * 6 squads = 84 people overall</t>
  </si>
  <si>
    <t>Average software engineer salary - 5000 dollars, manual QA - 3000 dollars, automation QA - 4500 dollars. Average per squad, and therefore overall average is [total cost per squad / people per squad / average number of hours per month], specifically 61500 / 14 / 168 is 26.1</t>
  </si>
  <si>
    <t>Here we start to count from Sprint 1. Since in general each squad had approximately 5 stories per sprint, and each story in general has around 15 cases, it means that we start, from all squads, with 450 cases</t>
  </si>
  <si>
    <t>Here we have combinations of platforms, and plus - banners. Since during in-sprint testing we are testing on combinations of them, it's overall 8 platforms * 5 banners (with LEQ FR), which brings total to 40. Considering that with mapping, not every test case is repeated 40 times, we can assume that in general, it's 20</t>
  </si>
  <si>
    <t>In general, since we do not have old tests cases, here we can put the time which it took to cover sprint 1 testing. It's approximately three weeks, so 21 days</t>
  </si>
  <si>
    <t>In general, we can assume that with each sprint the amount of test cases would double</t>
  </si>
  <si>
    <t>With changes, we can assume the third of all cases to change in some way, which, pretty much, can be considered accurate</t>
  </si>
  <si>
    <t>As I cannot put here any logical value, I am leaving it at 15%</t>
  </si>
  <si>
    <t>As I can only guess, and assume, the efforts needed for automating the cases, all values are approximate</t>
  </si>
  <si>
    <t>We can pretty much say that to cover one story with tests it takes approximately 12 working hours</t>
  </si>
  <si>
    <t>Here we can assume that in general we expect 5-6 issues which block work, fully, per year</t>
  </si>
  <si>
    <t>Left here 10000 dollars since it is hard to guess</t>
  </si>
  <si>
    <t>Since here 100 millions is the biggest value - let's use this</t>
  </si>
  <si>
    <t>Taken from Google</t>
  </si>
  <si>
    <t>just a guess here</t>
  </si>
  <si>
    <t>default value</t>
  </si>
  <si>
    <t>10 hours, in general</t>
  </si>
  <si>
    <t>Approximately four hours</t>
  </si>
  <si>
    <t>Considering the project we expect at least 5 times better bug removal rate</t>
  </si>
  <si>
    <t>As I don't know whether we consider this value or not, I left it empty</t>
  </si>
  <si>
    <t>This field is also empty, as a result of a previous one</t>
  </si>
  <si>
    <t>Licenses</t>
  </si>
  <si>
    <t>Automation tools</t>
  </si>
  <si>
    <t>Here we are using only the default data</t>
  </si>
  <si>
    <t>Only one release during the first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</si>
</sst>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0.000%"/>
    <numFmt numFmtId="168" formatCode="0.0"/>
    <numFmt numFmtId="169" formatCode="[$-409]mmmm\ d\,\ yyyy;@"/>
    <numFmt numFmtId="170" formatCode="[$-409]d\-mmm\-yyyy;@"/>
  </numFmts>
  <fonts count="15" x14ac:knownFonts="1">
    <font>
      <sz val="10"/>
      <name val="Arial"/>
    </font>
    <font>
      <sz val="10"/>
      <name val="Arial"/>
      <family val="2"/>
    </font>
    <font>
      <sz val="8"/>
      <name val="Arial"/>
      <family val="2"/>
    </font>
    <font>
      <u/>
      <sz val="10"/>
      <color indexed="12"/>
      <name val="Arial"/>
      <family val="2"/>
    </font>
    <font>
      <sz val="10"/>
      <name val="Arial Narrow"/>
      <family val="2"/>
    </font>
    <font>
      <b/>
      <sz val="10"/>
      <name val="Arial Narrow"/>
      <family val="2"/>
    </font>
    <font>
      <b/>
      <sz val="11"/>
      <name val="Arial Narrow"/>
      <family val="2"/>
    </font>
    <font>
      <sz val="11"/>
      <name val="Arial Narrow"/>
      <family val="2"/>
    </font>
    <font>
      <b/>
      <i/>
      <sz val="11"/>
      <name val="Arial Narrow"/>
      <family val="2"/>
    </font>
    <font>
      <i/>
      <sz val="11"/>
      <name val="Arial Narrow"/>
      <family val="2"/>
    </font>
    <font>
      <b/>
      <i/>
      <sz val="10"/>
      <name val="Arial Narrow"/>
      <family val="2"/>
    </font>
    <font>
      <i/>
      <sz val="10"/>
      <name val="Arial Narrow"/>
      <family val="2"/>
    </font>
    <font>
      <sz val="11"/>
      <name val="Arial"/>
      <family val="2"/>
    </font>
    <font>
      <b/>
      <sz val="10"/>
      <name val="Arial"/>
      <family val="2"/>
    </font>
    <font>
      <sz val="10"/>
      <name val="Arial"/>
      <family val="2"/>
    </font>
  </fonts>
  <fills count="8">
    <fill>
      <patternFill patternType="none"/>
    </fill>
    <fill>
      <patternFill patternType="gray125"/>
    </fill>
    <fill>
      <patternFill patternType="solid">
        <fgColor indexed="42"/>
        <bgColor indexed="64"/>
      </patternFill>
    </fill>
    <fill>
      <patternFill patternType="solid">
        <fgColor indexed="51"/>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rgb="FFFFC000"/>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top/>
      <bottom style="double">
        <color indexed="64"/>
      </bottom>
      <diagonal/>
    </border>
    <border>
      <left/>
      <right/>
      <top style="double">
        <color indexed="64"/>
      </top>
      <bottom style="double">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168" fontId="7" fillId="2" borderId="0" applyNumberFormat="0" applyFill="0" applyBorder="0"/>
  </cellStyleXfs>
  <cellXfs count="206">
    <xf numFmtId="0" fontId="0" fillId="0" borderId="0" xfId="0"/>
    <xf numFmtId="0" fontId="4" fillId="0" borderId="0" xfId="0" applyFont="1"/>
    <xf numFmtId="0" fontId="5" fillId="0" borderId="0" xfId="0" applyFont="1"/>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7" fillId="0" borderId="0" xfId="0" applyFont="1" applyAlignment="1">
      <alignment horizontal="center" vertical="top" wrapText="1"/>
    </xf>
    <xf numFmtId="0" fontId="7" fillId="0" borderId="0" xfId="0" applyFont="1"/>
    <xf numFmtId="0" fontId="6" fillId="0" borderId="0" xfId="0" applyFont="1"/>
    <xf numFmtId="0" fontId="8" fillId="0" borderId="0" xfId="0" applyFont="1" applyAlignment="1">
      <alignment horizontal="center"/>
    </xf>
    <xf numFmtId="0" fontId="7" fillId="0" borderId="0" xfId="0" applyFont="1" applyAlignment="1">
      <alignment horizontal="left" vertical="top" wrapText="1"/>
    </xf>
    <xf numFmtId="0" fontId="7" fillId="0" borderId="0" xfId="0" applyFont="1" applyAlignment="1">
      <alignment horizontal="center" vertical="top"/>
    </xf>
    <xf numFmtId="0" fontId="9" fillId="0" borderId="0" xfId="0" applyFont="1" applyAlignment="1">
      <alignment horizontal="left" vertical="top" wrapText="1"/>
    </xf>
    <xf numFmtId="0" fontId="9" fillId="0" borderId="0" xfId="0" applyFont="1"/>
    <xf numFmtId="0" fontId="8" fillId="0" borderId="0" xfId="0" applyFont="1"/>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applyFont="1" applyAlignment="1">
      <alignment horizontal="center" vertical="top"/>
    </xf>
    <xf numFmtId="0" fontId="4"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wrapText="1"/>
    </xf>
    <xf numFmtId="0" fontId="10" fillId="0" borderId="0" xfId="0" applyFont="1" applyAlignment="1">
      <alignment horizontal="center" vertical="top" wrapText="1"/>
    </xf>
    <xf numFmtId="0" fontId="10" fillId="0" borderId="0" xfId="0" applyFont="1" applyAlignment="1">
      <alignment horizontal="left" vertical="top" wrapText="1"/>
    </xf>
    <xf numFmtId="0" fontId="11" fillId="0" borderId="0" xfId="0" applyFont="1"/>
    <xf numFmtId="0" fontId="4" fillId="0" borderId="0" xfId="0" applyFont="1" applyAlignment="1">
      <alignment horizontal="center"/>
    </xf>
    <xf numFmtId="164" fontId="4" fillId="0" borderId="0" xfId="0" applyNumberFormat="1" applyFont="1"/>
    <xf numFmtId="164" fontId="4" fillId="0" borderId="0" xfId="2" applyNumberFormat="1" applyFont="1"/>
    <xf numFmtId="0" fontId="7" fillId="0" borderId="0" xfId="0" applyFont="1" applyFill="1"/>
    <xf numFmtId="164" fontId="7" fillId="0" borderId="0" xfId="2" applyNumberFormat="1" applyFont="1" applyFill="1"/>
    <xf numFmtId="0" fontId="4" fillId="0" borderId="1" xfId="0" applyFont="1" applyBorder="1"/>
    <xf numFmtId="0" fontId="4" fillId="3" borderId="2" xfId="0" applyFont="1" applyFill="1" applyBorder="1" applyAlignment="1">
      <alignment vertical="top" wrapText="1"/>
    </xf>
    <xf numFmtId="44" fontId="4" fillId="3" borderId="2" xfId="2" applyFont="1" applyFill="1" applyBorder="1" applyAlignment="1">
      <alignment vertical="top" wrapText="1"/>
    </xf>
    <xf numFmtId="9" fontId="4" fillId="3" borderId="2" xfId="4" applyFont="1" applyFill="1" applyBorder="1" applyAlignment="1">
      <alignment vertical="top" wrapText="1"/>
    </xf>
    <xf numFmtId="37" fontId="4" fillId="3" borderId="2" xfId="2" applyNumberFormat="1" applyFont="1" applyFill="1" applyBorder="1" applyAlignment="1">
      <alignment vertical="top" wrapText="1"/>
    </xf>
    <xf numFmtId="164" fontId="4" fillId="3" borderId="2" xfId="2" applyNumberFormat="1" applyFont="1" applyFill="1" applyBorder="1" applyAlignment="1">
      <alignment vertical="top" wrapText="1"/>
    </xf>
    <xf numFmtId="166" fontId="4" fillId="3" borderId="2" xfId="4" applyNumberFormat="1" applyFont="1" applyFill="1" applyBorder="1" applyAlignment="1">
      <alignment vertical="top" wrapText="1"/>
    </xf>
    <xf numFmtId="0" fontId="7" fillId="3" borderId="0" xfId="0" applyFont="1" applyFill="1"/>
    <xf numFmtId="168" fontId="4" fillId="3" borderId="2" xfId="0" applyNumberFormat="1" applyFont="1" applyFill="1" applyBorder="1" applyAlignment="1">
      <alignment vertical="top" wrapText="1"/>
    </xf>
    <xf numFmtId="0" fontId="7" fillId="0" borderId="0" xfId="0" applyFont="1" applyFill="1" applyBorder="1" applyAlignment="1">
      <alignment vertical="top" wrapText="1"/>
    </xf>
    <xf numFmtId="164" fontId="6" fillId="0" borderId="0" xfId="2" applyNumberFormat="1" applyFont="1" applyFill="1"/>
    <xf numFmtId="9" fontId="6" fillId="0" borderId="0" xfId="4" applyFont="1" applyFill="1"/>
    <xf numFmtId="0" fontId="7" fillId="0" borderId="0" xfId="0" applyFont="1" applyFill="1" applyAlignment="1">
      <alignment horizontal="left" vertical="top" wrapText="1"/>
    </xf>
    <xf numFmtId="164" fontId="7" fillId="4" borderId="2" xfId="5" applyNumberFormat="1" applyFill="1" applyBorder="1"/>
    <xf numFmtId="166" fontId="7" fillId="4" borderId="2" xfId="5" applyNumberFormat="1" applyFill="1" applyBorder="1"/>
    <xf numFmtId="0" fontId="7" fillId="4" borderId="2" xfId="5" applyNumberFormat="1" applyFill="1" applyBorder="1"/>
    <xf numFmtId="164" fontId="7" fillId="4" borderId="2" xfId="2" applyNumberFormat="1" applyFont="1" applyFill="1" applyBorder="1"/>
    <xf numFmtId="1" fontId="7" fillId="4" borderId="2" xfId="5" applyNumberFormat="1" applyFill="1" applyBorder="1"/>
    <xf numFmtId="9" fontId="7" fillId="4" borderId="2" xfId="4" applyFont="1" applyFill="1" applyBorder="1"/>
    <xf numFmtId="0" fontId="7" fillId="0" borderId="0" xfId="0" applyFont="1" applyFill="1" applyAlignment="1">
      <alignment vertical="top"/>
    </xf>
    <xf numFmtId="0" fontId="7" fillId="0" borderId="0" xfId="0" applyFont="1" applyFill="1" applyAlignment="1">
      <alignment vertical="top" wrapText="1"/>
    </xf>
    <xf numFmtId="0" fontId="7" fillId="0" borderId="0" xfId="0" applyFont="1" applyFill="1" applyAlignment="1"/>
    <xf numFmtId="0" fontId="7" fillId="0" borderId="0" xfId="0" applyFont="1" applyFill="1" applyBorder="1" applyAlignment="1">
      <alignment vertical="top"/>
    </xf>
    <xf numFmtId="0" fontId="7" fillId="0" borderId="0" xfId="0" applyFont="1" applyFill="1" applyBorder="1" applyAlignment="1"/>
    <xf numFmtId="0" fontId="8" fillId="2" borderId="0" xfId="0" applyFont="1" applyFill="1" applyAlignment="1">
      <alignment horizontal="center"/>
    </xf>
    <xf numFmtId="0" fontId="8" fillId="5" borderId="0" xfId="0" applyFont="1" applyFill="1" applyAlignment="1">
      <alignment horizontal="center"/>
    </xf>
    <xf numFmtId="0" fontId="8" fillId="6" borderId="0" xfId="0" applyFont="1" applyFill="1" applyAlignment="1">
      <alignment horizontal="center" vertical="top" wrapText="1"/>
    </xf>
    <xf numFmtId="0" fontId="7" fillId="0" borderId="0" xfId="0" applyFont="1" applyBorder="1"/>
    <xf numFmtId="0" fontId="7" fillId="0" borderId="0" xfId="0" applyFont="1" applyBorder="1" applyAlignment="1">
      <alignment vertical="top"/>
    </xf>
    <xf numFmtId="0" fontId="7" fillId="0" borderId="1" xfId="0" applyFont="1" applyBorder="1" applyAlignment="1">
      <alignment vertical="top"/>
    </xf>
    <xf numFmtId="0" fontId="7" fillId="0" borderId="1" xfId="0" applyFont="1" applyBorder="1"/>
    <xf numFmtId="164" fontId="7" fillId="5" borderId="1" xfId="2" applyNumberFormat="1" applyFont="1" applyFill="1" applyBorder="1" applyAlignment="1">
      <alignment vertical="top"/>
    </xf>
    <xf numFmtId="164" fontId="7" fillId="6" borderId="1" xfId="2" applyNumberFormat="1" applyFont="1" applyFill="1" applyBorder="1" applyAlignment="1">
      <alignment vertical="top" wrapText="1"/>
    </xf>
    <xf numFmtId="164" fontId="7" fillId="2" borderId="1" xfId="2" applyNumberFormat="1" applyFont="1" applyFill="1" applyBorder="1" applyAlignment="1"/>
    <xf numFmtId="168" fontId="7" fillId="5" borderId="1" xfId="2" applyNumberFormat="1" applyFont="1" applyFill="1" applyBorder="1" applyAlignment="1">
      <alignment vertical="top"/>
    </xf>
    <xf numFmtId="168" fontId="7" fillId="6" borderId="1" xfId="2" applyNumberFormat="1" applyFont="1" applyFill="1" applyBorder="1" applyAlignment="1">
      <alignment vertical="top" wrapText="1"/>
    </xf>
    <xf numFmtId="168" fontId="7" fillId="2" borderId="1" xfId="2" applyNumberFormat="1" applyFont="1" applyFill="1" applyBorder="1" applyAlignment="1"/>
    <xf numFmtId="167" fontId="7" fillId="5" borderId="1" xfId="4" applyNumberFormat="1" applyFont="1" applyFill="1" applyBorder="1" applyAlignment="1">
      <alignment vertical="top"/>
    </xf>
    <xf numFmtId="167" fontId="7" fillId="6" borderId="1" xfId="4" applyNumberFormat="1" applyFont="1" applyFill="1" applyBorder="1" applyAlignment="1">
      <alignment vertical="top" wrapText="1"/>
    </xf>
    <xf numFmtId="167" fontId="7" fillId="2" borderId="1" xfId="4" applyNumberFormat="1" applyFont="1" applyFill="1" applyBorder="1" applyAlignment="1"/>
    <xf numFmtId="164" fontId="7" fillId="6" borderId="3" xfId="0" applyNumberFormat="1" applyFont="1" applyFill="1" applyBorder="1"/>
    <xf numFmtId="164" fontId="7" fillId="2" borderId="3" xfId="0" applyNumberFormat="1" applyFont="1" applyFill="1" applyBorder="1"/>
    <xf numFmtId="0" fontId="7" fillId="5" borderId="1" xfId="0" applyFont="1" applyFill="1" applyBorder="1"/>
    <xf numFmtId="0" fontId="0" fillId="6" borderId="1" xfId="0" applyFill="1" applyBorder="1"/>
    <xf numFmtId="0" fontId="7" fillId="2" borderId="1" xfId="0" applyFont="1" applyFill="1" applyBorder="1"/>
    <xf numFmtId="0" fontId="7" fillId="0" borderId="4" xfId="0" applyFont="1" applyBorder="1" applyAlignment="1">
      <alignment vertical="top"/>
    </xf>
    <xf numFmtId="0" fontId="7" fillId="0" borderId="4" xfId="0" applyFont="1" applyBorder="1"/>
    <xf numFmtId="0" fontId="7" fillId="5" borderId="4" xfId="0" applyFont="1" applyFill="1" applyBorder="1"/>
    <xf numFmtId="0" fontId="7" fillId="6" borderId="4" xfId="0" applyFont="1" applyFill="1" applyBorder="1" applyAlignment="1">
      <alignment horizontal="left" vertical="top" wrapText="1"/>
    </xf>
    <xf numFmtId="164" fontId="7" fillId="2" borderId="4" xfId="2" applyNumberFormat="1" applyFont="1" applyFill="1" applyBorder="1"/>
    <xf numFmtId="165" fontId="9" fillId="5" borderId="1" xfId="5" applyNumberFormat="1" applyFont="1" applyFill="1" applyBorder="1"/>
    <xf numFmtId="165" fontId="9" fillId="6" borderId="1" xfId="5" applyNumberFormat="1" applyFont="1" applyFill="1" applyBorder="1"/>
    <xf numFmtId="168" fontId="7" fillId="0" borderId="0" xfId="0" applyNumberFormat="1" applyFont="1" applyFill="1"/>
    <xf numFmtId="0" fontId="7" fillId="0" borderId="1" xfId="0" applyFont="1" applyBorder="1" applyAlignment="1">
      <alignment horizontal="center"/>
    </xf>
    <xf numFmtId="0" fontId="7" fillId="3" borderId="1" xfId="0" applyFont="1" applyFill="1" applyBorder="1"/>
    <xf numFmtId="164" fontId="7" fillId="3" borderId="1" xfId="2" applyNumberFormat="1" applyFont="1" applyFill="1" applyBorder="1"/>
    <xf numFmtId="0" fontId="6" fillId="3" borderId="0" xfId="0" applyFont="1" applyFill="1"/>
    <xf numFmtId="0" fontId="12" fillId="0" borderId="0" xfId="0" applyFont="1"/>
    <xf numFmtId="0" fontId="3" fillId="3" borderId="0" xfId="3" applyFill="1" applyAlignment="1" applyProtection="1"/>
    <xf numFmtId="0" fontId="9" fillId="0" borderId="1" xfId="0" applyFont="1" applyBorder="1"/>
    <xf numFmtId="0" fontId="7" fillId="0" borderId="5" xfId="0" applyFont="1" applyBorder="1"/>
    <xf numFmtId="165" fontId="9" fillId="0" borderId="6" xfId="1" applyNumberFormat="1" applyFont="1" applyBorder="1"/>
    <xf numFmtId="0" fontId="10" fillId="0" borderId="0" xfId="0" applyFont="1" applyAlignment="1">
      <alignment vertical="top"/>
    </xf>
    <xf numFmtId="0" fontId="11" fillId="0" borderId="0" xfId="0" applyFont="1" applyAlignment="1">
      <alignment vertical="top" wrapText="1"/>
    </xf>
    <xf numFmtId="0" fontId="11" fillId="0" borderId="0" xfId="0" applyFont="1" applyAlignment="1"/>
    <xf numFmtId="164" fontId="4" fillId="2" borderId="1" xfId="0" applyNumberFormat="1" applyFont="1" applyFill="1" applyBorder="1"/>
    <xf numFmtId="164" fontId="4" fillId="2" borderId="1" xfId="2" applyNumberFormat="1" applyFont="1" applyFill="1" applyBorder="1"/>
    <xf numFmtId="164" fontId="4" fillId="2" borderId="6" xfId="2" applyNumberFormat="1" applyFont="1" applyFill="1" applyBorder="1"/>
    <xf numFmtId="6" fontId="4" fillId="2" borderId="0" xfId="0" applyNumberFormat="1" applyFont="1" applyFill="1"/>
    <xf numFmtId="1" fontId="4" fillId="2" borderId="0" xfId="0" applyNumberFormat="1" applyFont="1" applyFill="1" applyAlignment="1">
      <alignment horizontal="center"/>
    </xf>
    <xf numFmtId="0" fontId="4" fillId="0" borderId="1" xfId="0" applyFont="1" applyFill="1" applyBorder="1"/>
    <xf numFmtId="0" fontId="4" fillId="0" borderId="0" xfId="0" applyFont="1" applyFill="1"/>
    <xf numFmtId="0" fontId="4" fillId="0" borderId="6" xfId="0" applyFont="1" applyFill="1" applyBorder="1"/>
    <xf numFmtId="164" fontId="4" fillId="0" borderId="1" xfId="0" applyNumberFormat="1" applyFont="1" applyFill="1" applyBorder="1"/>
    <xf numFmtId="0" fontId="6" fillId="0" borderId="0" xfId="0" applyFont="1" applyAlignment="1">
      <alignment horizontal="center"/>
    </xf>
    <xf numFmtId="1" fontId="7" fillId="5" borderId="1" xfId="2" applyNumberFormat="1" applyFont="1" applyFill="1" applyBorder="1" applyAlignment="1">
      <alignment vertical="top"/>
    </xf>
    <xf numFmtId="1" fontId="7" fillId="6" borderId="1" xfId="2" applyNumberFormat="1" applyFont="1" applyFill="1" applyBorder="1" applyAlignment="1">
      <alignment vertical="top" wrapText="1"/>
    </xf>
    <xf numFmtId="1" fontId="7" fillId="2" borderId="1" xfId="2" applyNumberFormat="1" applyFont="1" applyFill="1" applyBorder="1" applyAlignment="1"/>
    <xf numFmtId="164" fontId="4" fillId="2" borderId="6" xfId="0" applyNumberFormat="1" applyFont="1" applyFill="1" applyBorder="1"/>
    <xf numFmtId="0" fontId="7" fillId="0" borderId="0" xfId="0" applyFont="1" applyFill="1" applyAlignment="1">
      <alignment horizontal="center" vertical="top"/>
    </xf>
    <xf numFmtId="0" fontId="7" fillId="0" borderId="0" xfId="0" applyFont="1" applyAlignment="1">
      <alignment horizontal="left" vertical="top"/>
    </xf>
    <xf numFmtId="1" fontId="4" fillId="3" borderId="2" xfId="0" applyNumberFormat="1" applyFont="1" applyFill="1" applyBorder="1" applyAlignment="1">
      <alignment vertical="top" wrapText="1"/>
    </xf>
    <xf numFmtId="0" fontId="8" fillId="0" borderId="0" xfId="0" applyFont="1" applyFill="1"/>
    <xf numFmtId="0" fontId="6" fillId="0" borderId="1" xfId="0" applyFont="1" applyBorder="1"/>
    <xf numFmtId="0" fontId="6" fillId="2" borderId="1" xfId="0" applyFont="1" applyFill="1" applyBorder="1" applyAlignment="1">
      <alignment horizontal="center"/>
    </xf>
    <xf numFmtId="164" fontId="6" fillId="2" borderId="1" xfId="2" applyNumberFormat="1" applyFont="1" applyFill="1" applyBorder="1" applyAlignment="1">
      <alignment horizontal="center"/>
    </xf>
    <xf numFmtId="9" fontId="6" fillId="2" borderId="1" xfId="4" applyFont="1" applyFill="1" applyBorder="1" applyAlignment="1">
      <alignment horizontal="center"/>
    </xf>
    <xf numFmtId="0" fontId="6" fillId="2" borderId="1" xfId="0" applyFont="1" applyFill="1" applyBorder="1"/>
    <xf numFmtId="0" fontId="4" fillId="0" borderId="6" xfId="0" applyFont="1" applyBorder="1"/>
    <xf numFmtId="0" fontId="4" fillId="0" borderId="7" xfId="0" applyFont="1" applyBorder="1"/>
    <xf numFmtId="164" fontId="4" fillId="2" borderId="7" xfId="2" applyNumberFormat="1" applyFont="1" applyFill="1" applyBorder="1"/>
    <xf numFmtId="164" fontId="4" fillId="2" borderId="8" xfId="2" applyNumberFormat="1" applyFont="1" applyFill="1" applyBorder="1"/>
    <xf numFmtId="164" fontId="4" fillId="2" borderId="8" xfId="0" applyNumberFormat="1" applyFont="1" applyFill="1" applyBorder="1"/>
    <xf numFmtId="164" fontId="4" fillId="2" borderId="9" xfId="2" applyNumberFormat="1" applyFont="1" applyFill="1" applyBorder="1"/>
    <xf numFmtId="164" fontId="4" fillId="2" borderId="9" xfId="0" applyNumberFormat="1" applyFont="1" applyFill="1" applyBorder="1"/>
    <xf numFmtId="9" fontId="4" fillId="2" borderId="8" xfId="4" applyFont="1" applyFill="1" applyBorder="1" applyAlignment="1">
      <alignment horizontal="center"/>
    </xf>
    <xf numFmtId="0" fontId="7" fillId="0" borderId="0" xfId="5" applyNumberFormat="1" applyFill="1"/>
    <xf numFmtId="164" fontId="7" fillId="2" borderId="4" xfId="5" applyNumberFormat="1" applyFill="1" applyBorder="1"/>
    <xf numFmtId="164" fontId="7" fillId="2" borderId="8" xfId="5" applyNumberFormat="1" applyFill="1" applyBorder="1"/>
    <xf numFmtId="164" fontId="7" fillId="2" borderId="1" xfId="5" applyNumberFormat="1" applyFill="1" applyBorder="1"/>
    <xf numFmtId="0" fontId="7" fillId="0" borderId="1" xfId="5" applyNumberFormat="1" applyFill="1" applyBorder="1" applyAlignment="1">
      <alignment horizontal="center"/>
    </xf>
    <xf numFmtId="0" fontId="7" fillId="0" borderId="0" xfId="5" applyNumberFormat="1" applyFill="1" applyAlignment="1">
      <alignment horizontal="center"/>
    </xf>
    <xf numFmtId="164" fontId="7" fillId="3" borderId="0" xfId="2" applyNumberFormat="1" applyFont="1" applyFill="1" applyBorder="1"/>
    <xf numFmtId="0" fontId="7" fillId="0" borderId="0" xfId="0" applyFont="1" applyBorder="1" applyAlignment="1">
      <alignment horizontal="center"/>
    </xf>
    <xf numFmtId="0" fontId="7" fillId="3" borderId="0" xfId="0" applyFont="1" applyFill="1" applyBorder="1"/>
    <xf numFmtId="164" fontId="7" fillId="2" borderId="0" xfId="5" applyNumberFormat="1" applyFill="1" applyBorder="1"/>
    <xf numFmtId="0" fontId="7" fillId="0" borderId="0" xfId="5" applyNumberFormat="1" applyFill="1" applyBorder="1" applyAlignment="1">
      <alignment horizontal="center"/>
    </xf>
    <xf numFmtId="168" fontId="4" fillId="0" borderId="0" xfId="0" applyNumberFormat="1" applyFont="1" applyFill="1" applyBorder="1" applyAlignment="1">
      <alignment vertical="top" wrapText="1"/>
    </xf>
    <xf numFmtId="0" fontId="7" fillId="0" borderId="0" xfId="0" applyFont="1" applyFill="1" applyBorder="1"/>
    <xf numFmtId="168" fontId="7" fillId="4" borderId="2" xfId="5" applyNumberFormat="1" applyFont="1" applyFill="1" applyBorder="1"/>
    <xf numFmtId="0" fontId="7" fillId="0" borderId="0" xfId="5" applyNumberFormat="1" applyFont="1" applyFill="1"/>
    <xf numFmtId="0" fontId="7" fillId="4" borderId="2" xfId="5" applyNumberFormat="1" applyFont="1" applyFill="1" applyBorder="1"/>
    <xf numFmtId="1" fontId="7" fillId="4" borderId="2" xfId="5" applyNumberFormat="1" applyFont="1" applyFill="1" applyBorder="1"/>
    <xf numFmtId="9" fontId="7" fillId="4" borderId="2" xfId="5" applyNumberFormat="1" applyFont="1" applyFill="1" applyBorder="1"/>
    <xf numFmtId="165" fontId="7" fillId="5" borderId="1" xfId="5" applyNumberFormat="1" applyFont="1" applyFill="1" applyBorder="1"/>
    <xf numFmtId="165" fontId="7" fillId="6" borderId="1" xfId="5" applyNumberFormat="1" applyFont="1" applyFill="1" applyBorder="1"/>
    <xf numFmtId="165" fontId="7" fillId="2" borderId="1" xfId="5" applyNumberFormat="1" applyFont="1" applyFill="1" applyBorder="1"/>
    <xf numFmtId="165" fontId="7" fillId="5" borderId="0" xfId="5" applyNumberFormat="1" applyFont="1" applyFill="1"/>
    <xf numFmtId="165" fontId="7" fillId="6" borderId="0" xfId="5" applyNumberFormat="1" applyFont="1" applyFill="1"/>
    <xf numFmtId="165" fontId="7" fillId="2" borderId="0" xfId="5" applyNumberFormat="1" applyFont="1" applyFill="1"/>
    <xf numFmtId="9" fontId="7" fillId="2" borderId="1" xfId="5" applyNumberFormat="1" applyFont="1" applyFill="1" applyBorder="1"/>
    <xf numFmtId="164" fontId="7" fillId="5" borderId="4" xfId="5" applyNumberFormat="1" applyFont="1" applyFill="1" applyBorder="1"/>
    <xf numFmtId="164" fontId="7" fillId="6" borderId="4" xfId="5" applyNumberFormat="1" applyFont="1" applyFill="1" applyBorder="1"/>
    <xf numFmtId="164" fontId="7" fillId="2" borderId="4" xfId="5" applyNumberFormat="1" applyFont="1" applyFill="1" applyBorder="1"/>
    <xf numFmtId="165" fontId="7" fillId="5" borderId="4" xfId="5" applyNumberFormat="1" applyFont="1" applyFill="1" applyBorder="1"/>
    <xf numFmtId="165" fontId="7" fillId="6" borderId="4" xfId="5" applyNumberFormat="1" applyFont="1" applyFill="1" applyBorder="1"/>
    <xf numFmtId="165" fontId="7" fillId="2" borderId="4" xfId="5" applyNumberFormat="1" applyFont="1" applyFill="1" applyBorder="1"/>
    <xf numFmtId="165" fontId="7" fillId="5" borderId="5" xfId="5" applyNumberFormat="1" applyFont="1" applyFill="1" applyBorder="1"/>
    <xf numFmtId="165" fontId="7" fillId="6" borderId="5" xfId="5" applyNumberFormat="1" applyFont="1" applyFill="1" applyBorder="1"/>
    <xf numFmtId="165" fontId="7" fillId="2" borderId="5" xfId="5" applyNumberFormat="1" applyFont="1" applyFill="1" applyBorder="1"/>
    <xf numFmtId="164" fontId="7" fillId="5" borderId="3" xfId="5" applyNumberFormat="1" applyFont="1" applyFill="1" applyBorder="1"/>
    <xf numFmtId="164" fontId="7" fillId="6" borderId="3" xfId="5" applyNumberFormat="1" applyFont="1" applyFill="1" applyBorder="1"/>
    <xf numFmtId="164" fontId="7" fillId="2" borderId="3" xfId="5" applyNumberFormat="1" applyFont="1" applyFill="1" applyBorder="1"/>
    <xf numFmtId="164" fontId="7" fillId="2" borderId="8" xfId="5" applyNumberFormat="1" applyFont="1" applyFill="1" applyBorder="1"/>
    <xf numFmtId="164" fontId="7" fillId="5" borderId="0" xfId="5" applyNumberFormat="1" applyFont="1" applyFill="1" applyBorder="1"/>
    <xf numFmtId="164" fontId="7" fillId="6" borderId="0" xfId="5" applyNumberFormat="1" applyFont="1" applyFill="1" applyBorder="1"/>
    <xf numFmtId="37" fontId="7" fillId="2" borderId="0" xfId="2" applyNumberFormat="1" applyFont="1" applyFill="1" applyBorder="1"/>
    <xf numFmtId="0" fontId="11" fillId="0" borderId="0" xfId="0" applyFont="1" applyAlignment="1">
      <alignment horizontal="center" vertical="top"/>
    </xf>
    <xf numFmtId="0" fontId="8" fillId="6" borderId="0" xfId="0" applyFont="1" applyFill="1" applyAlignment="1">
      <alignment horizontal="center"/>
    </xf>
    <xf numFmtId="0" fontId="9" fillId="0" borderId="0" xfId="0" applyFont="1" applyBorder="1"/>
    <xf numFmtId="165" fontId="9" fillId="0" borderId="0" xfId="5" applyNumberFormat="1" applyFont="1" applyFill="1" applyBorder="1"/>
    <xf numFmtId="165" fontId="7" fillId="0" borderId="0" xfId="5" applyNumberFormat="1" applyFont="1" applyFill="1" applyBorder="1"/>
    <xf numFmtId="165" fontId="7" fillId="2" borderId="6" xfId="5" applyNumberFormat="1" applyFont="1" applyFill="1" applyBorder="1"/>
    <xf numFmtId="0" fontId="7" fillId="0" borderId="6" xfId="0" applyFont="1" applyBorder="1"/>
    <xf numFmtId="165" fontId="7" fillId="5" borderId="6" xfId="5" applyNumberFormat="1" applyFont="1" applyFill="1" applyBorder="1"/>
    <xf numFmtId="0" fontId="0" fillId="0" borderId="0" xfId="0" applyBorder="1"/>
    <xf numFmtId="165" fontId="9" fillId="5" borderId="6" xfId="5" applyNumberFormat="1" applyFont="1" applyFill="1" applyBorder="1"/>
    <xf numFmtId="165" fontId="9" fillId="6" borderId="6" xfId="5" applyNumberFormat="1" applyFont="1" applyFill="1" applyBorder="1"/>
    <xf numFmtId="9" fontId="0" fillId="6" borderId="1" xfId="4" applyFont="1" applyFill="1" applyBorder="1" applyAlignment="1">
      <alignment horizontal="center"/>
    </xf>
    <xf numFmtId="0" fontId="8" fillId="0" borderId="0" xfId="0" applyFont="1" applyFill="1" applyAlignment="1">
      <alignment horizontal="center"/>
    </xf>
    <xf numFmtId="0" fontId="8" fillId="5" borderId="1" xfId="0" applyFont="1" applyFill="1" applyBorder="1" applyAlignment="1">
      <alignment horizontal="center"/>
    </xf>
    <xf numFmtId="0" fontId="7" fillId="6" borderId="1" xfId="0" applyFont="1" applyFill="1" applyBorder="1" applyAlignment="1">
      <alignment horizontal="center"/>
    </xf>
    <xf numFmtId="0" fontId="8" fillId="2" borderId="1" xfId="0" applyFont="1" applyFill="1" applyBorder="1" applyAlignment="1">
      <alignment horizontal="center"/>
    </xf>
    <xf numFmtId="164" fontId="4" fillId="2" borderId="5" xfId="0" applyNumberFormat="1" applyFont="1" applyFill="1" applyBorder="1"/>
    <xf numFmtId="164" fontId="4" fillId="2" borderId="5" xfId="2" applyNumberFormat="1" applyFont="1" applyFill="1" applyBorder="1"/>
    <xf numFmtId="0" fontId="11" fillId="0" borderId="5" xfId="0" applyFont="1" applyFill="1" applyBorder="1"/>
    <xf numFmtId="169" fontId="6" fillId="3" borderId="0" xfId="0" applyNumberFormat="1" applyFont="1" applyFill="1"/>
    <xf numFmtId="0" fontId="0" fillId="0" borderId="0" xfId="0" applyAlignment="1" applyProtection="1">
      <alignment wrapText="1"/>
      <protection locked="0"/>
    </xf>
    <xf numFmtId="0" fontId="0" fillId="0" borderId="0" xfId="0" applyProtection="1">
      <protection locked="0"/>
    </xf>
    <xf numFmtId="0" fontId="0" fillId="0" borderId="0" xfId="0" applyAlignment="1" applyProtection="1">
      <alignment wrapText="1"/>
    </xf>
    <xf numFmtId="0" fontId="3" fillId="0" borderId="0" xfId="3" applyAlignment="1" applyProtection="1">
      <alignment wrapText="1"/>
    </xf>
    <xf numFmtId="0" fontId="3" fillId="0" borderId="0" xfId="3" applyAlignment="1" applyProtection="1"/>
    <xf numFmtId="0" fontId="11" fillId="0" borderId="0" xfId="0" applyFont="1" applyFill="1" applyAlignment="1">
      <alignment horizontal="center" vertical="top"/>
    </xf>
    <xf numFmtId="0" fontId="13" fillId="0" borderId="0" xfId="0" applyFont="1"/>
    <xf numFmtId="0" fontId="14" fillId="0" borderId="0" xfId="0" applyFont="1"/>
    <xf numFmtId="0" fontId="4" fillId="7" borderId="0" xfId="0" applyFont="1" applyFill="1" applyAlignment="1">
      <alignment horizontal="left" vertical="top"/>
    </xf>
    <xf numFmtId="0" fontId="13" fillId="7" borderId="0" xfId="0" applyFont="1" applyFill="1"/>
    <xf numFmtId="0" fontId="1" fillId="0" borderId="0" xfId="0" applyFont="1"/>
    <xf numFmtId="49" fontId="1" fillId="0" borderId="0" xfId="0" applyNumberFormat="1" applyFont="1" applyAlignment="1">
      <alignment horizontal="center"/>
    </xf>
    <xf numFmtId="49" fontId="13" fillId="0" borderId="0" xfId="0" applyNumberFormat="1" applyFont="1" applyAlignment="1">
      <alignment horizontal="center"/>
    </xf>
    <xf numFmtId="0" fontId="13" fillId="0" borderId="0" xfId="0" applyFont="1" applyAlignment="1">
      <alignment horizontal="center"/>
    </xf>
    <xf numFmtId="170" fontId="0" fillId="0" borderId="0" xfId="0" applyNumberFormat="1" applyAlignment="1">
      <alignment horizontal="center"/>
    </xf>
    <xf numFmtId="0" fontId="0" fillId="0" borderId="0" xfId="0" applyAlignment="1">
      <alignment horizontal="center"/>
    </xf>
    <xf numFmtId="49" fontId="0" fillId="0" borderId="0" xfId="0" applyNumberFormat="1" applyAlignment="1">
      <alignment horizontal="center"/>
    </xf>
    <xf numFmtId="0" fontId="6" fillId="0" borderId="0" xfId="0" applyFont="1" applyAlignment="1">
      <alignment horizontal="center"/>
    </xf>
    <xf numFmtId="0" fontId="4" fillId="0" borderId="0" xfId="0" applyFont="1" applyAlignment="1">
      <alignment wrapText="1"/>
    </xf>
  </cellXfs>
  <cellStyles count="6">
    <cellStyle name="Comma" xfId="1" builtinId="3"/>
    <cellStyle name="Currency" xfId="2" builtinId="4"/>
    <cellStyle name="Hyperlink" xfId="3" builtinId="8"/>
    <cellStyle name="Normal" xfId="0" builtinId="0"/>
    <cellStyle name="Percent" xfId="4" builtinId="5"/>
    <cellStyle name="Protected" xfId="5"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ourceforge.org/ta-roi/Whats-My-Testing-ROI.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
  <sheetViews>
    <sheetView workbookViewId="0"/>
  </sheetViews>
  <sheetFormatPr defaultRowHeight="12.75" x14ac:dyDescent="0.2"/>
  <cols>
    <col min="1" max="1" width="7" customWidth="1"/>
    <col min="2" max="2" width="29.42578125" customWidth="1"/>
    <col min="3" max="3" width="43.42578125" customWidth="1"/>
  </cols>
  <sheetData>
    <row r="1" spans="1:5" x14ac:dyDescent="0.2">
      <c r="A1" s="193" t="s">
        <v>237</v>
      </c>
    </row>
    <row r="2" spans="1:5" s="188" customFormat="1" x14ac:dyDescent="0.2">
      <c r="B2" s="194" t="s">
        <v>230</v>
      </c>
    </row>
    <row r="3" spans="1:5" s="188" customFormat="1" x14ac:dyDescent="0.2">
      <c r="B3" s="189"/>
    </row>
    <row r="4" spans="1:5" s="188" customFormat="1" x14ac:dyDescent="0.2">
      <c r="B4" s="194" t="s">
        <v>231</v>
      </c>
    </row>
    <row r="5" spans="1:5" s="188" customFormat="1" x14ac:dyDescent="0.2">
      <c r="B5" s="191" t="s">
        <v>254</v>
      </c>
      <c r="C5" s="194"/>
    </row>
    <row r="6" spans="1:5" s="188" customFormat="1" x14ac:dyDescent="0.2">
      <c r="B6" s="190"/>
    </row>
    <row r="7" spans="1:5" x14ac:dyDescent="0.2">
      <c r="B7" s="194" t="s">
        <v>240</v>
      </c>
    </row>
    <row r="8" spans="1:5" x14ac:dyDescent="0.2">
      <c r="B8" s="194" t="s">
        <v>241</v>
      </c>
    </row>
    <row r="10" spans="1:5" s="19" customFormat="1" x14ac:dyDescent="0.2">
      <c r="A10" s="192"/>
      <c r="B10" s="196" t="s">
        <v>238</v>
      </c>
      <c r="C10" s="195"/>
      <c r="E10" s="15"/>
    </row>
    <row r="11" spans="1:5" s="19" customFormat="1" x14ac:dyDescent="0.2">
      <c r="A11" s="167"/>
      <c r="B11" s="194" t="s">
        <v>49</v>
      </c>
      <c r="E11" s="15"/>
    </row>
    <row r="12" spans="1:5" s="19" customFormat="1" x14ac:dyDescent="0.2">
      <c r="A12" s="167"/>
      <c r="E12" s="15"/>
    </row>
    <row r="13" spans="1:5" x14ac:dyDescent="0.2">
      <c r="A13" s="193" t="s">
        <v>235</v>
      </c>
    </row>
    <row r="14" spans="1:5" x14ac:dyDescent="0.2">
      <c r="B14" s="194" t="s">
        <v>255</v>
      </c>
    </row>
    <row r="15" spans="1:5" x14ac:dyDescent="0.2">
      <c r="B15" s="194"/>
    </row>
    <row r="16" spans="1:5" x14ac:dyDescent="0.2">
      <c r="A16" s="193" t="s">
        <v>236</v>
      </c>
    </row>
    <row r="17" spans="1:3" x14ac:dyDescent="0.2">
      <c r="B17" t="s">
        <v>58</v>
      </c>
      <c r="C17" s="194" t="s">
        <v>244</v>
      </c>
    </row>
    <row r="18" spans="1:3" x14ac:dyDescent="0.2">
      <c r="B18" t="s">
        <v>162</v>
      </c>
      <c r="C18" s="194" t="s">
        <v>243</v>
      </c>
    </row>
    <row r="19" spans="1:3" x14ac:dyDescent="0.2">
      <c r="B19" t="s">
        <v>223</v>
      </c>
      <c r="C19" s="194" t="s">
        <v>245</v>
      </c>
    </row>
    <row r="20" spans="1:3" x14ac:dyDescent="0.2">
      <c r="C20" s="194"/>
    </row>
    <row r="21" spans="1:3" x14ac:dyDescent="0.2">
      <c r="A21" s="193" t="s">
        <v>242</v>
      </c>
    </row>
    <row r="22" spans="1:3" x14ac:dyDescent="0.2">
      <c r="B22" t="s">
        <v>135</v>
      </c>
      <c r="C22" s="194" t="s">
        <v>247</v>
      </c>
    </row>
    <row r="23" spans="1:3" x14ac:dyDescent="0.2">
      <c r="B23" t="s">
        <v>136</v>
      </c>
      <c r="C23" s="194" t="s">
        <v>248</v>
      </c>
    </row>
    <row r="24" spans="1:3" x14ac:dyDescent="0.2">
      <c r="B24" t="s">
        <v>143</v>
      </c>
      <c r="C24" s="194" t="s">
        <v>249</v>
      </c>
    </row>
    <row r="25" spans="1:3" x14ac:dyDescent="0.2">
      <c r="B25" t="s">
        <v>12</v>
      </c>
      <c r="C25" s="194" t="s">
        <v>250</v>
      </c>
    </row>
    <row r="26" spans="1:3" x14ac:dyDescent="0.2">
      <c r="B26" t="s">
        <v>2</v>
      </c>
      <c r="C26" s="194" t="s">
        <v>251</v>
      </c>
    </row>
    <row r="27" spans="1:3" x14ac:dyDescent="0.2">
      <c r="B27" t="s">
        <v>3</v>
      </c>
      <c r="C27" s="194" t="s">
        <v>252</v>
      </c>
    </row>
    <row r="28" spans="1:3" x14ac:dyDescent="0.2">
      <c r="B28" t="s">
        <v>140</v>
      </c>
      <c r="C28" s="194" t="s">
        <v>253</v>
      </c>
    </row>
    <row r="30" spans="1:3" x14ac:dyDescent="0.2">
      <c r="A30" s="193"/>
    </row>
    <row r="48" spans="1:1" x14ac:dyDescent="0.2">
      <c r="A48" s="194"/>
    </row>
  </sheetData>
  <sheetProtection sheet="1" objects="1" scenarios="1"/>
  <hyperlinks>
    <hyperlink ref="B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A15" sqref="A15"/>
    </sheetView>
  </sheetViews>
  <sheetFormatPr defaultRowHeight="12.75" x14ac:dyDescent="0.2"/>
  <cols>
    <col min="1" max="1" width="9.140625" style="203"/>
    <col min="2" max="2" width="14.7109375" style="202" customWidth="1"/>
    <col min="3" max="3" width="59.28515625" customWidth="1"/>
  </cols>
  <sheetData>
    <row r="1" spans="1:3" x14ac:dyDescent="0.2">
      <c r="A1" s="199" t="s">
        <v>256</v>
      </c>
      <c r="B1" s="200" t="s">
        <v>257</v>
      </c>
      <c r="C1" s="200" t="s">
        <v>258</v>
      </c>
    </row>
    <row r="2" spans="1:3" x14ac:dyDescent="0.2">
      <c r="A2" s="203">
        <v>0.8</v>
      </c>
      <c r="B2" s="201">
        <v>38599</v>
      </c>
      <c r="C2" s="197" t="s">
        <v>259</v>
      </c>
    </row>
    <row r="3" spans="1:3" x14ac:dyDescent="0.2">
      <c r="A3" s="198" t="s">
        <v>260</v>
      </c>
      <c r="B3" s="201">
        <v>39967</v>
      </c>
      <c r="C3" s="197" t="s">
        <v>262</v>
      </c>
    </row>
    <row r="4" spans="1:3" x14ac:dyDescent="0.2">
      <c r="A4" s="198" t="s">
        <v>261</v>
      </c>
      <c r="B4" s="201">
        <v>40645</v>
      </c>
      <c r="C4" s="197"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1"/>
    <pageSetUpPr fitToPage="1"/>
  </sheetPr>
  <dimension ref="A1:J35"/>
  <sheetViews>
    <sheetView tabSelected="1" zoomScaleNormal="100" workbookViewId="0">
      <selection activeCell="F14" sqref="F14"/>
    </sheetView>
  </sheetViews>
  <sheetFormatPr defaultRowHeight="12.75" x14ac:dyDescent="0.2"/>
  <cols>
    <col min="1" max="1" width="2.28515625" style="1" customWidth="1"/>
    <col min="2" max="2" width="24.5703125" style="15" customWidth="1"/>
    <col min="3" max="3" width="11.7109375" style="16" customWidth="1"/>
    <col min="4" max="4" width="10" style="17" customWidth="1"/>
    <col min="5" max="5" width="40.42578125" style="15" customWidth="1"/>
    <col min="6" max="6" width="138.140625" style="1" customWidth="1"/>
    <col min="7" max="16384" width="9.140625" style="1"/>
  </cols>
  <sheetData>
    <row r="1" spans="1:10" s="94" customFormat="1" x14ac:dyDescent="0.2">
      <c r="A1" s="92" t="s">
        <v>22</v>
      </c>
      <c r="B1" s="93"/>
      <c r="C1" s="22" t="s">
        <v>23</v>
      </c>
      <c r="D1" s="22" t="s">
        <v>24</v>
      </c>
      <c r="E1" s="22" t="s">
        <v>25</v>
      </c>
    </row>
    <row r="2" spans="1:10" s="24" customFormat="1" x14ac:dyDescent="0.2">
      <c r="A2" s="20"/>
      <c r="B2" s="21"/>
      <c r="C2" s="22"/>
      <c r="D2" s="22"/>
      <c r="E2" s="23"/>
    </row>
    <row r="3" spans="1:10" ht="13.5" customHeight="1" x14ac:dyDescent="0.2">
      <c r="A3" s="2" t="s">
        <v>18</v>
      </c>
    </row>
    <row r="4" spans="1:10" ht="15" customHeight="1" x14ac:dyDescent="0.2">
      <c r="B4" s="15" t="s">
        <v>19</v>
      </c>
      <c r="C4" s="31">
        <v>84</v>
      </c>
      <c r="D4" s="17" t="s">
        <v>31</v>
      </c>
      <c r="E4" s="15" t="s">
        <v>215</v>
      </c>
      <c r="F4" s="1" t="s">
        <v>264</v>
      </c>
      <c r="J4" s="2"/>
    </row>
    <row r="5" spans="1:10" ht="25.5" x14ac:dyDescent="0.2">
      <c r="B5" s="15" t="s">
        <v>20</v>
      </c>
      <c r="C5" s="32">
        <v>26.1</v>
      </c>
      <c r="D5" s="17" t="s">
        <v>28</v>
      </c>
      <c r="E5" s="15" t="s">
        <v>21</v>
      </c>
      <c r="F5" s="205" t="s">
        <v>265</v>
      </c>
      <c r="J5" s="2"/>
    </row>
    <row r="6" spans="1:10" ht="15" customHeight="1" x14ac:dyDescent="0.2">
      <c r="B6" s="15" t="s">
        <v>29</v>
      </c>
      <c r="C6" s="31">
        <v>450</v>
      </c>
      <c r="D6" s="17" t="s">
        <v>33</v>
      </c>
      <c r="E6" s="15" t="s">
        <v>191</v>
      </c>
      <c r="F6" s="1" t="s">
        <v>266</v>
      </c>
      <c r="J6" s="2"/>
    </row>
    <row r="7" spans="1:10" ht="25.5" x14ac:dyDescent="0.2">
      <c r="B7" s="3" t="s">
        <v>38</v>
      </c>
      <c r="C7" s="111">
        <v>20</v>
      </c>
      <c r="D7" s="18" t="s">
        <v>50</v>
      </c>
      <c r="E7" s="15" t="s">
        <v>173</v>
      </c>
      <c r="F7" s="205" t="s">
        <v>267</v>
      </c>
      <c r="J7" s="2"/>
    </row>
    <row r="8" spans="1:10" ht="15" customHeight="1" x14ac:dyDescent="0.2">
      <c r="B8" s="15" t="s">
        <v>184</v>
      </c>
      <c r="C8" s="38">
        <v>1</v>
      </c>
      <c r="D8" s="17" t="s">
        <v>47</v>
      </c>
      <c r="E8" s="15" t="s">
        <v>184</v>
      </c>
      <c r="F8" s="1" t="s">
        <v>288</v>
      </c>
    </row>
    <row r="9" spans="1:10" ht="15" customHeight="1" x14ac:dyDescent="0.2">
      <c r="B9" s="15" t="s">
        <v>185</v>
      </c>
      <c r="C9" s="31">
        <v>21</v>
      </c>
      <c r="D9" s="17" t="s">
        <v>30</v>
      </c>
      <c r="E9" s="15" t="s">
        <v>189</v>
      </c>
      <c r="F9" s="1" t="s">
        <v>268</v>
      </c>
    </row>
    <row r="10" spans="1:10" ht="15" customHeight="1" x14ac:dyDescent="0.2">
      <c r="B10" s="15" t="s">
        <v>71</v>
      </c>
      <c r="C10" s="33">
        <v>1</v>
      </c>
      <c r="D10" s="17" t="s">
        <v>159</v>
      </c>
      <c r="E10" s="15" t="s">
        <v>95</v>
      </c>
      <c r="F10" s="1" t="s">
        <v>269</v>
      </c>
    </row>
    <row r="11" spans="1:10" ht="15" customHeight="1" x14ac:dyDescent="0.2">
      <c r="B11" s="15" t="s">
        <v>157</v>
      </c>
      <c r="C11" s="33">
        <v>0.33</v>
      </c>
      <c r="D11" s="17" t="s">
        <v>159</v>
      </c>
      <c r="E11" s="15" t="s">
        <v>96</v>
      </c>
      <c r="F11" s="1" t="s">
        <v>270</v>
      </c>
    </row>
    <row r="12" spans="1:10" ht="15" customHeight="1" x14ac:dyDescent="0.2">
      <c r="B12" s="15" t="s">
        <v>68</v>
      </c>
      <c r="C12" s="33">
        <v>0.15</v>
      </c>
      <c r="D12" s="17" t="s">
        <v>26</v>
      </c>
      <c r="E12" s="15" t="s">
        <v>69</v>
      </c>
      <c r="F12" s="1" t="s">
        <v>271</v>
      </c>
    </row>
    <row r="14" spans="1:10" x14ac:dyDescent="0.2">
      <c r="A14" s="2" t="s">
        <v>199</v>
      </c>
      <c r="F14" s="1" t="s">
        <v>272</v>
      </c>
    </row>
    <row r="15" spans="1:10" ht="15" customHeight="1" x14ac:dyDescent="0.2">
      <c r="B15" s="15" t="s">
        <v>180</v>
      </c>
      <c r="C15" s="31">
        <v>12</v>
      </c>
      <c r="D15" s="17" t="s">
        <v>34</v>
      </c>
      <c r="E15" s="15" t="s">
        <v>214</v>
      </c>
      <c r="F15" s="1" t="s">
        <v>273</v>
      </c>
    </row>
    <row r="16" spans="1:10" ht="15" customHeight="1" x14ac:dyDescent="0.2">
      <c r="B16" s="3" t="s">
        <v>177</v>
      </c>
      <c r="C16" s="38">
        <v>4</v>
      </c>
      <c r="D16" s="18" t="s">
        <v>34</v>
      </c>
      <c r="E16" s="15" t="s">
        <v>216</v>
      </c>
      <c r="F16" s="1" t="s">
        <v>281</v>
      </c>
    </row>
    <row r="17" spans="1:6" ht="15" customHeight="1" x14ac:dyDescent="0.2">
      <c r="B17" s="15" t="s">
        <v>181</v>
      </c>
      <c r="C17" s="31">
        <v>7.9</v>
      </c>
      <c r="D17" s="17" t="s">
        <v>34</v>
      </c>
      <c r="E17" s="15" t="s">
        <v>92</v>
      </c>
      <c r="F17" s="1" t="s">
        <v>279</v>
      </c>
    </row>
    <row r="18" spans="1:6" ht="15" customHeight="1" x14ac:dyDescent="0.2">
      <c r="B18" s="15" t="s">
        <v>182</v>
      </c>
      <c r="C18" s="31">
        <v>0.2</v>
      </c>
      <c r="D18" s="17" t="s">
        <v>34</v>
      </c>
      <c r="E18" s="15" t="s">
        <v>93</v>
      </c>
      <c r="F18" s="1" t="s">
        <v>279</v>
      </c>
    </row>
    <row r="19" spans="1:6" ht="15" customHeight="1" x14ac:dyDescent="0.2">
      <c r="B19" s="15" t="s">
        <v>183</v>
      </c>
      <c r="C19" s="31">
        <v>10</v>
      </c>
      <c r="D19" s="17" t="s">
        <v>34</v>
      </c>
      <c r="E19" s="15" t="s">
        <v>132</v>
      </c>
      <c r="F19" s="1" t="s">
        <v>280</v>
      </c>
    </row>
    <row r="20" spans="1:6" ht="15" customHeight="1" x14ac:dyDescent="0.2">
      <c r="B20" s="15" t="s">
        <v>178</v>
      </c>
      <c r="C20" s="38">
        <v>2</v>
      </c>
      <c r="D20" s="17" t="s">
        <v>34</v>
      </c>
      <c r="E20" s="15" t="s">
        <v>156</v>
      </c>
      <c r="F20" s="1" t="s">
        <v>279</v>
      </c>
    </row>
    <row r="21" spans="1:6" ht="15" customHeight="1" x14ac:dyDescent="0.2">
      <c r="B21" s="15" t="s">
        <v>179</v>
      </c>
      <c r="C21" s="38">
        <f>+C17/2</f>
        <v>3.95</v>
      </c>
      <c r="D21" s="17" t="s">
        <v>34</v>
      </c>
      <c r="E21" s="15" t="s">
        <v>94</v>
      </c>
      <c r="F21" s="1" t="s">
        <v>279</v>
      </c>
    </row>
    <row r="22" spans="1:6" x14ac:dyDescent="0.2">
      <c r="C22" s="137"/>
    </row>
    <row r="23" spans="1:6" x14ac:dyDescent="0.2">
      <c r="A23" s="2" t="s">
        <v>27</v>
      </c>
    </row>
    <row r="24" spans="1:6" ht="15" customHeight="1" x14ac:dyDescent="0.2">
      <c r="B24" s="15" t="s">
        <v>176</v>
      </c>
      <c r="C24" s="31">
        <v>5</v>
      </c>
      <c r="D24" s="17" t="s">
        <v>51</v>
      </c>
      <c r="E24" s="15" t="s">
        <v>128</v>
      </c>
      <c r="F24" s="1" t="s">
        <v>282</v>
      </c>
    </row>
    <row r="25" spans="1:6" ht="15" customHeight="1" x14ac:dyDescent="0.2">
      <c r="B25" s="15" t="s">
        <v>175</v>
      </c>
      <c r="C25" s="33">
        <v>7.0000000000000007E-2</v>
      </c>
      <c r="D25" s="17" t="s">
        <v>26</v>
      </c>
      <c r="E25" s="15" t="s">
        <v>224</v>
      </c>
      <c r="F25" s="1" t="s">
        <v>279</v>
      </c>
    </row>
    <row r="26" spans="1:6" ht="15" customHeight="1" x14ac:dyDescent="0.2">
      <c r="B26" s="15" t="s">
        <v>123</v>
      </c>
      <c r="C26" s="31">
        <v>0</v>
      </c>
      <c r="D26" s="17" t="s">
        <v>34</v>
      </c>
      <c r="E26" s="15" t="s">
        <v>124</v>
      </c>
      <c r="F26" s="1" t="s">
        <v>283</v>
      </c>
    </row>
    <row r="27" spans="1:6" s="16" customFormat="1" ht="15" customHeight="1" x14ac:dyDescent="0.2">
      <c r="B27" s="15" t="s">
        <v>174</v>
      </c>
      <c r="C27" s="35">
        <v>0</v>
      </c>
      <c r="D27" s="17" t="s">
        <v>52</v>
      </c>
      <c r="E27" s="15" t="s">
        <v>217</v>
      </c>
      <c r="F27" s="16" t="s">
        <v>284</v>
      </c>
    </row>
    <row r="28" spans="1:6" s="16" customFormat="1" ht="15" customHeight="1" x14ac:dyDescent="0.2">
      <c r="B28" s="15" t="s">
        <v>211</v>
      </c>
      <c r="C28" s="34">
        <v>5</v>
      </c>
      <c r="D28" s="17" t="s">
        <v>212</v>
      </c>
      <c r="E28" s="15" t="s">
        <v>125</v>
      </c>
      <c r="F28" s="16" t="s">
        <v>274</v>
      </c>
    </row>
    <row r="29" spans="1:6" ht="15" customHeight="1" x14ac:dyDescent="0.2">
      <c r="B29" s="15" t="s">
        <v>8</v>
      </c>
      <c r="C29" s="35">
        <v>10000</v>
      </c>
      <c r="D29" s="17" t="s">
        <v>53</v>
      </c>
      <c r="E29" s="15" t="s">
        <v>202</v>
      </c>
      <c r="F29" s="1" t="s">
        <v>275</v>
      </c>
    </row>
    <row r="31" spans="1:6" x14ac:dyDescent="0.2">
      <c r="A31" s="2" t="s">
        <v>32</v>
      </c>
    </row>
    <row r="32" spans="1:6" x14ac:dyDescent="0.2">
      <c r="A32" s="24" t="s">
        <v>186</v>
      </c>
    </row>
    <row r="33" spans="2:6" s="16" customFormat="1" ht="15" customHeight="1" x14ac:dyDescent="0.2">
      <c r="B33" s="15" t="s">
        <v>221</v>
      </c>
      <c r="C33" s="35">
        <v>100000000</v>
      </c>
      <c r="D33" s="17" t="s">
        <v>28</v>
      </c>
      <c r="E33" s="15" t="s">
        <v>187</v>
      </c>
      <c r="F33" s="16" t="s">
        <v>276</v>
      </c>
    </row>
    <row r="34" spans="2:6" ht="15" customHeight="1" x14ac:dyDescent="0.2">
      <c r="B34" s="15" t="s">
        <v>46</v>
      </c>
      <c r="C34" s="36">
        <v>0.3</v>
      </c>
      <c r="D34" s="17" t="s">
        <v>26</v>
      </c>
      <c r="E34" s="15" t="s">
        <v>188</v>
      </c>
      <c r="F34" s="1" t="s">
        <v>277</v>
      </c>
    </row>
    <row r="35" spans="2:6" ht="15" customHeight="1" x14ac:dyDescent="0.2">
      <c r="B35" s="15" t="s">
        <v>246</v>
      </c>
      <c r="C35" s="35">
        <v>50000</v>
      </c>
      <c r="D35" s="17" t="s">
        <v>28</v>
      </c>
      <c r="E35" s="15" t="s">
        <v>190</v>
      </c>
      <c r="F35" s="1" t="s">
        <v>278</v>
      </c>
    </row>
  </sheetData>
  <protectedRanges>
    <protectedRange sqref="C4:C35" name="Parameters"/>
  </protectedRanges>
  <phoneticPr fontId="2" type="noConversion"/>
  <dataValidations xWindow="411" yWindow="127" count="25">
    <dataValidation type="decimal" allowBlank="1" showInputMessage="1" showErrorMessage="1" error="Enter a number between 0.0 and 160.0" prompt="Enter the estimated average number of hours to automate existing test procedures." sqref="C16" xr:uid="{00000000-0002-0000-0100-000000000000}">
      <formula1>0</formula1>
      <formula2>160</formula2>
    </dataValidation>
    <dataValidation type="whole" allowBlank="1" showInputMessage="1" showErrorMessage="1" error="Enter a number between 0 and 100,000,000" prompt="Enter the average daily allocation for all relevant fixed, indirect, and semi-fixed costs charged or accured during a product development cycle. " sqref="C35" xr:uid="{00000000-0002-0000-0100-000001000000}">
      <formula1>0</formula1>
      <formula2>100000000</formula2>
    </dataValidation>
    <dataValidation type="decimal" showInputMessage="1" showErrorMessage="1" error="Enter a number between 0 and 100,000,000" prompt="Enter the estimated total sales (of all companies) in  the market for your product or service. " sqref="C33" xr:uid="{00000000-0002-0000-0100-000002000000}">
      <formula1>0</formula1>
      <formula2>100000000</formula2>
    </dataValidation>
    <dataValidation type="decimal" showInputMessage="1" showErrorMessage="1" error="Enter a percent between 0 and 100%." prompt="Enter the estimated market share if your product, assuming it is released at the earliest possible time." sqref="C34" xr:uid="{00000000-0002-0000-0100-000003000000}">
      <formula1>0</formula1>
      <formula2>1</formula2>
    </dataValidation>
    <dataValidation type="whole" allowBlank="1" showInputMessage="1" showErrorMessage="1" error="Enter a number between 1 and 100" prompt="Enter a number representing the estimated average improvement in finding bugs that automated testing achieves. Basic automated testing is typically between 2 to 10 times more effective than manual testing. Enter &quot;1&quot; to indicate no improvement." sqref="C24" xr:uid="{00000000-0002-0000-0100-000004000000}">
      <formula1>1</formula1>
      <formula2>100</formula2>
    </dataValidation>
    <dataValidation type="decimal" showInputMessage="1" showErrorMessage="1" error="Enter a number between 0 and 8,760." prompt="If your application has an availability (uptime) requirement, enter the number of hours of unscheduled downtime for last year.  If you do not have an availablity requirement, enter zero." sqref="C26" xr:uid="{00000000-0002-0000-0100-000005000000}">
      <formula1>0</formula1>
      <formula2>8760</formula2>
    </dataValidation>
    <dataValidation type="decimal" showInputMessage="1" showErrorMessage="1" prompt="Enter the estimated average cost/loss for each hour of unscheduled downtime. Enter zero if you don't have an availablity requirement." sqref="C27" xr:uid="{00000000-0002-0000-0100-000006000000}">
      <formula1>0</formula1>
      <formula2>1000000</formula2>
    </dataValidation>
    <dataValidation type="decimal" allowBlank="1" showInputMessage="1" showErrorMessage="1" error="Enter a number between 0 and 100,000" prompt="Enter the number of field/production incidents, bug reports, etc. observed in the last year.  " sqref="C28" xr:uid="{00000000-0002-0000-0100-000007000000}">
      <formula1>0</formula1>
      <formula2>100000</formula2>
    </dataValidation>
    <dataValidation type="decimal" showInputMessage="1" showErrorMessage="1" error="Enter a number between 0 and 1,000,000." prompt="Enter the estimated average cost/loss for production/field incident report. This should include all support, debugging, and repair costs for a typical incident." sqref="C29" xr:uid="{00000000-0002-0000-0100-000008000000}">
      <formula1>0</formula1>
      <formula2>1000000</formula2>
    </dataValidation>
    <dataValidation type="decimal" showInputMessage="1" showErrorMessage="1" error="Enter a number between -0% and +100%" prompt="Enter the average chance that a bug fix either causes new bugs or doesn't correct the orginal bug.  The industry average is 7%." sqref="C25" xr:uid="{00000000-0002-0000-0100-000009000000}">
      <formula1>0</formula1>
      <formula2>1</formula2>
    </dataValidation>
    <dataValidation type="decimal" allowBlank="1" showInputMessage="1" showErrorMessage="1" error="Enter a number between 0.0 and 160.0" prompt="Enter the estimated average number of hours to revise a manual test procedure owing to a change in requirements or the SUT." sqref="C20" xr:uid="{00000000-0002-0000-0100-00000A000000}">
      <formula1>0</formula1>
      <formula2>160</formula2>
    </dataValidation>
    <dataValidation type="decimal" allowBlank="1" showInputMessage="1" showErrorMessage="1" error="Enter a number between 0.0 and 160.0" prompt="Enter the estimated average number of hours to revise a test object owing to a change in requirements or the SUT." sqref="C21:C22" xr:uid="{00000000-0002-0000-0100-00000B000000}">
      <formula1>0</formula1>
      <formula2>160</formula2>
    </dataValidation>
    <dataValidation type="decimal" showInputMessage="1" showErrorMessage="1" error="Enter a number between 0.0 and 160.0" prompt="Enter the average number of hours to design a test scenario. The default of 11.6 hours is based on an ESSI study." sqref="C15" xr:uid="{00000000-0002-0000-0100-00000C000000}">
      <formula1>0</formula1>
      <formula2>160</formula2>
    </dataValidation>
    <dataValidation type="decimal" allowBlank="1" showInputMessage="1" showErrorMessage="1" error="Enter a number between 0.0 and 24.0" prompt="Enter the average number of hours to program test objects or scripts for a test scenario. The default of 7.9 hours is based on an ESSI study." sqref="C17" xr:uid="{00000000-0002-0000-0100-00000D000000}">
      <formula1>0</formula1>
      <formula2>24</formula2>
    </dataValidation>
    <dataValidation type="decimal" showInputMessage="1" showErrorMessage="1" error="Enter a number between 0.0 and 24.0" prompt="Enter the average number of hours to execute the test object or script for one test scenario. The default of 0.2 hours is based on an ESSI study." sqref="C18" xr:uid="{00000000-0002-0000-0100-00000E000000}">
      <formula1>0</formula1>
      <formula2>24</formula2>
    </dataValidation>
    <dataValidation type="decimal" showInputMessage="1" showErrorMessage="1" error="Enter a number between 0.0 and 24.0" prompt="Enter the average number of hours to manually enter and observe one test scenario. The default of 3.9 hours is based on an ESSI study." sqref="C19" xr:uid="{00000000-0002-0000-0100-00000F000000}">
      <formula1>0</formula1>
      <formula2>24</formula2>
    </dataValidation>
    <dataValidation type="decimal" showInputMessage="1" showErrorMessage="1" error="Enter a number between -200% and +200%" prompt="Enter the estimated average increase/decrease in the scope of the system under test, for each release.  For example, adding 5 new menu items to a GUI with 20 existing menu items is a 25% scope increase." sqref="C10" xr:uid="{00000000-0002-0000-0100-000010000000}">
      <formula1>-2</formula1>
      <formula2>2</formula2>
    </dataValidation>
    <dataValidation type="decimal" showInputMessage="1" showErrorMessage="1" error="Enter a number between 0% and 100%" prompt="Enter the estimated average percent of test scenarios changing in a release. For example, if about 20 test scenarios out of 100 typically change, enter 20%. " sqref="C11" xr:uid="{00000000-0002-0000-0100-000011000000}">
      <formula1>-2</formula1>
      <formula2>2</formula2>
    </dataValidation>
    <dataValidation type="decimal" showInputMessage="1" showErrorMessage="1" error="Enter a percent between 0% and 100%" prompt="Enter your estimated annual cost of capital, as a percent.  For example, if you obtain all capital at prime rate, your cost of capital is the prime rate.  If you obtain all risk capital (e.g., venture capital), your cost of capital may be about 50%." sqref="C12" xr:uid="{00000000-0002-0000-0100-000012000000}">
      <formula1>0</formula1>
      <formula2>1</formula2>
    </dataValidation>
    <dataValidation type="decimal" showInputMessage="1" showErrorMessage="1" error="Enter a number between 0.1 and 12." prompt="Enter the average number of annual releases. If your release cycle is longer than a year, enter a fraction. For example, if your release cycle is 18 months, enter 0.67 = 12/18." sqref="C8" xr:uid="{00000000-0002-0000-0100-000013000000}">
      <formula1>0.1</formula1>
      <formula2>12</formula2>
    </dataValidation>
    <dataValidation type="whole" allowBlank="1" showInputMessage="1" showErrorMessage="1" error="Enter a number bewteen 1 and 720." prompt="Enter the average number of elpased days your existing manual test process adds to the total product development cycle." sqref="C9" xr:uid="{00000000-0002-0000-0100-000014000000}">
      <formula1>1</formula1>
      <formula2>730</formula2>
    </dataValidation>
    <dataValidation type="whole" allowBlank="1" showInputMessage="1" showErrorMessage="1" error="Enter a number between 1 and 1000" prompt="Enter number of developers and tester needing testing tool; between 1 and 1000" sqref="C4" xr:uid="{00000000-0002-0000-0100-000015000000}">
      <formula1>1</formula1>
      <formula2>1000</formula2>
    </dataValidation>
    <dataValidation type="decimal" showInputMessage="1" showErrorMessage="1" error="Enter a dollar amount between 0.00 and 1,000.00" prompt="Enter a dollar amount between 0.00 and 1,000.00" sqref="C5" xr:uid="{00000000-0002-0000-0100-000016000000}">
      <formula1>0</formula1>
      <formula2>1000</formula2>
    </dataValidation>
    <dataValidation type="whole" showInputMessage="1" showErrorMessage="1" error="enter a number between 0 and 100,000" prompt="Enter the number of manual test procedures to be converted to automatically executed test objects" sqref="C6" xr:uid="{00000000-0002-0000-0100-000017000000}">
      <formula1>0</formula1>
      <formula2>100000</formula2>
    </dataValidation>
    <dataValidation type="whole" showInputMessage="1" showErrorMessage="1" error="Enter a number between 1 and 100" prompt="Enter the number of different platforms or configurations on which the same applications must be tested." sqref="C7" xr:uid="{00000000-0002-0000-0100-000018000000}">
      <formula1>1</formula1>
      <formula2>100</formula2>
    </dataValidation>
  </dataValidations>
  <pageMargins left="0.75" right="0.75" top="1" bottom="1" header="0.5" footer="0.5"/>
  <pageSetup orientation="portrait" r:id="rId1"/>
  <headerFooter alignWithMargins="0">
    <oddHeader>&amp;L&amp;"Arial Black,Regular"&amp;12Test Automation ROI Estimate&amp;R&amp;"Arial Black,Regular"&amp;12&amp;A</oddHeader>
    <oddFooter>&amp;LPrepared &amp;D&amp;RPage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6"/>
  <sheetViews>
    <sheetView topLeftCell="A7" workbookViewId="0">
      <selection activeCell="K12" sqref="K12"/>
    </sheetView>
  </sheetViews>
  <sheetFormatPr defaultRowHeight="16.5" x14ac:dyDescent="0.3"/>
  <cols>
    <col min="1" max="1" width="2.5703125" style="7" customWidth="1"/>
    <col min="2" max="2" width="1.85546875" style="7" customWidth="1"/>
    <col min="3" max="3" width="24.85546875" style="7" customWidth="1"/>
    <col min="4" max="4" width="4.85546875" style="7" customWidth="1"/>
    <col min="5" max="5" width="11.140625" style="7" customWidth="1"/>
    <col min="6" max="6" width="10.5703125" style="7" customWidth="1"/>
    <col min="7" max="7" width="11.28515625" style="7" customWidth="1"/>
    <col min="8" max="8" width="12.5703125" style="7" customWidth="1"/>
    <col min="9" max="9" width="11.140625" style="7" customWidth="1"/>
    <col min="10" max="10" width="9.140625" style="7"/>
    <col min="11" max="11" width="98.7109375" style="7" customWidth="1"/>
    <col min="12" max="15" width="9.140625" style="7" hidden="1" customWidth="1"/>
    <col min="16" max="16384" width="9.140625" style="7"/>
  </cols>
  <sheetData>
    <row r="1" spans="1:11" x14ac:dyDescent="0.3">
      <c r="A1" s="8" t="s">
        <v>18</v>
      </c>
    </row>
    <row r="2" spans="1:11" x14ac:dyDescent="0.3">
      <c r="C2" s="7" t="s">
        <v>63</v>
      </c>
      <c r="F2" s="45">
        <f>nTesters</f>
        <v>84</v>
      </c>
    </row>
    <row r="3" spans="1:11" x14ac:dyDescent="0.3">
      <c r="F3" s="82"/>
    </row>
    <row r="5" spans="1:11" x14ac:dyDescent="0.3">
      <c r="A5" s="8" t="s">
        <v>59</v>
      </c>
    </row>
    <row r="6" spans="1:11" x14ac:dyDescent="0.3">
      <c r="A6" s="8"/>
      <c r="B6" s="13" t="s">
        <v>142</v>
      </c>
    </row>
    <row r="7" spans="1:11" s="1" customFormat="1" x14ac:dyDescent="0.3">
      <c r="B7" s="8" t="s">
        <v>48</v>
      </c>
      <c r="C7" s="10"/>
      <c r="D7" s="6"/>
      <c r="E7" s="10"/>
      <c r="F7" s="7"/>
      <c r="G7" s="7"/>
    </row>
    <row r="8" spans="1:11" s="19" customFormat="1" x14ac:dyDescent="0.2">
      <c r="B8" s="109">
        <v>1</v>
      </c>
      <c r="C8" s="110" t="s">
        <v>158</v>
      </c>
      <c r="D8" s="110"/>
      <c r="E8" s="10"/>
      <c r="F8" s="110"/>
      <c r="G8" s="110"/>
    </row>
    <row r="9" spans="1:11" s="19" customFormat="1" x14ac:dyDescent="0.2">
      <c r="B9" s="11">
        <v>2</v>
      </c>
      <c r="C9" s="110" t="s">
        <v>49</v>
      </c>
      <c r="D9" s="110"/>
      <c r="E9" s="10"/>
      <c r="F9" s="110"/>
      <c r="G9" s="110"/>
    </row>
    <row r="10" spans="1:11" x14ac:dyDescent="0.3">
      <c r="A10" s="8"/>
      <c r="B10" s="13"/>
    </row>
    <row r="11" spans="1:11" x14ac:dyDescent="0.3">
      <c r="B11" s="7" t="s">
        <v>1</v>
      </c>
      <c r="K11" s="8" t="s">
        <v>287</v>
      </c>
    </row>
    <row r="12" spans="1:11" x14ac:dyDescent="0.3">
      <c r="C12" s="7" t="s">
        <v>135</v>
      </c>
      <c r="E12" s="86" t="s">
        <v>285</v>
      </c>
      <c r="F12" s="37"/>
      <c r="G12" s="37"/>
      <c r="H12" s="37"/>
    </row>
    <row r="13" spans="1:11" x14ac:dyDescent="0.3">
      <c r="C13" s="7" t="s">
        <v>136</v>
      </c>
      <c r="E13" s="86" t="s">
        <v>286</v>
      </c>
      <c r="F13" s="37"/>
      <c r="G13" s="37"/>
      <c r="H13" s="37"/>
    </row>
    <row r="14" spans="1:11" x14ac:dyDescent="0.3">
      <c r="C14" s="7" t="s">
        <v>143</v>
      </c>
      <c r="E14" s="88"/>
      <c r="F14" s="37"/>
      <c r="G14" s="37"/>
      <c r="H14" s="37"/>
    </row>
    <row r="16" spans="1:11" ht="15" customHeight="1" x14ac:dyDescent="0.3">
      <c r="E16" s="9" t="s">
        <v>13</v>
      </c>
      <c r="F16" s="9" t="s">
        <v>14</v>
      </c>
      <c r="G16" s="9" t="s">
        <v>61</v>
      </c>
      <c r="H16" s="9" t="s">
        <v>62</v>
      </c>
      <c r="I16" s="14" t="s">
        <v>64</v>
      </c>
    </row>
    <row r="17" spans="1:9" x14ac:dyDescent="0.3">
      <c r="C17" s="60" t="s">
        <v>12</v>
      </c>
      <c r="D17" s="60"/>
      <c r="E17" s="85">
        <v>25000</v>
      </c>
      <c r="F17" s="83" t="s">
        <v>15</v>
      </c>
      <c r="G17" s="84">
        <v>1</v>
      </c>
      <c r="H17" s="129">
        <f>+E17*G17</f>
        <v>25000</v>
      </c>
      <c r="I17" s="130" t="s">
        <v>65</v>
      </c>
    </row>
    <row r="18" spans="1:9" x14ac:dyDescent="0.3">
      <c r="C18" s="60" t="s">
        <v>2</v>
      </c>
      <c r="D18" s="60"/>
      <c r="E18" s="85">
        <v>2500</v>
      </c>
      <c r="F18" s="83" t="s">
        <v>16</v>
      </c>
      <c r="G18" s="84">
        <v>4</v>
      </c>
      <c r="H18" s="129">
        <f>+E18*G18</f>
        <v>10000</v>
      </c>
      <c r="I18" s="130" t="s">
        <v>65</v>
      </c>
    </row>
    <row r="19" spans="1:9" x14ac:dyDescent="0.3">
      <c r="C19" s="60" t="s">
        <v>3</v>
      </c>
      <c r="D19" s="60"/>
      <c r="E19" s="85">
        <v>500</v>
      </c>
      <c r="F19" s="83" t="s">
        <v>17</v>
      </c>
      <c r="G19" s="84">
        <v>500</v>
      </c>
      <c r="H19" s="129">
        <f>+E19*G19</f>
        <v>250000</v>
      </c>
      <c r="I19" s="130" t="s">
        <v>65</v>
      </c>
    </row>
    <row r="20" spans="1:9" x14ac:dyDescent="0.3">
      <c r="C20" s="60" t="s">
        <v>140</v>
      </c>
      <c r="D20" s="60"/>
      <c r="E20" s="85">
        <v>0</v>
      </c>
      <c r="F20" s="83"/>
      <c r="G20" s="84">
        <v>0</v>
      </c>
      <c r="H20" s="129">
        <f>+E20*G20</f>
        <v>0</v>
      </c>
      <c r="I20" s="130" t="s">
        <v>65</v>
      </c>
    </row>
    <row r="21" spans="1:9" x14ac:dyDescent="0.3">
      <c r="C21" s="76" t="s">
        <v>141</v>
      </c>
      <c r="D21" s="76"/>
      <c r="E21" s="76"/>
      <c r="F21" s="76"/>
      <c r="G21" s="76"/>
      <c r="H21" s="127">
        <f>SUM(H17:H20)</f>
        <v>285000</v>
      </c>
      <c r="I21" s="131"/>
    </row>
    <row r="22" spans="1:9" s="87" customFormat="1" x14ac:dyDescent="0.3">
      <c r="H22" s="126"/>
      <c r="I22" s="131"/>
    </row>
    <row r="23" spans="1:9" s="87" customFormat="1" x14ac:dyDescent="0.3">
      <c r="H23" s="126"/>
      <c r="I23" s="131"/>
    </row>
    <row r="24" spans="1:9" x14ac:dyDescent="0.3">
      <c r="B24" s="60" t="s">
        <v>0</v>
      </c>
      <c r="C24" s="60"/>
      <c r="D24" s="60"/>
      <c r="E24" s="85">
        <v>2500</v>
      </c>
      <c r="F24" s="83" t="s">
        <v>144</v>
      </c>
      <c r="G24" s="84">
        <v>1</v>
      </c>
      <c r="H24" s="129">
        <f>+E24*G24</f>
        <v>2500</v>
      </c>
      <c r="I24" s="130" t="s">
        <v>65</v>
      </c>
    </row>
    <row r="25" spans="1:9" x14ac:dyDescent="0.3">
      <c r="B25" s="60" t="s">
        <v>98</v>
      </c>
      <c r="C25" s="60"/>
      <c r="D25" s="60"/>
      <c r="E25" s="85">
        <v>0</v>
      </c>
      <c r="F25" s="83"/>
      <c r="G25" s="84">
        <v>0</v>
      </c>
      <c r="H25" s="129">
        <f>+E25*G25</f>
        <v>0</v>
      </c>
      <c r="I25" s="130" t="s">
        <v>65</v>
      </c>
    </row>
    <row r="26" spans="1:9" x14ac:dyDescent="0.3">
      <c r="B26" s="60" t="s">
        <v>137</v>
      </c>
      <c r="C26" s="60"/>
      <c r="D26" s="60"/>
      <c r="E26" s="85">
        <v>0</v>
      </c>
      <c r="F26" s="83"/>
      <c r="G26" s="84">
        <v>0</v>
      </c>
      <c r="H26" s="129">
        <f>+E26*G26</f>
        <v>0</v>
      </c>
      <c r="I26" s="130" t="s">
        <v>65</v>
      </c>
    </row>
    <row r="27" spans="1:9" x14ac:dyDescent="0.3">
      <c r="B27" s="57"/>
      <c r="C27" s="138"/>
      <c r="D27" s="57"/>
      <c r="E27" s="132"/>
      <c r="F27" s="133"/>
      <c r="G27" s="134"/>
      <c r="H27" s="135"/>
      <c r="I27" s="136"/>
    </row>
    <row r="28" spans="1:9" ht="17.25" thickBot="1" x14ac:dyDescent="0.35">
      <c r="B28" s="14" t="s">
        <v>138</v>
      </c>
      <c r="H28" s="128">
        <f>SUM(H24:H26)+SUM(H17:H20)</f>
        <v>287500</v>
      </c>
      <c r="I28" s="131" t="s">
        <v>65</v>
      </c>
    </row>
    <row r="29" spans="1:9" ht="17.25" thickTop="1" x14ac:dyDescent="0.3">
      <c r="H29" s="126"/>
      <c r="I29" s="131"/>
    </row>
    <row r="30" spans="1:9" s="87" customFormat="1" x14ac:dyDescent="0.3">
      <c r="H30" s="126"/>
      <c r="I30" s="131"/>
    </row>
    <row r="31" spans="1:9" x14ac:dyDescent="0.3">
      <c r="A31" s="8" t="s">
        <v>225</v>
      </c>
      <c r="H31" s="126"/>
      <c r="I31" s="131"/>
    </row>
    <row r="32" spans="1:9" ht="15" customHeight="1" x14ac:dyDescent="0.3">
      <c r="B32" s="60" t="s">
        <v>4</v>
      </c>
      <c r="C32" s="60"/>
      <c r="D32" s="60"/>
      <c r="E32" s="85">
        <v>0.2</v>
      </c>
      <c r="F32" s="83" t="s">
        <v>60</v>
      </c>
      <c r="G32" s="84">
        <v>0</v>
      </c>
      <c r="H32" s="129">
        <f>+E32*(H17+H18+H19)</f>
        <v>57000</v>
      </c>
      <c r="I32" s="130" t="s">
        <v>66</v>
      </c>
    </row>
    <row r="33" spans="2:9" x14ac:dyDescent="0.3">
      <c r="B33" s="60" t="s">
        <v>137</v>
      </c>
      <c r="C33" s="60"/>
      <c r="D33" s="60"/>
      <c r="E33" s="85">
        <v>0</v>
      </c>
      <c r="F33" s="83"/>
      <c r="G33" s="84">
        <v>0</v>
      </c>
      <c r="H33" s="129">
        <f>+E33*G33</f>
        <v>0</v>
      </c>
      <c r="I33" s="130" t="s">
        <v>66</v>
      </c>
    </row>
    <row r="34" spans="2:9" x14ac:dyDescent="0.3">
      <c r="H34" s="126"/>
      <c r="I34" s="131"/>
    </row>
    <row r="35" spans="2:9" ht="17.25" thickBot="1" x14ac:dyDescent="0.35">
      <c r="B35" s="14" t="s">
        <v>139</v>
      </c>
      <c r="H35" s="128">
        <f>SUM(H32:H33)</f>
        <v>57000</v>
      </c>
      <c r="I35" s="131"/>
    </row>
    <row r="36" spans="2:9" ht="17.25" thickTop="1" x14ac:dyDescent="0.3"/>
  </sheetData>
  <protectedRanges>
    <protectedRange sqref="E32:G33" name="AnnualSupportCost"/>
    <protectedRange sqref="E24:G26" name="ToolCost2"/>
    <protectedRange sqref="E17:G20" name="ToolCost1"/>
    <protectedRange sqref="E12:E14" name="Vendor"/>
  </protectedRanges>
  <phoneticPr fontId="2" type="noConversion"/>
  <dataValidations count="12">
    <dataValidation type="whole" allowBlank="1" showInputMessage="1" showErrorMessage="1" prompt="Enter additional cost item, if any" sqref="E20 E26:E27" xr:uid="{00000000-0002-0000-0200-000000000000}">
      <formula1>0</formula1>
      <formula2>1000000</formula2>
    </dataValidation>
    <dataValidation type="whole" showInputMessage="1" showErrorMessage="1" prompt="Enter the cost for each training session" sqref="E24" xr:uid="{00000000-0002-0000-0200-000001000000}">
      <formula1>0</formula1>
      <formula2>10000</formula2>
    </dataValidation>
    <dataValidation type="whole" showInputMessage="1" showErrorMessage="1" error="Enter a number between 0 and 100000" prompt="Enter the per user cost for additional equipment necessary for automated testing." sqref="E25" xr:uid="{00000000-0002-0000-0200-000002000000}">
      <formula1>0</formula1>
      <formula2>10000</formula2>
    </dataValidation>
    <dataValidation type="whole" allowBlank="1" showInputMessage="1" showErrorMessage="1" prompt="Enter the fee for additional virtual users, if any" sqref="E19" xr:uid="{00000000-0002-0000-0200-000003000000}">
      <formula1>0</formula1>
      <formula2>10000</formula2>
    </dataValidation>
    <dataValidation type="whole" showInputMessage="1" showErrorMessage="1" prompt="Enter the number of additional virtual users you plan to purchase" sqref="G19" xr:uid="{00000000-0002-0000-0200-000004000000}">
      <formula1>0</formula1>
      <formula2>1000</formula2>
    </dataValidation>
    <dataValidation type="textLength" allowBlank="1" showInputMessage="1" showErrorMessage="1" prompt="Enter the Vendor's Name" sqref="E12" xr:uid="{00000000-0002-0000-0200-000005000000}">
      <formula1>0</formula1>
      <formula2>255</formula2>
    </dataValidation>
    <dataValidation type="textLength" allowBlank="1" showInputMessage="1" showErrorMessage="1" prompt="Enter the Test Automation Product name " sqref="E13" xr:uid="{00000000-0002-0000-0200-000006000000}">
      <formula1>0</formula1>
      <formula2>255</formula2>
    </dataValidation>
    <dataValidation allowBlank="1" showInputMessage="1" showErrorMessage="1" prompt="Enter the Vendor's URL" sqref="E14" xr:uid="{00000000-0002-0000-0200-000007000000}"/>
    <dataValidation type="whole" showInputMessage="1" showErrorMessage="1" prompt="Enter the license fee for the product " sqref="E17" xr:uid="{00000000-0002-0000-0200-000008000000}">
      <formula1>0</formula1>
      <formula2>1000000</formula2>
    </dataValidation>
    <dataValidation type="whole" showInputMessage="1" showErrorMessage="1" prompt="Enter the fee for each additional seat, if any" sqref="E18" xr:uid="{00000000-0002-0000-0200-000009000000}">
      <formula1>0</formula1>
      <formula2>10000</formula2>
    </dataValidation>
    <dataValidation type="whole" showInputMessage="1" showErrorMessage="1" error="Enter a number between 0 and 1000" prompt="Enter the number of additional seats you plan to purchase" sqref="G18" xr:uid="{00000000-0002-0000-0200-00000A000000}">
      <formula1>0</formula1>
      <formula2>1000</formula2>
    </dataValidation>
    <dataValidation type="whole" showInputMessage="1" showErrorMessage="1" error="Enter a number between 0 and 100" prompt="Enter the number of site licenses you plan to purchase" sqref="G17" xr:uid="{00000000-0002-0000-0200-00000B000000}">
      <formula1>0</formula1>
      <formula2>100</formula2>
    </dataValidation>
  </dataValidations>
  <pageMargins left="0.75" right="0.75" top="1" bottom="1" header="0.5" footer="0.5"/>
  <pageSetup orientation="portrait" r:id="rId1"/>
  <headerFooter alignWithMargins="0">
    <oddHeader>&amp;L&amp;"Arial Black,Regular"&amp;12Test Automation ROI Estimate&amp;R&amp;"Arial Black,Regular"&amp;12&amp;A</oddHeader>
    <oddFooter>&amp;LPrepared &amp;D&amp;RPage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F27"/>
  <sheetViews>
    <sheetView workbookViewId="0">
      <selection activeCell="C16" sqref="C16"/>
    </sheetView>
  </sheetViews>
  <sheetFormatPr defaultRowHeight="16.5" x14ac:dyDescent="0.3"/>
  <cols>
    <col min="1" max="1" width="17" style="7" customWidth="1"/>
    <col min="2" max="2" width="27.5703125" style="7" customWidth="1"/>
    <col min="3" max="3" width="13.7109375" style="7" customWidth="1"/>
    <col min="4" max="16384" width="9.140625" style="7"/>
  </cols>
  <sheetData>
    <row r="2" spans="1:6" x14ac:dyDescent="0.3">
      <c r="A2" s="8" t="s">
        <v>58</v>
      </c>
      <c r="B2" s="86" t="s">
        <v>226</v>
      </c>
      <c r="C2" s="37"/>
      <c r="D2" s="37"/>
      <c r="E2" s="37"/>
      <c r="F2" s="37"/>
    </row>
    <row r="3" spans="1:6" x14ac:dyDescent="0.3">
      <c r="A3" s="8" t="s">
        <v>162</v>
      </c>
      <c r="B3" s="86" t="s">
        <v>227</v>
      </c>
      <c r="C3" s="37"/>
      <c r="D3" s="37"/>
      <c r="E3" s="37"/>
      <c r="F3" s="37"/>
    </row>
    <row r="4" spans="1:6" x14ac:dyDescent="0.3">
      <c r="A4" s="8" t="s">
        <v>223</v>
      </c>
      <c r="B4" s="186" t="s">
        <v>223</v>
      </c>
      <c r="C4" s="37"/>
      <c r="D4" s="37"/>
      <c r="E4" s="37"/>
      <c r="F4" s="37"/>
    </row>
    <row r="5" spans="1:6" s="28" customFormat="1" x14ac:dyDescent="0.3"/>
    <row r="6" spans="1:6" s="28" customFormat="1" x14ac:dyDescent="0.3">
      <c r="A6" s="112" t="s">
        <v>161</v>
      </c>
    </row>
    <row r="8" spans="1:6" x14ac:dyDescent="0.3">
      <c r="B8" s="113" t="s">
        <v>168</v>
      </c>
      <c r="C8" s="114">
        <f>timeFrame</f>
        <v>24</v>
      </c>
      <c r="D8" s="114"/>
      <c r="E8" s="114"/>
      <c r="F8" s="114"/>
    </row>
    <row r="9" spans="1:6" x14ac:dyDescent="0.3">
      <c r="B9"/>
      <c r="C9"/>
      <c r="D9"/>
      <c r="E9"/>
    </row>
    <row r="10" spans="1:6" x14ac:dyDescent="0.3">
      <c r="B10" s="113" t="s">
        <v>67</v>
      </c>
      <c r="C10" s="115">
        <f>totalCosts</f>
        <v>344500</v>
      </c>
      <c r="D10" s="114"/>
      <c r="E10" s="114"/>
      <c r="F10" s="114"/>
    </row>
    <row r="11" spans="1:6" x14ac:dyDescent="0.3">
      <c r="B11" s="113" t="s">
        <v>44</v>
      </c>
      <c r="C11" s="115">
        <f>totBenefits</f>
        <v>8442572.2089383565</v>
      </c>
      <c r="D11" s="114"/>
      <c r="E11" s="114"/>
      <c r="F11" s="114"/>
    </row>
    <row r="12" spans="1:6" x14ac:dyDescent="0.3">
      <c r="B12" s="113" t="s">
        <v>107</v>
      </c>
      <c r="C12" s="115">
        <f>totNetCash</f>
        <v>8098072.2089383565</v>
      </c>
      <c r="D12" s="114"/>
      <c r="E12" s="114"/>
      <c r="F12" s="114"/>
    </row>
    <row r="13" spans="1:6" x14ac:dyDescent="0.3">
      <c r="B13" s="8"/>
      <c r="C13" s="40"/>
    </row>
    <row r="14" spans="1:6" x14ac:dyDescent="0.3">
      <c r="B14" s="113" t="s">
        <v>111</v>
      </c>
      <c r="C14" s="115">
        <f>'Quarterly ROI'!D40</f>
        <v>6608843.7399356905</v>
      </c>
      <c r="D14" s="114"/>
      <c r="E14" s="114"/>
      <c r="F14" s="114"/>
    </row>
    <row r="15" spans="1:6" x14ac:dyDescent="0.3">
      <c r="B15" s="113"/>
      <c r="C15" s="115"/>
      <c r="D15" s="114"/>
      <c r="E15" s="114"/>
      <c r="F15" s="114"/>
    </row>
    <row r="16" spans="1:6" x14ac:dyDescent="0.3">
      <c r="B16" s="113" t="s">
        <v>117</v>
      </c>
      <c r="C16" s="116">
        <f>totROI</f>
        <v>23.506740809690438</v>
      </c>
      <c r="D16" s="114"/>
      <c r="E16" s="114"/>
      <c r="F16" s="114"/>
    </row>
    <row r="17" spans="1:6" x14ac:dyDescent="0.3">
      <c r="B17" s="8"/>
      <c r="C17" s="41"/>
    </row>
    <row r="18" spans="1:6" x14ac:dyDescent="0.3">
      <c r="B18" s="113" t="s">
        <v>110</v>
      </c>
      <c r="C18" s="114">
        <f>breakEvenMonth</f>
        <v>1</v>
      </c>
      <c r="D18" s="114"/>
      <c r="E18" s="114"/>
      <c r="F18" s="114"/>
    </row>
    <row r="21" spans="1:6" x14ac:dyDescent="0.3">
      <c r="A21" s="14" t="s">
        <v>192</v>
      </c>
    </row>
    <row r="22" spans="1:6" x14ac:dyDescent="0.3">
      <c r="B22" s="113" t="s">
        <v>58</v>
      </c>
      <c r="C22" s="117" t="str">
        <f>vendorName</f>
        <v>Licenses</v>
      </c>
      <c r="D22" s="117"/>
      <c r="E22" s="117"/>
      <c r="F22" s="117"/>
    </row>
    <row r="23" spans="1:6" x14ac:dyDescent="0.3">
      <c r="B23" s="113" t="s">
        <v>136</v>
      </c>
      <c r="C23" s="117" t="str">
        <f>vendorProduct</f>
        <v>Automation tools</v>
      </c>
      <c r="D23" s="117"/>
      <c r="E23" s="117"/>
      <c r="F23" s="117"/>
    </row>
    <row r="24" spans="1:6" x14ac:dyDescent="0.3">
      <c r="B24" s="113" t="s">
        <v>195</v>
      </c>
      <c r="C24" s="117"/>
      <c r="D24" s="117">
        <f>vendorBaseLicenseQty</f>
        <v>1</v>
      </c>
      <c r="E24" s="117"/>
      <c r="F24" s="117"/>
    </row>
    <row r="25" spans="1:6" x14ac:dyDescent="0.3">
      <c r="B25" s="113" t="s">
        <v>193</v>
      </c>
      <c r="C25" s="117"/>
      <c r="D25" s="117">
        <f>vendorSeatQty</f>
        <v>4</v>
      </c>
      <c r="E25" s="117"/>
      <c r="F25" s="117"/>
    </row>
    <row r="26" spans="1:6" x14ac:dyDescent="0.3">
      <c r="B26" s="113" t="s">
        <v>194</v>
      </c>
      <c r="C26" s="117"/>
      <c r="D26" s="117">
        <f>vendorVUQty</f>
        <v>500</v>
      </c>
      <c r="E26" s="117"/>
      <c r="F26" s="117"/>
    </row>
    <row r="27" spans="1:6" customFormat="1" ht="16.5" customHeight="1" x14ac:dyDescent="0.2"/>
  </sheetData>
  <sheetProtection sheet="1" objects="1" scenarios="1"/>
  <protectedRanges>
    <protectedRange sqref="B2:B4" name="MyCo"/>
  </protectedRanges>
  <phoneticPr fontId="2" type="noConversion"/>
  <pageMargins left="0.75" right="0.75" top="1" bottom="1" header="0.5" footer="0.5"/>
  <pageSetup orientation="portrait" r:id="rId1"/>
  <headerFooter alignWithMargins="0">
    <oddHeader>&amp;L&amp;"Arial Black,Regular"&amp;12Test Automation ROI Estimate&amp;R&amp;"Arial Black,Regular"&amp;12&amp;A</oddHeader>
    <oddFooter>&amp;LPrepared &amp;D&amp;RPage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4"/>
  <sheetViews>
    <sheetView topLeftCell="A7" workbookViewId="0">
      <selection activeCell="D38" sqref="D38"/>
    </sheetView>
  </sheetViews>
  <sheetFormatPr defaultColWidth="12" defaultRowHeight="12.75" x14ac:dyDescent="0.2"/>
  <cols>
    <col min="1" max="1" width="2.85546875" style="1" customWidth="1"/>
    <col min="2" max="2" width="3.85546875" style="1" customWidth="1"/>
    <col min="3" max="3" width="24" style="1" customWidth="1"/>
    <col min="4" max="12" width="12" style="1" customWidth="1"/>
    <col min="13" max="16384" width="12" style="1"/>
  </cols>
  <sheetData>
    <row r="1" spans="1:17" ht="13.5" customHeight="1" x14ac:dyDescent="0.3">
      <c r="D1" s="104" t="s">
        <v>162</v>
      </c>
      <c r="E1" s="204" t="s">
        <v>42</v>
      </c>
      <c r="F1" s="204"/>
      <c r="G1" s="204"/>
      <c r="H1" s="204"/>
      <c r="I1" s="204" t="s">
        <v>43</v>
      </c>
      <c r="J1" s="204"/>
      <c r="K1" s="204"/>
      <c r="L1" s="204"/>
    </row>
    <row r="2" spans="1:17" ht="16.5" x14ac:dyDescent="0.3">
      <c r="D2" s="104" t="s">
        <v>163</v>
      </c>
      <c r="E2" s="104" t="s">
        <v>54</v>
      </c>
      <c r="F2" s="104" t="s">
        <v>55</v>
      </c>
      <c r="G2" s="104" t="s">
        <v>56</v>
      </c>
      <c r="H2" s="104" t="s">
        <v>57</v>
      </c>
      <c r="I2" s="104" t="s">
        <v>54</v>
      </c>
      <c r="J2" s="104" t="s">
        <v>55</v>
      </c>
      <c r="K2" s="104" t="s">
        <v>56</v>
      </c>
      <c r="L2" s="104" t="s">
        <v>57</v>
      </c>
    </row>
    <row r="3" spans="1:17" ht="16.5" x14ac:dyDescent="0.3">
      <c r="A3" s="8" t="s">
        <v>112</v>
      </c>
      <c r="E3" s="25"/>
      <c r="F3" s="25"/>
      <c r="G3" s="25"/>
      <c r="H3" s="25"/>
      <c r="I3" s="25"/>
      <c r="J3" s="25"/>
      <c r="K3" s="25"/>
      <c r="L3" s="25"/>
    </row>
    <row r="4" spans="1:17" ht="12.75" customHeight="1" x14ac:dyDescent="0.2">
      <c r="B4" s="2" t="s">
        <v>167</v>
      </c>
    </row>
    <row r="5" spans="1:17" ht="12.75" customHeight="1" x14ac:dyDescent="0.2">
      <c r="C5" s="100" t="s">
        <v>72</v>
      </c>
      <c r="D5" s="95">
        <f>SUM(E5:L5)</f>
        <v>2255040</v>
      </c>
      <c r="E5" s="96">
        <f>IF(1&lt;=nQtrRel,-effectInitialProductivityDollars*(1/nQtrRel),0)</f>
        <v>563760</v>
      </c>
      <c r="F5" s="96">
        <f>IF(2&lt;=nQtrRel,-effectInitialProductivityDollars*(1/nQtrRel),0)</f>
        <v>563760</v>
      </c>
      <c r="G5" s="96">
        <f>IF(3&lt;=nQtrRel,-effectInitialProductivityDollars*(1/nQtrRel),0)</f>
        <v>563760</v>
      </c>
      <c r="H5" s="96">
        <f>IF(4&lt;=nQtrRel,-effectInitialProductivityDollars*(1/nQtrRel),0)</f>
        <v>563760</v>
      </c>
      <c r="I5" s="96">
        <f>IF(5&lt;=nQtrRel,-effectInitialProductivityDollars*(1/nQtrRel),0)</f>
        <v>0</v>
      </c>
      <c r="J5" s="96">
        <f>IF(6&lt;=nQtrRel,-effectInitialProductivityDollars*(1/nQtrRel),0)</f>
        <v>0</v>
      </c>
      <c r="K5" s="96">
        <f>IF(7&lt;=nQtrRel,-effectInitialProductivityDollars*(1/nQtrRel),0)</f>
        <v>0</v>
      </c>
      <c r="L5" s="96">
        <f>IF(8&lt;=nQtrRel,-effectInitialProductivityDollars*(1/nQtrRel),0)</f>
        <v>0</v>
      </c>
    </row>
    <row r="6" spans="1:17" ht="13.5" customHeight="1" x14ac:dyDescent="0.2">
      <c r="C6" s="100" t="s">
        <v>97</v>
      </c>
      <c r="D6" s="95">
        <f>SUM(E6:L6)</f>
        <v>4503696.5925000003</v>
      </c>
      <c r="E6" s="96">
        <f t="shared" ref="E6:L6" si="0">IF(E5=0,-effectRecurProductivityDollars/4,0)</f>
        <v>0</v>
      </c>
      <c r="F6" s="96">
        <f t="shared" si="0"/>
        <v>0</v>
      </c>
      <c r="G6" s="96">
        <f t="shared" si="0"/>
        <v>0</v>
      </c>
      <c r="H6" s="96">
        <f t="shared" si="0"/>
        <v>0</v>
      </c>
      <c r="I6" s="96">
        <f t="shared" si="0"/>
        <v>1125924.1481250001</v>
      </c>
      <c r="J6" s="96">
        <f t="shared" si="0"/>
        <v>1125924.1481250001</v>
      </c>
      <c r="K6" s="96">
        <f t="shared" si="0"/>
        <v>1125924.1481250001</v>
      </c>
      <c r="L6" s="96">
        <f t="shared" si="0"/>
        <v>1125924.1481250001</v>
      </c>
    </row>
    <row r="7" spans="1:17" ht="12.75" customHeight="1" x14ac:dyDescent="0.2">
      <c r="C7" s="101"/>
      <c r="D7" s="26"/>
      <c r="E7" s="27"/>
      <c r="F7" s="27"/>
      <c r="G7" s="27"/>
      <c r="H7" s="27"/>
      <c r="I7" s="27"/>
      <c r="J7" s="27"/>
      <c r="K7" s="27"/>
      <c r="L7" s="27"/>
    </row>
    <row r="8" spans="1:17" ht="12.75" customHeight="1" x14ac:dyDescent="0.2">
      <c r="B8" s="2" t="s">
        <v>70</v>
      </c>
      <c r="C8" s="101"/>
      <c r="D8" s="26"/>
      <c r="E8" s="27"/>
      <c r="F8" s="27"/>
      <c r="G8" s="27"/>
      <c r="H8" s="27"/>
      <c r="I8" s="27"/>
      <c r="J8" s="27"/>
      <c r="K8" s="27"/>
      <c r="L8" s="27"/>
    </row>
    <row r="9" spans="1:17" ht="12.75" customHeight="1" x14ac:dyDescent="0.2">
      <c r="C9" s="100" t="s">
        <v>83</v>
      </c>
      <c r="D9" s="95">
        <f>SUM(E9:L9)</f>
        <v>0</v>
      </c>
      <c r="E9" s="96">
        <f>IF(nQtrRel&lt;1,-(ROUND(outageEffect/4,0)),0)</f>
        <v>0</v>
      </c>
      <c r="F9" s="96">
        <f>IF(nQtrRel&lt;2,-(ROUND(outageEffect/4,0)),0)</f>
        <v>0</v>
      </c>
      <c r="G9" s="96">
        <f>IF(nQtrRel&lt;3,-(ROUND(outageEffect/4,0)),0)</f>
        <v>0</v>
      </c>
      <c r="H9" s="96">
        <f>IF(nQtrRel&lt;4,-(ROUND(outageEffect/4,0)),0)</f>
        <v>0</v>
      </c>
      <c r="I9" s="96">
        <f>IF(nQtrRel&lt;5,-(ROUND(outageEffect/4,0)),0)</f>
        <v>0</v>
      </c>
      <c r="J9" s="96">
        <f>IF(nQtrRel&lt;6,-(ROUND(outageEffect/4,0)),0)</f>
        <v>0</v>
      </c>
      <c r="K9" s="96">
        <f>IF(nQtrRel&lt;7,-(ROUND(outageEffect/4,0)),0)</f>
        <v>0</v>
      </c>
      <c r="L9" s="96">
        <f>IF(nQtrRel&lt;8,-(ROUND(outageEffect/4,0)),0)</f>
        <v>0</v>
      </c>
    </row>
    <row r="10" spans="1:17" ht="12.75" customHeight="1" x14ac:dyDescent="0.2">
      <c r="C10" s="100" t="s">
        <v>84</v>
      </c>
      <c r="D10" s="95">
        <f>SUM(E10:L10)</f>
        <v>40000</v>
      </c>
      <c r="E10" s="96">
        <f>IF(nQtrRel&lt;1,-(ROUND(incidentEffect/4,0)),0)</f>
        <v>0</v>
      </c>
      <c r="F10" s="96">
        <f>IF(nQtrRel&lt;2,-(ROUND(incidentEffect/4,0)),0)</f>
        <v>0</v>
      </c>
      <c r="G10" s="96">
        <f>IF(nQtrRel&lt;3,-(ROUND(incidentEffect/4,0)),0)</f>
        <v>0</v>
      </c>
      <c r="H10" s="96">
        <f>IF(nQtrRel&lt;4,-(ROUND(incidentEffect/4,0)),0)</f>
        <v>0</v>
      </c>
      <c r="I10" s="96">
        <f>IF(nQtrRel&lt;5,-(ROUND(incidentEffect/4,0)),0)</f>
        <v>10000</v>
      </c>
      <c r="J10" s="96">
        <f>IF(nQtrRel&lt;6,-(ROUND(incidentEffect/4,0)),0)</f>
        <v>10000</v>
      </c>
      <c r="K10" s="96">
        <f>IF(nQtrRel&lt;7,-(ROUND(incidentEffect/4,0)),0)</f>
        <v>10000</v>
      </c>
      <c r="L10" s="96">
        <f>IF(nQtrRel&lt;8,-(ROUND(incidentEffect/4,0)),0)</f>
        <v>10000</v>
      </c>
      <c r="P10"/>
      <c r="Q10"/>
    </row>
    <row r="11" spans="1:17" ht="12.75" customHeight="1" x14ac:dyDescent="0.2">
      <c r="C11" s="100" t="s">
        <v>85</v>
      </c>
      <c r="D11" s="95">
        <f>SUM(E11:L11)</f>
        <v>0</v>
      </c>
      <c r="E11" s="96">
        <f>IF(nQtrRel&lt;1,-(ROUND(badFixEffect/4,0)),0)</f>
        <v>0</v>
      </c>
      <c r="F11" s="96">
        <f>IF(nQtrRel&lt;2,-(ROUND(badFixEffect/4,0)),0)</f>
        <v>0</v>
      </c>
      <c r="G11" s="96">
        <f>IF(nQtrRel&lt;3,-(ROUND(badFixEffect/4,0)),0)</f>
        <v>0</v>
      </c>
      <c r="H11" s="96">
        <f>IF(nQtrRel&lt;4,-(ROUND(badFixEffect/4,0)),0)</f>
        <v>0</v>
      </c>
      <c r="I11" s="96">
        <f>IF(nQtrRel&lt;5,-(ROUND(badFixEffect/4,0)),0)</f>
        <v>0</v>
      </c>
      <c r="J11" s="96">
        <f>IF(nQtrRel&lt;6,-(ROUND(badFixEffect/4,0)),0)</f>
        <v>0</v>
      </c>
      <c r="K11" s="96">
        <f>IF(nQtrRel&lt;7,-(ROUND(badFixEffect/4,0)),0)</f>
        <v>0</v>
      </c>
      <c r="L11" s="96">
        <f>IF(nQtrRel&lt;8,-(ROUND(badFixEffect/4,0)),0)</f>
        <v>0</v>
      </c>
      <c r="P11"/>
      <c r="Q11"/>
    </row>
    <row r="12" spans="1:17" ht="12.75" customHeight="1" thickBot="1" x14ac:dyDescent="0.25">
      <c r="C12" s="185" t="s">
        <v>222</v>
      </c>
      <c r="D12" s="183">
        <f t="shared" ref="D12:L12" si="1">SUM(D9:D11)</f>
        <v>40000</v>
      </c>
      <c r="E12" s="184">
        <f t="shared" si="1"/>
        <v>0</v>
      </c>
      <c r="F12" s="184">
        <f t="shared" si="1"/>
        <v>0</v>
      </c>
      <c r="G12" s="184">
        <f t="shared" si="1"/>
        <v>0</v>
      </c>
      <c r="H12" s="184">
        <f t="shared" si="1"/>
        <v>0</v>
      </c>
      <c r="I12" s="184">
        <f t="shared" si="1"/>
        <v>10000</v>
      </c>
      <c r="J12" s="184">
        <f t="shared" si="1"/>
        <v>10000</v>
      </c>
      <c r="K12" s="184">
        <f t="shared" si="1"/>
        <v>10000</v>
      </c>
      <c r="L12" s="184">
        <f t="shared" si="1"/>
        <v>10000</v>
      </c>
      <c r="P12"/>
      <c r="Q12"/>
    </row>
    <row r="13" spans="1:17" ht="12.75" customHeight="1" x14ac:dyDescent="0.2">
      <c r="C13" s="101"/>
      <c r="D13" s="26"/>
      <c r="E13" s="27"/>
      <c r="F13" s="27"/>
      <c r="G13" s="27"/>
      <c r="H13" s="27"/>
      <c r="I13" s="27"/>
      <c r="J13" s="27"/>
      <c r="K13" s="27"/>
      <c r="L13" s="27"/>
      <c r="P13"/>
      <c r="Q13"/>
    </row>
    <row r="14" spans="1:17" ht="12.75" customHeight="1" x14ac:dyDescent="0.2">
      <c r="B14" s="2" t="s">
        <v>89</v>
      </c>
      <c r="C14" s="101"/>
      <c r="D14" s="26"/>
      <c r="E14" s="27"/>
      <c r="F14" s="27"/>
      <c r="G14" s="27"/>
      <c r="H14" s="27"/>
      <c r="I14" s="27"/>
      <c r="J14" s="27"/>
      <c r="K14" s="27"/>
      <c r="L14" s="27"/>
      <c r="P14"/>
      <c r="Q14"/>
    </row>
    <row r="15" spans="1:17" ht="12.75" customHeight="1" x14ac:dyDescent="0.2">
      <c r="C15" s="100" t="s">
        <v>100</v>
      </c>
      <c r="D15" s="95">
        <f>SUM(E15:L15)</f>
        <v>1643835.6164383562</v>
      </c>
      <c r="E15" s="96">
        <f>IF(AND(effectInitialCycleStartingQtr&lt;=1,effectRecurringCycleStartingQtr&gt;1),effectInitialCycleDollars*(1/nQtrRel),0)</f>
        <v>0</v>
      </c>
      <c r="F15" s="96">
        <f>IF(AND(effectInitialCycleStartingQtr&lt;=2,effectRecurringCycleStartingQtr&gt;2),effectInitialCycleDollars*(1/nQtrRel),0)</f>
        <v>0</v>
      </c>
      <c r="G15" s="96">
        <f>IF(AND(effectInitialCycleStartingQtr&lt;=3,effectRecurringCycleStartingQtr&gt;3),effectInitialCycleDollars*(1/nQtrRel),0)</f>
        <v>0</v>
      </c>
      <c r="H15" s="96">
        <f>IF(AND(effectInitialCycleStartingQtr&lt;=4,effectRecurringCycleStartingQtr&gt;4),effectInitialCycleDollars*(1/nQtrRel),0)</f>
        <v>0</v>
      </c>
      <c r="I15" s="96">
        <f>IF(AND(effectInitialCycleStartingQtr&lt;=5,effectRecurringCycleStartingQtr&gt;5),effectInitialCycleDollars*(1/nQtrRel),0)</f>
        <v>410958.90410958906</v>
      </c>
      <c r="J15" s="96">
        <f>IF(AND(effectInitialCycleStartingQtr&lt;=6,effectRecurringCycleStartingQtr&gt;6),effectInitialCycleDollars*(1/nQtrRel),0)</f>
        <v>410958.90410958906</v>
      </c>
      <c r="K15" s="96">
        <f>IF(AND(effectInitialCycleStartingQtr&lt;=7,effectRecurringCycleStartingQtr&gt;7),effectInitialCycleDollars*(1/nQtrRel),0)</f>
        <v>410958.90410958906</v>
      </c>
      <c r="L15" s="96">
        <f>IF(AND(effectInitialCycleStartingQtr&lt;=8,effectRecurringCycleStartingQtr&gt;8),effectInitialCycleDollars*(1/nQtrRel),0)</f>
        <v>410958.90410958906</v>
      </c>
      <c r="P15"/>
      <c r="Q15"/>
    </row>
    <row r="16" spans="1:17" ht="12.75" customHeight="1" x14ac:dyDescent="0.2">
      <c r="C16" s="100" t="s">
        <v>101</v>
      </c>
      <c r="D16" s="95">
        <f>SUM(E16:L16)</f>
        <v>0</v>
      </c>
      <c r="E16" s="96">
        <f>IF(effectRecurringCycleStartingQtr&lt;=1,effectRecurringCycleDollars*(1/nQtrRel),0)</f>
        <v>0</v>
      </c>
      <c r="F16" s="96">
        <f>IF(effectRecurringCycleStartingQtr&lt;=2,effectRecurringCycleDollars*(1/nQtrRel),0)</f>
        <v>0</v>
      </c>
      <c r="G16" s="96">
        <f>IF(effectRecurringCycleStartingQtr&lt;=3,effectRecurringCycleDollars*(1/nQtrRel),0)</f>
        <v>0</v>
      </c>
      <c r="H16" s="96">
        <f>IF(effectRecurringCycleStartingQtr&lt;=4,effectRecurringCycleDollars*(1/nQtrRel),0)</f>
        <v>0</v>
      </c>
      <c r="I16" s="96">
        <f>IF(effectRecurringCycleStartingQtr&lt;=5,effectRecurringCycleDollars*(1/nQtrRel),0)</f>
        <v>0</v>
      </c>
      <c r="J16" s="96">
        <f>IF(effectRecurringCycleStartingQtr&lt;=6,effectRecurringCycleDollars*(1/nQtrRel),0)</f>
        <v>0</v>
      </c>
      <c r="K16" s="96">
        <f>IF(effectRecurringCycleStartingQtr&lt;=7,effectRecurringCycleDollars*(1/nQtrRel),0)</f>
        <v>0</v>
      </c>
      <c r="L16" s="96">
        <f>IF(effectRecurringCycleStartingQtr&lt;=8,effectRecurringCycleDollars*(1/nQtrRel),0)</f>
        <v>0</v>
      </c>
      <c r="P16"/>
      <c r="Q16"/>
    </row>
    <row r="17" spans="1:17" ht="12.75" customHeight="1" x14ac:dyDescent="0.2">
      <c r="C17" s="101"/>
      <c r="D17" s="26"/>
      <c r="E17" s="27"/>
      <c r="F17" s="27"/>
      <c r="G17" s="27"/>
      <c r="H17" s="27"/>
      <c r="I17" s="27"/>
      <c r="J17" s="27"/>
      <c r="K17" s="27"/>
      <c r="L17" s="27"/>
      <c r="P17"/>
      <c r="Q17"/>
    </row>
    <row r="18" spans="1:17" ht="12.75" customHeight="1" x14ac:dyDescent="0.2">
      <c r="B18" s="2" t="s">
        <v>102</v>
      </c>
      <c r="C18" s="101"/>
      <c r="D18"/>
      <c r="E18"/>
      <c r="F18"/>
      <c r="G18"/>
      <c r="H18"/>
      <c r="I18"/>
      <c r="J18"/>
      <c r="K18"/>
      <c r="L18"/>
      <c r="M18"/>
      <c r="P18"/>
      <c r="Q18"/>
    </row>
    <row r="19" spans="1:17" ht="12.75" customHeight="1" thickBot="1" x14ac:dyDescent="0.25">
      <c r="C19" s="102" t="s">
        <v>103</v>
      </c>
      <c r="D19" s="108">
        <f>SUM(E19:L19)</f>
        <v>8442572.2089383565</v>
      </c>
      <c r="E19" s="97">
        <f>+E5+E6+E12+E15+E16</f>
        <v>563760</v>
      </c>
      <c r="F19" s="97">
        <f t="shared" ref="F19:L19" si="2">+F5+F6+F12+F15+F16</f>
        <v>563760</v>
      </c>
      <c r="G19" s="97">
        <f t="shared" si="2"/>
        <v>563760</v>
      </c>
      <c r="H19" s="97">
        <f t="shared" si="2"/>
        <v>563760</v>
      </c>
      <c r="I19" s="97">
        <f t="shared" si="2"/>
        <v>1546883.0522345891</v>
      </c>
      <c r="J19" s="97">
        <f t="shared" si="2"/>
        <v>1546883.0522345891</v>
      </c>
      <c r="K19" s="97">
        <f t="shared" si="2"/>
        <v>1546883.0522345891</v>
      </c>
      <c r="L19" s="97">
        <f t="shared" si="2"/>
        <v>1546883.0522345891</v>
      </c>
      <c r="P19"/>
      <c r="Q19"/>
    </row>
    <row r="20" spans="1:17" ht="13.5" thickBot="1" x14ac:dyDescent="0.25">
      <c r="C20" s="102" t="s">
        <v>104</v>
      </c>
      <c r="D20" s="108">
        <f>+L20</f>
        <v>8442572.2089383565</v>
      </c>
      <c r="E20" s="97">
        <f>+E19</f>
        <v>563760</v>
      </c>
      <c r="F20" s="97">
        <f>+F19+E20</f>
        <v>1127520</v>
      </c>
      <c r="G20" s="97">
        <f t="shared" ref="G20:L20" si="3">+G19+F20</f>
        <v>1691280</v>
      </c>
      <c r="H20" s="97">
        <f t="shared" si="3"/>
        <v>2255040</v>
      </c>
      <c r="I20" s="97">
        <f t="shared" si="3"/>
        <v>3801923.0522345891</v>
      </c>
      <c r="J20" s="97">
        <f t="shared" si="3"/>
        <v>5348806.1044691782</v>
      </c>
      <c r="K20" s="97">
        <f t="shared" si="3"/>
        <v>6895689.1567037674</v>
      </c>
      <c r="L20" s="97">
        <f t="shared" si="3"/>
        <v>8442572.2089383565</v>
      </c>
    </row>
    <row r="21" spans="1:17" ht="13.5" customHeight="1" x14ac:dyDescent="0.2">
      <c r="D21" s="26"/>
    </row>
    <row r="22" spans="1:17" ht="13.5" customHeight="1" x14ac:dyDescent="0.2">
      <c r="D22" s="26"/>
    </row>
    <row r="23" spans="1:17" ht="16.5" x14ac:dyDescent="0.3">
      <c r="A23" s="8" t="s">
        <v>113</v>
      </c>
      <c r="D23" s="26"/>
    </row>
    <row r="24" spans="1:17" x14ac:dyDescent="0.2">
      <c r="B24" s="100" t="s">
        <v>105</v>
      </c>
      <c r="C24" s="103"/>
      <c r="D24" s="96">
        <f>SUM(E24:L24)</f>
        <v>285000</v>
      </c>
      <c r="E24" s="96">
        <f>toolLicense</f>
        <v>285000</v>
      </c>
      <c r="F24" s="96"/>
      <c r="G24" s="96"/>
      <c r="H24" s="96"/>
      <c r="I24" s="96"/>
      <c r="J24" s="96"/>
      <c r="K24" s="96"/>
      <c r="L24" s="96"/>
    </row>
    <row r="25" spans="1:17" x14ac:dyDescent="0.2">
      <c r="B25" s="100" t="s">
        <v>164</v>
      </c>
      <c r="C25" s="103"/>
      <c r="D25" s="96">
        <f>SUM(E25:L25)</f>
        <v>57000</v>
      </c>
      <c r="E25" s="96"/>
      <c r="F25" s="96"/>
      <c r="G25" s="96"/>
      <c r="H25" s="96"/>
      <c r="I25" s="96">
        <f>toolAnnMaint</f>
        <v>57000</v>
      </c>
      <c r="J25" s="96"/>
      <c r="K25" s="96"/>
      <c r="L25" s="96"/>
    </row>
    <row r="26" spans="1:17" x14ac:dyDescent="0.2">
      <c r="B26" s="100" t="s">
        <v>0</v>
      </c>
      <c r="C26" s="103"/>
      <c r="D26" s="96">
        <f>SUM(E26:L26)</f>
        <v>2500</v>
      </c>
      <c r="E26" s="96">
        <f>toolTraining</f>
        <v>2500</v>
      </c>
      <c r="F26" s="96"/>
      <c r="G26" s="96"/>
      <c r="H26" s="96"/>
      <c r="I26" s="96"/>
      <c r="J26" s="96"/>
      <c r="K26" s="96"/>
      <c r="L26" s="96"/>
    </row>
    <row r="27" spans="1:17" x14ac:dyDescent="0.2">
      <c r="B27" s="100" t="s">
        <v>106</v>
      </c>
      <c r="C27" s="103"/>
      <c r="D27" s="96">
        <f>SUM(E27:L27)</f>
        <v>0</v>
      </c>
      <c r="E27" s="96">
        <f>toolEquipment</f>
        <v>0</v>
      </c>
      <c r="F27" s="96"/>
      <c r="G27" s="96"/>
      <c r="H27" s="96"/>
      <c r="I27" s="96"/>
      <c r="J27" s="96"/>
      <c r="K27" s="96"/>
      <c r="L27" s="96"/>
    </row>
    <row r="28" spans="1:17" x14ac:dyDescent="0.2">
      <c r="B28" s="100" t="s">
        <v>140</v>
      </c>
      <c r="C28" s="103"/>
      <c r="D28" s="96">
        <f>SUM(E28:L28)</f>
        <v>0</v>
      </c>
      <c r="E28" s="96">
        <f t="shared" ref="E28:L28" si="4">costInitalOther2+costInitialOther</f>
        <v>0</v>
      </c>
      <c r="F28" s="96">
        <f t="shared" si="4"/>
        <v>0</v>
      </c>
      <c r="G28" s="96">
        <f t="shared" si="4"/>
        <v>0</v>
      </c>
      <c r="H28" s="96">
        <f t="shared" si="4"/>
        <v>0</v>
      </c>
      <c r="I28" s="96">
        <f t="shared" si="4"/>
        <v>0</v>
      </c>
      <c r="J28" s="96">
        <f t="shared" si="4"/>
        <v>0</v>
      </c>
      <c r="K28" s="96">
        <f t="shared" si="4"/>
        <v>0</v>
      </c>
      <c r="L28" s="96">
        <f t="shared" si="4"/>
        <v>0</v>
      </c>
    </row>
    <row r="29" spans="1:17" x14ac:dyDescent="0.2">
      <c r="D29" s="26"/>
      <c r="E29" s="27"/>
      <c r="F29" s="27"/>
      <c r="G29" s="27"/>
      <c r="H29" s="27"/>
      <c r="I29" s="27"/>
      <c r="J29" s="27"/>
      <c r="K29" s="27"/>
      <c r="L29" s="27"/>
    </row>
    <row r="30" spans="1:17" s="7" customFormat="1" ht="14.25" customHeight="1" x14ac:dyDescent="0.3">
      <c r="B30" s="2" t="s">
        <v>109</v>
      </c>
      <c r="D30" s="28"/>
      <c r="E30" s="29"/>
      <c r="F30" s="29"/>
      <c r="G30" s="29"/>
      <c r="H30" s="29"/>
      <c r="I30" s="29"/>
      <c r="J30" s="29"/>
      <c r="K30" s="29"/>
      <c r="L30" s="29"/>
    </row>
    <row r="31" spans="1:17" ht="12.75" customHeight="1" thickBot="1" x14ac:dyDescent="0.25">
      <c r="C31" s="118" t="s">
        <v>103</v>
      </c>
      <c r="D31" s="97">
        <f>SUM(E31:L31)</f>
        <v>344500</v>
      </c>
      <c r="E31" s="97">
        <f>SUM(E24:E28)</f>
        <v>287500</v>
      </c>
      <c r="F31" s="97">
        <f t="shared" ref="F31:L31" si="5">SUM(F24:F28)</f>
        <v>0</v>
      </c>
      <c r="G31" s="97">
        <f t="shared" si="5"/>
        <v>0</v>
      </c>
      <c r="H31" s="97">
        <f t="shared" si="5"/>
        <v>0</v>
      </c>
      <c r="I31" s="97">
        <f t="shared" si="5"/>
        <v>57000</v>
      </c>
      <c r="J31" s="97">
        <f t="shared" si="5"/>
        <v>0</v>
      </c>
      <c r="K31" s="97">
        <f t="shared" si="5"/>
        <v>0</v>
      </c>
      <c r="L31" s="97">
        <f t="shared" si="5"/>
        <v>0</v>
      </c>
    </row>
    <row r="32" spans="1:17" ht="13.5" thickBot="1" x14ac:dyDescent="0.25">
      <c r="C32" s="119" t="s">
        <v>104</v>
      </c>
      <c r="D32" s="120">
        <f>+L32</f>
        <v>344500</v>
      </c>
      <c r="E32" s="120">
        <f>+E31</f>
        <v>287500</v>
      </c>
      <c r="F32" s="120">
        <f t="shared" ref="F32:L32" si="6">+F31+E32</f>
        <v>287500</v>
      </c>
      <c r="G32" s="120">
        <f t="shared" si="6"/>
        <v>287500</v>
      </c>
      <c r="H32" s="120">
        <f t="shared" si="6"/>
        <v>287500</v>
      </c>
      <c r="I32" s="120">
        <f t="shared" si="6"/>
        <v>344500</v>
      </c>
      <c r="J32" s="120">
        <f t="shared" si="6"/>
        <v>344500</v>
      </c>
      <c r="K32" s="120">
        <f t="shared" si="6"/>
        <v>344500</v>
      </c>
      <c r="L32" s="120">
        <f t="shared" si="6"/>
        <v>344500</v>
      </c>
    </row>
    <row r="33" spans="1:13" x14ac:dyDescent="0.2">
      <c r="D33" s="26"/>
      <c r="E33" s="27"/>
      <c r="F33" s="27"/>
      <c r="G33" s="27"/>
      <c r="H33" s="27"/>
      <c r="I33" s="27"/>
      <c r="J33" s="27"/>
      <c r="K33" s="27"/>
      <c r="L33" s="27"/>
    </row>
    <row r="34" spans="1:13" ht="16.5" x14ac:dyDescent="0.3">
      <c r="A34" s="8" t="s">
        <v>108</v>
      </c>
      <c r="D34" s="26"/>
    </row>
    <row r="35" spans="1:13" ht="13.5" thickBot="1" x14ac:dyDescent="0.25">
      <c r="B35" s="30" t="s">
        <v>114</v>
      </c>
      <c r="C35" s="30"/>
      <c r="D35" s="121">
        <f>SUM(E35:L35)</f>
        <v>8098072.2089383565</v>
      </c>
      <c r="E35" s="122">
        <f t="shared" ref="E35:L35" si="7">+E19-E31</f>
        <v>276260</v>
      </c>
      <c r="F35" s="121">
        <f t="shared" si="7"/>
        <v>563760</v>
      </c>
      <c r="G35" s="121">
        <f t="shared" si="7"/>
        <v>563760</v>
      </c>
      <c r="H35" s="121">
        <f t="shared" si="7"/>
        <v>563760</v>
      </c>
      <c r="I35" s="121">
        <f t="shared" si="7"/>
        <v>1489883.0522345891</v>
      </c>
      <c r="J35" s="121">
        <f t="shared" si="7"/>
        <v>1546883.0522345891</v>
      </c>
      <c r="K35" s="121">
        <f t="shared" si="7"/>
        <v>1546883.0522345891</v>
      </c>
      <c r="L35" s="121">
        <f t="shared" si="7"/>
        <v>1546883.0522345891</v>
      </c>
    </row>
    <row r="36" spans="1:13" ht="14.25" thickTop="1" thickBot="1" x14ac:dyDescent="0.25">
      <c r="B36" s="30" t="s">
        <v>115</v>
      </c>
      <c r="C36" s="30"/>
      <c r="D36" s="123">
        <f>+L36</f>
        <v>8098072.2089383565</v>
      </c>
      <c r="E36" s="124">
        <f>+E35</f>
        <v>276260</v>
      </c>
      <c r="F36" s="123">
        <f>+F35+E36</f>
        <v>840020</v>
      </c>
      <c r="G36" s="123">
        <f t="shared" ref="G36:L36" si="8">+G35+F36</f>
        <v>1403780</v>
      </c>
      <c r="H36" s="123">
        <f t="shared" si="8"/>
        <v>1967540</v>
      </c>
      <c r="I36" s="123">
        <f t="shared" si="8"/>
        <v>3457423.0522345891</v>
      </c>
      <c r="J36" s="123">
        <f t="shared" si="8"/>
        <v>5004306.1044691782</v>
      </c>
      <c r="K36" s="123">
        <f t="shared" si="8"/>
        <v>6551189.1567037674</v>
      </c>
      <c r="L36" s="123">
        <f t="shared" si="8"/>
        <v>8098072.2089383565</v>
      </c>
    </row>
    <row r="37" spans="1:13" customFormat="1" ht="13.5" thickTop="1" x14ac:dyDescent="0.2"/>
    <row r="38" spans="1:13" ht="13.5" thickBot="1" x14ac:dyDescent="0.25">
      <c r="B38" s="30" t="s">
        <v>116</v>
      </c>
      <c r="C38" s="30"/>
      <c r="D38" s="125">
        <f>+L38</f>
        <v>23.506740809690438</v>
      </c>
      <c r="E38" s="125">
        <f t="shared" ref="E38:L38" si="9">(E20-E32)/E32</f>
        <v>0.96090434782608691</v>
      </c>
      <c r="F38" s="125">
        <f t="shared" si="9"/>
        <v>2.921808695652174</v>
      </c>
      <c r="G38" s="125">
        <f t="shared" si="9"/>
        <v>4.8827130434782609</v>
      </c>
      <c r="H38" s="125">
        <f t="shared" si="9"/>
        <v>6.8436173913043481</v>
      </c>
      <c r="I38" s="125">
        <f t="shared" si="9"/>
        <v>10.036061109534366</v>
      </c>
      <c r="J38" s="125">
        <f t="shared" si="9"/>
        <v>14.526287676253057</v>
      </c>
      <c r="K38" s="125">
        <f t="shared" si="9"/>
        <v>19.016514242971748</v>
      </c>
      <c r="L38" s="125">
        <f t="shared" si="9"/>
        <v>23.506740809690438</v>
      </c>
      <c r="M38" s="25"/>
    </row>
    <row r="39" spans="1:13" ht="13.5" thickTop="1" x14ac:dyDescent="0.2">
      <c r="D39" s="26"/>
      <c r="E39" s="26"/>
      <c r="F39" s="27"/>
      <c r="G39" s="27"/>
      <c r="H39" s="27"/>
      <c r="I39" s="27"/>
      <c r="J39" s="27"/>
      <c r="K39" s="27"/>
      <c r="L39" s="27"/>
    </row>
    <row r="40" spans="1:13" x14ac:dyDescent="0.2">
      <c r="B40" s="1" t="s">
        <v>111</v>
      </c>
      <c r="D40" s="98">
        <f>NPV((costCapital/4),E35:L35)</f>
        <v>6608843.7399356905</v>
      </c>
      <c r="E40" s="101"/>
      <c r="F40" s="101"/>
      <c r="G40" s="101"/>
      <c r="H40" s="101"/>
      <c r="I40" s="101"/>
      <c r="J40" s="101"/>
      <c r="K40" s="101"/>
      <c r="L40" s="101"/>
      <c r="M40" s="101"/>
    </row>
    <row r="41" spans="1:13" customFormat="1" x14ac:dyDescent="0.2"/>
    <row r="42" spans="1:13" x14ac:dyDescent="0.2">
      <c r="B42" s="1" t="s">
        <v>160</v>
      </c>
      <c r="D42" s="99">
        <f>SUM(E42:L42)</f>
        <v>1</v>
      </c>
      <c r="E42" s="99">
        <f>IF(E36&gt;0,1+INT(E31/E19),"")</f>
        <v>1</v>
      </c>
      <c r="F42" s="99" t="str">
        <f>IF(AND(E36&lt;=0,F36&gt;0),4+INT(F31/F19),"")</f>
        <v/>
      </c>
      <c r="G42" s="99" t="str">
        <f>IF(AND(F36&lt;=0,G36&gt;0),7+INT(G31/G19),"")</f>
        <v/>
      </c>
      <c r="H42" s="99" t="str">
        <f>IF(AND(G36&lt;=0,H36&gt;0),10+INT(H31/H19),"")</f>
        <v/>
      </c>
      <c r="I42" s="99" t="str">
        <f>IF(AND(H36&lt;=0,I36&gt;0),13+INT(I31/I19),"")</f>
        <v/>
      </c>
      <c r="J42" s="99" t="str">
        <f>IF(AND(I36&lt;=0,J36&gt;0),16+INT(J31/J19),"")</f>
        <v/>
      </c>
      <c r="K42" s="99" t="str">
        <f>IF(AND(J36&lt;=0,K36&gt;0),19+INT(K31/K19),"")</f>
        <v/>
      </c>
      <c r="L42" s="99" t="str">
        <f>IF(AND(K36&lt;=0,L36&gt;0),22+INT(L31/L19),"")</f>
        <v/>
      </c>
    </row>
    <row r="44" spans="1:13" x14ac:dyDescent="0.2">
      <c r="B44" s="1" t="s">
        <v>168</v>
      </c>
      <c r="D44" s="99">
        <f>3*MAX(COUNTA(E35:L35),COUNTA(E36:L36))</f>
        <v>24</v>
      </c>
    </row>
  </sheetData>
  <sheetProtection sheet="1" objects="1" scenarios="1"/>
  <mergeCells count="2">
    <mergeCell ref="E1:H1"/>
    <mergeCell ref="I1:L1"/>
  </mergeCells>
  <phoneticPr fontId="2" type="noConversion"/>
  <pageMargins left="0.75" right="0.75" top="1" bottom="1" header="0.5" footer="0.5"/>
  <pageSetup orientation="portrait" r:id="rId1"/>
  <headerFooter alignWithMargins="0">
    <oddHeader>&amp;L&amp;"Arial Black,Regular"&amp;12Test Automation ROI Estimate&amp;R&amp;"Arial Black,Regular"&amp;12&amp;A</oddHeader>
    <oddFooter>&amp;LPrepared &amp;D&amp;RPage &amp;P of &amp;N</oddFooter>
  </headerFooter>
  <colBreaks count="2" manualBreakCount="2">
    <brk id="4" max="1048575" man="1"/>
    <brk id="8"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42"/>
  <sheetViews>
    <sheetView workbookViewId="0">
      <selection activeCell="A15" sqref="A15"/>
    </sheetView>
  </sheetViews>
  <sheetFormatPr defaultRowHeight="16.5" x14ac:dyDescent="0.3"/>
  <cols>
    <col min="1" max="1" width="3" style="7" customWidth="1"/>
    <col min="2" max="2" width="25.28515625" style="7" customWidth="1"/>
    <col min="3" max="3" width="8.85546875" style="7" customWidth="1"/>
    <col min="4" max="4" width="12" style="7" customWidth="1"/>
    <col min="5" max="5" width="12.7109375" style="10" customWidth="1"/>
    <col min="6" max="6" width="12" style="7" customWidth="1"/>
    <col min="7" max="16384" width="9.140625" style="7"/>
  </cols>
  <sheetData>
    <row r="1" spans="1:6" s="5" customFormat="1" x14ac:dyDescent="0.2">
      <c r="A1" s="4" t="s">
        <v>39</v>
      </c>
      <c r="D1" s="6"/>
      <c r="E1" s="10"/>
    </row>
    <row r="2" spans="1:6" x14ac:dyDescent="0.3">
      <c r="B2" s="7" t="s">
        <v>5</v>
      </c>
      <c r="D2" s="45">
        <f>testImproveFactor</f>
        <v>5</v>
      </c>
    </row>
    <row r="3" spans="1:6" x14ac:dyDescent="0.3">
      <c r="B3" s="7" t="s">
        <v>7</v>
      </c>
      <c r="D3" s="43">
        <f>outageCostHour</f>
        <v>0</v>
      </c>
    </row>
    <row r="4" spans="1:6" x14ac:dyDescent="0.3">
      <c r="B4" s="7" t="s">
        <v>126</v>
      </c>
      <c r="D4" s="47">
        <f>baselineOutageHours</f>
        <v>0</v>
      </c>
    </row>
    <row r="5" spans="1:6" x14ac:dyDescent="0.3">
      <c r="B5" s="7" t="s">
        <v>8</v>
      </c>
      <c r="D5" s="43">
        <f>incidentHour</f>
        <v>10000</v>
      </c>
    </row>
    <row r="6" spans="1:6" x14ac:dyDescent="0.3">
      <c r="B6" s="7" t="s">
        <v>127</v>
      </c>
      <c r="D6" s="47">
        <f>BaselineBugReports</f>
        <v>5</v>
      </c>
    </row>
    <row r="7" spans="1:6" x14ac:dyDescent="0.3">
      <c r="B7" s="7" t="s">
        <v>81</v>
      </c>
      <c r="D7" s="48">
        <f>badFixProbability</f>
        <v>7.0000000000000007E-2</v>
      </c>
    </row>
    <row r="8" spans="1:6" x14ac:dyDescent="0.3">
      <c r="D8"/>
    </row>
    <row r="10" spans="1:6" s="13" customFormat="1" x14ac:dyDescent="0.3">
      <c r="A10" s="8" t="s">
        <v>9</v>
      </c>
      <c r="D10" s="55" t="s">
        <v>36</v>
      </c>
      <c r="E10" s="56" t="s">
        <v>35</v>
      </c>
      <c r="F10" s="54" t="s">
        <v>40</v>
      </c>
    </row>
    <row r="11" spans="1:6" x14ac:dyDescent="0.3">
      <c r="B11" s="59" t="s">
        <v>41</v>
      </c>
      <c r="C11" s="60"/>
      <c r="D11" s="64">
        <f>+D4</f>
        <v>0</v>
      </c>
      <c r="E11" s="65">
        <f>+D11/D2</f>
        <v>0</v>
      </c>
      <c r="F11" s="66">
        <f>+E11-D11</f>
        <v>0</v>
      </c>
    </row>
    <row r="12" spans="1:6" x14ac:dyDescent="0.3">
      <c r="B12" s="59" t="s">
        <v>6</v>
      </c>
      <c r="C12" s="60"/>
      <c r="D12" s="67">
        <f>1-(D11/(365*24))</f>
        <v>1</v>
      </c>
      <c r="E12" s="68">
        <f>1-(E11/(365*24))</f>
        <v>1</v>
      </c>
      <c r="F12" s="69">
        <f>+E12-D12</f>
        <v>0</v>
      </c>
    </row>
    <row r="13" spans="1:6" x14ac:dyDescent="0.3">
      <c r="B13" s="59" t="s">
        <v>86</v>
      </c>
      <c r="C13" s="60"/>
      <c r="D13" s="61">
        <f>+D11*D3</f>
        <v>0</v>
      </c>
      <c r="E13" s="62">
        <f>+E11*D3</f>
        <v>0</v>
      </c>
      <c r="F13" s="63">
        <f>+E13-D13</f>
        <v>0</v>
      </c>
    </row>
    <row r="14" spans="1:6" x14ac:dyDescent="0.3">
      <c r="B14" s="58"/>
      <c r="C14" s="57"/>
      <c r="D14"/>
      <c r="E14"/>
      <c r="F14"/>
    </row>
    <row r="15" spans="1:6" x14ac:dyDescent="0.3">
      <c r="B15" s="5"/>
      <c r="D15" s="49"/>
      <c r="E15" s="50"/>
      <c r="F15" s="51"/>
    </row>
    <row r="16" spans="1:6" ht="15" customHeight="1" x14ac:dyDescent="0.3">
      <c r="A16" s="8" t="s">
        <v>10</v>
      </c>
      <c r="B16" s="5"/>
      <c r="D16" s="49"/>
      <c r="E16" s="50"/>
      <c r="F16" s="51"/>
    </row>
    <row r="17" spans="1:7" x14ac:dyDescent="0.3">
      <c r="B17" s="59" t="s">
        <v>172</v>
      </c>
      <c r="C17" s="60"/>
      <c r="D17" s="105">
        <f>+D6</f>
        <v>5</v>
      </c>
      <c r="E17" s="106">
        <f>+D17/D2</f>
        <v>1</v>
      </c>
      <c r="F17" s="107">
        <f>+E17-D17</f>
        <v>-4</v>
      </c>
    </row>
    <row r="18" spans="1:7" x14ac:dyDescent="0.3">
      <c r="B18" s="59" t="s">
        <v>87</v>
      </c>
      <c r="C18" s="60"/>
      <c r="D18" s="61">
        <f>+D17*D5</f>
        <v>50000</v>
      </c>
      <c r="E18" s="62">
        <f>+D5*E17</f>
        <v>10000</v>
      </c>
      <c r="F18" s="63">
        <f>+E18-D18</f>
        <v>-40000</v>
      </c>
    </row>
    <row r="19" spans="1:7" x14ac:dyDescent="0.3">
      <c r="B19" s="58"/>
      <c r="C19" s="57"/>
      <c r="D19"/>
      <c r="E19"/>
      <c r="F19"/>
    </row>
    <row r="20" spans="1:7" ht="15" customHeight="1" x14ac:dyDescent="0.3">
      <c r="A20" s="8"/>
      <c r="B20" s="5"/>
      <c r="D20" s="52"/>
      <c r="E20" s="39"/>
      <c r="F20" s="53"/>
    </row>
    <row r="21" spans="1:7" ht="15" customHeight="1" x14ac:dyDescent="0.3">
      <c r="A21" s="8" t="s">
        <v>80</v>
      </c>
      <c r="B21" s="5"/>
      <c r="D21" s="52"/>
      <c r="E21" s="39"/>
      <c r="F21" s="53"/>
    </row>
    <row r="22" spans="1:7" x14ac:dyDescent="0.3">
      <c r="B22" s="59" t="s">
        <v>82</v>
      </c>
      <c r="C22" s="60"/>
      <c r="D22" s="105">
        <f>+ROUND(D17*D7,0)</f>
        <v>0</v>
      </c>
      <c r="E22" s="106">
        <f>+ROUND(+D22/10,0)</f>
        <v>0</v>
      </c>
      <c r="F22" s="107">
        <f>+E22-D22</f>
        <v>0</v>
      </c>
    </row>
    <row r="23" spans="1:7" x14ac:dyDescent="0.3">
      <c r="B23" s="59" t="s">
        <v>88</v>
      </c>
      <c r="C23" s="60"/>
      <c r="D23" s="61">
        <f>+D22*D5</f>
        <v>0</v>
      </c>
      <c r="E23" s="62">
        <f>+E22*D5</f>
        <v>0</v>
      </c>
      <c r="F23" s="63">
        <f>+E23-D23</f>
        <v>0</v>
      </c>
    </row>
    <row r="24" spans="1:7" x14ac:dyDescent="0.3">
      <c r="B24" s="58"/>
      <c r="C24" s="57"/>
      <c r="D24"/>
      <c r="E24"/>
      <c r="F24"/>
      <c r="G24"/>
    </row>
    <row r="25" spans="1:7" x14ac:dyDescent="0.3">
      <c r="B25" s="5"/>
      <c r="D25"/>
      <c r="E25" s="42"/>
      <c r="F25" s="28"/>
    </row>
    <row r="26" spans="1:7" ht="17.25" thickBot="1" x14ac:dyDescent="0.35">
      <c r="A26" s="14" t="s">
        <v>213</v>
      </c>
      <c r="B26" s="5"/>
      <c r="D26"/>
      <c r="E26" s="70">
        <f>+E13+E18+E23</f>
        <v>10000</v>
      </c>
      <c r="F26" s="71">
        <f>+F13+F18+F23</f>
        <v>-40000</v>
      </c>
    </row>
    <row r="27" spans="1:7" ht="17.25" thickTop="1" x14ac:dyDescent="0.3">
      <c r="A27" s="14"/>
      <c r="B27" s="5"/>
      <c r="C27" s="28"/>
      <c r="D27"/>
      <c r="E27"/>
      <c r="F27"/>
    </row>
    <row r="28" spans="1:7" x14ac:dyDescent="0.3">
      <c r="B28" s="5"/>
      <c r="D28" s="11"/>
    </row>
    <row r="29" spans="1:7" x14ac:dyDescent="0.3">
      <c r="B29" s="5"/>
      <c r="D29" s="11"/>
    </row>
    <row r="30" spans="1:7" x14ac:dyDescent="0.3">
      <c r="B30" s="5"/>
      <c r="D30" s="11"/>
    </row>
    <row r="31" spans="1:7" x14ac:dyDescent="0.3">
      <c r="B31" s="5"/>
      <c r="D31" s="11"/>
    </row>
    <row r="32" spans="1:7" x14ac:dyDescent="0.3">
      <c r="B32" s="5"/>
      <c r="D32" s="11"/>
    </row>
    <row r="33" spans="2:4" x14ac:dyDescent="0.3">
      <c r="B33" s="5"/>
      <c r="D33" s="11"/>
    </row>
    <row r="34" spans="2:4" x14ac:dyDescent="0.3">
      <c r="B34" s="5"/>
      <c r="D34" s="11"/>
    </row>
    <row r="35" spans="2:4" x14ac:dyDescent="0.3">
      <c r="B35" s="5"/>
      <c r="D35" s="11"/>
    </row>
    <row r="36" spans="2:4" x14ac:dyDescent="0.3">
      <c r="B36" s="5"/>
      <c r="D36" s="11"/>
    </row>
    <row r="37" spans="2:4" x14ac:dyDescent="0.3">
      <c r="B37" s="5"/>
      <c r="D37" s="11"/>
    </row>
    <row r="38" spans="2:4" x14ac:dyDescent="0.3">
      <c r="B38" s="5"/>
      <c r="D38" s="11"/>
    </row>
    <row r="39" spans="2:4" x14ac:dyDescent="0.3">
      <c r="B39" s="5"/>
      <c r="D39" s="11"/>
    </row>
    <row r="40" spans="2:4" x14ac:dyDescent="0.3">
      <c r="B40" s="5"/>
      <c r="D40" s="11"/>
    </row>
    <row r="41" spans="2:4" x14ac:dyDescent="0.3">
      <c r="B41" s="5"/>
      <c r="D41" s="11"/>
    </row>
    <row r="42" spans="2:4" x14ac:dyDescent="0.3">
      <c r="B42" s="5"/>
      <c r="D42" s="11"/>
    </row>
  </sheetData>
  <sheetProtection sheet="1" objects="1" scenarios="1"/>
  <phoneticPr fontId="2" type="noConversion"/>
  <pageMargins left="0.75" right="0.75" top="1" bottom="1" header="0.5" footer="0.5"/>
  <pageSetup orientation="portrait" r:id="rId1"/>
  <headerFooter alignWithMargins="0">
    <oddHeader>&amp;L&amp;"Arial Black,Regular"&amp;12Test Automation ROI Estimate&amp;R&amp;"Arial Black,Regular"&amp;12&amp;A</oddHeader>
    <oddFooter>&amp;LPrepared &amp;D&amp;RPage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46"/>
  <sheetViews>
    <sheetView workbookViewId="0">
      <selection activeCell="A15" sqref="A15"/>
    </sheetView>
  </sheetViews>
  <sheetFormatPr defaultRowHeight="16.5" x14ac:dyDescent="0.3"/>
  <cols>
    <col min="1" max="1" width="4.28515625" style="7" customWidth="1"/>
    <col min="2" max="2" width="10.5703125" style="7" customWidth="1"/>
    <col min="3" max="3" width="26" style="7" customWidth="1"/>
    <col min="4" max="4" width="11.5703125" style="7" customWidth="1"/>
    <col min="5" max="6" width="11.85546875" style="7" customWidth="1"/>
    <col min="7" max="16384" width="9.140625" style="7"/>
  </cols>
  <sheetData>
    <row r="1" spans="1:7" s="8" customFormat="1" x14ac:dyDescent="0.3">
      <c r="A1" s="8" t="s">
        <v>74</v>
      </c>
      <c r="D1" s="9" t="s">
        <v>36</v>
      </c>
      <c r="E1" s="9" t="s">
        <v>35</v>
      </c>
      <c r="F1" s="9" t="s">
        <v>40</v>
      </c>
    </row>
    <row r="2" spans="1:7" x14ac:dyDescent="0.3">
      <c r="B2" s="7" t="s">
        <v>196</v>
      </c>
      <c r="D2" s="139">
        <f>avgDesignHours</f>
        <v>4</v>
      </c>
      <c r="E2" s="139">
        <f>avgDesignHours</f>
        <v>4</v>
      </c>
      <c r="F2" s="139">
        <f>+D2-E2</f>
        <v>0</v>
      </c>
      <c r="G2" s="140"/>
    </row>
    <row r="3" spans="1:7" x14ac:dyDescent="0.3">
      <c r="B3" s="7" t="s">
        <v>197</v>
      </c>
      <c r="D3" s="139">
        <v>0</v>
      </c>
      <c r="E3" s="139">
        <f>avgCodeHours</f>
        <v>7.9</v>
      </c>
      <c r="F3" s="139">
        <f>+D3-E3</f>
        <v>-7.9</v>
      </c>
      <c r="G3" s="140"/>
    </row>
    <row r="4" spans="1:7" x14ac:dyDescent="0.3">
      <c r="B4" s="7" t="s">
        <v>198</v>
      </c>
      <c r="D4" s="139">
        <f>avgManExecHours</f>
        <v>10</v>
      </c>
      <c r="E4" s="139">
        <f>avgAutoExecHours</f>
        <v>0.2</v>
      </c>
      <c r="F4" s="139">
        <f>+D4-E4</f>
        <v>9.8000000000000007</v>
      </c>
      <c r="G4" s="140"/>
    </row>
    <row r="5" spans="1:7" x14ac:dyDescent="0.3">
      <c r="B5" s="7" t="s">
        <v>201</v>
      </c>
      <c r="D5" s="139">
        <f>avgProcChangeHours</f>
        <v>2</v>
      </c>
      <c r="E5" s="139">
        <f>avgObjectChangeHours</f>
        <v>3.95</v>
      </c>
      <c r="F5" s="139">
        <f>+D5-E5</f>
        <v>-1.9500000000000002</v>
      </c>
      <c r="G5" s="140"/>
    </row>
    <row r="6" spans="1:7" x14ac:dyDescent="0.3">
      <c r="A6" s="8" t="s">
        <v>75</v>
      </c>
      <c r="D6" s="140"/>
      <c r="E6" s="140"/>
      <c r="F6" s="140"/>
      <c r="G6" s="140"/>
    </row>
    <row r="7" spans="1:7" x14ac:dyDescent="0.3">
      <c r="B7" s="7" t="s">
        <v>76</v>
      </c>
      <c r="D7" s="141">
        <f>nPlatforms</f>
        <v>20</v>
      </c>
      <c r="E7" s="141">
        <f>nPlatforms</f>
        <v>20</v>
      </c>
      <c r="F7" s="139">
        <f>+D7-E7</f>
        <v>0</v>
      </c>
      <c r="G7" s="140"/>
    </row>
    <row r="8" spans="1:7" x14ac:dyDescent="0.3">
      <c r="B8" s="7" t="s">
        <v>78</v>
      </c>
      <c r="D8" s="141">
        <f>nTestProcs</f>
        <v>450</v>
      </c>
      <c r="E8" s="141">
        <f>nTestProcs</f>
        <v>450</v>
      </c>
      <c r="F8" s="139">
        <f>+D8-E8</f>
        <v>0</v>
      </c>
      <c r="G8" s="140"/>
    </row>
    <row r="9" spans="1:7" x14ac:dyDescent="0.3">
      <c r="A9" s="8" t="s">
        <v>77</v>
      </c>
      <c r="D9" s="140"/>
      <c r="E9" s="140"/>
      <c r="F9" s="140"/>
      <c r="G9" s="140"/>
    </row>
    <row r="10" spans="1:7" x14ac:dyDescent="0.3">
      <c r="A10" s="8"/>
      <c r="B10" s="7" t="s">
        <v>166</v>
      </c>
      <c r="D10" s="142">
        <f>nRelease1Year</f>
        <v>1</v>
      </c>
      <c r="E10" s="142">
        <f>nRelease1Year</f>
        <v>1</v>
      </c>
      <c r="F10" s="142">
        <f>+D10-E10</f>
        <v>0</v>
      </c>
      <c r="G10" s="140"/>
    </row>
    <row r="11" spans="1:7" x14ac:dyDescent="0.3">
      <c r="B11" s="7" t="s">
        <v>152</v>
      </c>
      <c r="D11" s="143">
        <f>testAssetGrowth</f>
        <v>1</v>
      </c>
      <c r="E11" s="143">
        <f>testAssetGrowth</f>
        <v>1</v>
      </c>
      <c r="F11" s="143">
        <f>+D11-E11</f>
        <v>0</v>
      </c>
      <c r="G11" s="140"/>
    </row>
    <row r="12" spans="1:7" x14ac:dyDescent="0.3">
      <c r="B12" s="140" t="s">
        <v>153</v>
      </c>
      <c r="D12" s="143">
        <f>testAssetVolatility</f>
        <v>0.33</v>
      </c>
      <c r="E12" s="143">
        <f>testAssetVolatility</f>
        <v>0.33</v>
      </c>
      <c r="F12" s="143">
        <f>+D12-E12</f>
        <v>0</v>
      </c>
      <c r="G12" s="140"/>
    </row>
    <row r="13" spans="1:7" x14ac:dyDescent="0.3">
      <c r="A13" s="8" t="s">
        <v>203</v>
      </c>
      <c r="B13" s="140"/>
      <c r="D13"/>
      <c r="E13"/>
      <c r="F13"/>
      <c r="G13" s="140"/>
    </row>
    <row r="14" spans="1:7" customFormat="1" ht="15.75" customHeight="1" x14ac:dyDescent="0.3">
      <c r="B14" s="140" t="s">
        <v>166</v>
      </c>
      <c r="D14" s="142">
        <f>nRelease1Year</f>
        <v>1</v>
      </c>
    </row>
    <row r="15" spans="1:7" customFormat="1" x14ac:dyDescent="0.3">
      <c r="B15" s="140" t="s">
        <v>206</v>
      </c>
      <c r="D15" s="139">
        <f>4/nRelease1Year</f>
        <v>4</v>
      </c>
    </row>
    <row r="16" spans="1:7" customFormat="1" x14ac:dyDescent="0.3">
      <c r="B16" s="140" t="s">
        <v>205</v>
      </c>
      <c r="D16" s="139">
        <f>12/nRelease1Year</f>
        <v>12</v>
      </c>
    </row>
    <row r="17" spans="1:7" customFormat="1" x14ac:dyDescent="0.3">
      <c r="B17" s="140" t="s">
        <v>204</v>
      </c>
      <c r="D17" s="142">
        <f>avgManTestDays</f>
        <v>21</v>
      </c>
    </row>
    <row r="18" spans="1:7" x14ac:dyDescent="0.3">
      <c r="D18" s="140"/>
      <c r="E18" s="140"/>
      <c r="F18" s="140"/>
      <c r="G18" s="140"/>
    </row>
    <row r="19" spans="1:7" x14ac:dyDescent="0.3">
      <c r="A19" s="14" t="s">
        <v>72</v>
      </c>
      <c r="D19" s="140"/>
      <c r="E19" s="140"/>
      <c r="F19" s="140"/>
      <c r="G19" s="140"/>
    </row>
    <row r="20" spans="1:7" x14ac:dyDescent="0.3">
      <c r="B20" s="60" t="s">
        <v>150</v>
      </c>
      <c r="C20" s="60"/>
      <c r="D20" s="144"/>
      <c r="E20" s="145">
        <f>avgConvertHours*D8</f>
        <v>1800</v>
      </c>
      <c r="F20" s="146">
        <f>+E20-D20</f>
        <v>1800</v>
      </c>
      <c r="G20" s="140"/>
    </row>
    <row r="21" spans="1:7" x14ac:dyDescent="0.3">
      <c r="B21" s="60" t="s">
        <v>147</v>
      </c>
      <c r="C21" s="60"/>
      <c r="D21" s="144">
        <f>+D4*D7*D8</f>
        <v>90000</v>
      </c>
      <c r="E21" s="145">
        <f>+E4*E7*E8</f>
        <v>1800</v>
      </c>
      <c r="F21" s="146">
        <f>+E21-D21</f>
        <v>-88200</v>
      </c>
      <c r="G21" s="140"/>
    </row>
    <row r="22" spans="1:7" x14ac:dyDescent="0.3">
      <c r="B22" s="60" t="s">
        <v>151</v>
      </c>
      <c r="C22" s="60"/>
      <c r="D22" s="147">
        <f>SUM(D20:D21)</f>
        <v>90000</v>
      </c>
      <c r="E22" s="148">
        <f>SUM(E20:E21)</f>
        <v>3600</v>
      </c>
      <c r="F22" s="149">
        <f>+E22-D22</f>
        <v>-86400</v>
      </c>
      <c r="G22" s="150">
        <f>+F22/D22</f>
        <v>-0.96</v>
      </c>
    </row>
    <row r="23" spans="1:7" x14ac:dyDescent="0.3">
      <c r="B23" s="60" t="s">
        <v>79</v>
      </c>
      <c r="C23" s="60"/>
      <c r="D23" s="151">
        <f>+D22*testerCostHr</f>
        <v>2349000</v>
      </c>
      <c r="E23" s="152">
        <f>+E22*testerCostHr</f>
        <v>93960</v>
      </c>
      <c r="F23" s="153">
        <f>+E23-D23</f>
        <v>-2255040</v>
      </c>
      <c r="G23" s="140"/>
    </row>
    <row r="24" spans="1:7" x14ac:dyDescent="0.3">
      <c r="B24" s="57" t="s">
        <v>207</v>
      </c>
      <c r="C24" s="57"/>
      <c r="D24" s="164"/>
      <c r="E24" s="165"/>
      <c r="F24" s="166">
        <f>+D15*1</f>
        <v>4</v>
      </c>
      <c r="G24" s="140"/>
    </row>
    <row r="25" spans="1:7" x14ac:dyDescent="0.3">
      <c r="D25" s="140"/>
      <c r="E25" s="140"/>
      <c r="F25" s="140"/>
      <c r="G25" s="140"/>
    </row>
    <row r="26" spans="1:7" x14ac:dyDescent="0.3">
      <c r="A26" s="14" t="s">
        <v>169</v>
      </c>
      <c r="D26" s="140"/>
      <c r="E26" s="140"/>
      <c r="F26" s="140"/>
      <c r="G26" s="140"/>
    </row>
    <row r="27" spans="1:7" x14ac:dyDescent="0.3">
      <c r="B27" s="89" t="s">
        <v>133</v>
      </c>
      <c r="C27" s="89"/>
      <c r="D27" s="80">
        <f>+D8*D11</f>
        <v>450</v>
      </c>
      <c r="E27" s="81">
        <f>+D27</f>
        <v>450</v>
      </c>
      <c r="F27" s="146">
        <f>+E27-D27</f>
        <v>0</v>
      </c>
      <c r="G27" s="140"/>
    </row>
    <row r="28" spans="1:7" x14ac:dyDescent="0.3">
      <c r="C28" s="76" t="s">
        <v>145</v>
      </c>
      <c r="D28" s="154">
        <f>+D2*D27</f>
        <v>1800</v>
      </c>
      <c r="E28" s="155">
        <f>+E2*E27</f>
        <v>1800</v>
      </c>
      <c r="F28" s="156">
        <f>+E28-D28</f>
        <v>0</v>
      </c>
      <c r="G28" s="140"/>
    </row>
    <row r="29" spans="1:7" x14ac:dyDescent="0.3">
      <c r="C29" s="76" t="s">
        <v>146</v>
      </c>
      <c r="D29" s="154">
        <f>+D3*D27</f>
        <v>0</v>
      </c>
      <c r="E29" s="155">
        <f>+E3*E27</f>
        <v>3555</v>
      </c>
      <c r="F29" s="156">
        <f>+E29-D29</f>
        <v>3555</v>
      </c>
      <c r="G29" s="140"/>
    </row>
    <row r="30" spans="1:7" ht="17.25" thickBot="1" x14ac:dyDescent="0.35">
      <c r="B30" s="91" t="s">
        <v>154</v>
      </c>
      <c r="C30" s="90"/>
      <c r="D30" s="157">
        <f>SUM(D28:D29)</f>
        <v>1800</v>
      </c>
      <c r="E30" s="158">
        <f>SUM(E28:E29)</f>
        <v>5355</v>
      </c>
      <c r="F30" s="159">
        <f>+E30-D30</f>
        <v>3555</v>
      </c>
      <c r="G30" s="140"/>
    </row>
    <row r="31" spans="1:7" s="87" customFormat="1" ht="14.25" x14ac:dyDescent="0.2"/>
    <row r="32" spans="1:7" x14ac:dyDescent="0.3">
      <c r="B32" s="89" t="s">
        <v>200</v>
      </c>
      <c r="C32" s="89"/>
      <c r="D32" s="80">
        <f>+D8*D12</f>
        <v>148.5</v>
      </c>
      <c r="E32" s="81">
        <f>+E8*E12</f>
        <v>148.5</v>
      </c>
      <c r="F32" s="146">
        <f>+E32-D32</f>
        <v>0</v>
      </c>
      <c r="G32" s="140"/>
    </row>
    <row r="33" spans="1:7" x14ac:dyDescent="0.3">
      <c r="C33" s="76" t="s">
        <v>148</v>
      </c>
      <c r="D33" s="154">
        <f>+D5*D32</f>
        <v>297</v>
      </c>
      <c r="E33" s="155">
        <f>+E5*E32</f>
        <v>586.57500000000005</v>
      </c>
      <c r="F33" s="156">
        <f>+E33-D33</f>
        <v>289.57500000000005</v>
      </c>
      <c r="G33" s="140"/>
    </row>
    <row r="34" spans="1:7" ht="17.25" thickBot="1" x14ac:dyDescent="0.35">
      <c r="B34" s="91" t="s">
        <v>155</v>
      </c>
      <c r="C34" s="90"/>
      <c r="D34" s="157">
        <f>SUM(D33:D33)</f>
        <v>297</v>
      </c>
      <c r="E34" s="158">
        <f>SUM(E33:E33)</f>
        <v>586.57500000000005</v>
      </c>
      <c r="F34" s="159">
        <f>+E34-D34</f>
        <v>289.57500000000005</v>
      </c>
      <c r="G34" s="140"/>
    </row>
    <row r="35" spans="1:7" x14ac:dyDescent="0.3">
      <c r="D35" s="140"/>
      <c r="E35" s="140"/>
      <c r="F35" s="140"/>
      <c r="G35" s="140"/>
    </row>
    <row r="36" spans="1:7" x14ac:dyDescent="0.3">
      <c r="B36" s="89" t="s">
        <v>134</v>
      </c>
      <c r="C36" s="89"/>
      <c r="D36" s="80">
        <f>+(D8*(1-D12))</f>
        <v>301.49999999999994</v>
      </c>
      <c r="E36" s="81">
        <f>+(E8*(1-E12))</f>
        <v>301.49999999999994</v>
      </c>
      <c r="F36" s="146">
        <f>+E36-D36</f>
        <v>0</v>
      </c>
      <c r="G36" s="140"/>
    </row>
    <row r="37" spans="1:7" customFormat="1" ht="17.25" customHeight="1" x14ac:dyDescent="0.2">
      <c r="C37" s="175"/>
      <c r="D37" s="175"/>
      <c r="E37" s="175"/>
      <c r="F37" s="175"/>
    </row>
    <row r="38" spans="1:7" ht="17.25" thickBot="1" x14ac:dyDescent="0.35">
      <c r="B38" s="91" t="s">
        <v>218</v>
      </c>
      <c r="C38" s="173"/>
      <c r="D38" s="176">
        <f>+D27+D32+D36</f>
        <v>900</v>
      </c>
      <c r="E38" s="177">
        <f>+E27+E32+E36</f>
        <v>900</v>
      </c>
      <c r="F38" s="172">
        <f>+E38-D38</f>
        <v>0</v>
      </c>
      <c r="G38" s="140"/>
    </row>
    <row r="39" spans="1:7" x14ac:dyDescent="0.3">
      <c r="B39" s="169"/>
      <c r="C39" s="169"/>
      <c r="D39" s="170"/>
      <c r="E39" s="170"/>
      <c r="F39" s="171"/>
      <c r="G39" s="140"/>
    </row>
    <row r="40" spans="1:7" ht="17.25" thickBot="1" x14ac:dyDescent="0.35">
      <c r="B40" s="91" t="s">
        <v>219</v>
      </c>
      <c r="C40" s="173"/>
      <c r="D40" s="174">
        <f>+D38*D4*D7</f>
        <v>180000</v>
      </c>
      <c r="E40" s="177">
        <f>+E38*E4*D7</f>
        <v>3600</v>
      </c>
      <c r="F40" s="172">
        <f>+E40-D40</f>
        <v>-176400</v>
      </c>
      <c r="G40" s="140"/>
    </row>
    <row r="41" spans="1:7" x14ac:dyDescent="0.3">
      <c r="D41" s="140"/>
      <c r="E41" s="140"/>
      <c r="F41" s="140"/>
      <c r="G41" s="140"/>
    </row>
    <row r="42" spans="1:7" x14ac:dyDescent="0.3">
      <c r="B42" s="7" t="s">
        <v>149</v>
      </c>
      <c r="D42" s="147">
        <f>+D30+D34+D40</f>
        <v>182097</v>
      </c>
      <c r="E42" s="148">
        <f>+E30+E34+E40</f>
        <v>9541.5750000000007</v>
      </c>
      <c r="F42" s="149">
        <f>+F30+F34+F40</f>
        <v>-172555.42499999999</v>
      </c>
      <c r="G42" s="150">
        <f>+F42/D42</f>
        <v>-0.94760169030791275</v>
      </c>
    </row>
    <row r="43" spans="1:7" ht="17.25" thickBot="1" x14ac:dyDescent="0.35">
      <c r="B43" s="7" t="s">
        <v>118</v>
      </c>
      <c r="D43" s="160">
        <f>+D42*testerCostHr</f>
        <v>4752731.7</v>
      </c>
      <c r="E43" s="161">
        <f>+E42*testerCostHr</f>
        <v>249035.10750000004</v>
      </c>
      <c r="F43" s="162">
        <f>+E43-D43</f>
        <v>-4503696.5925000003</v>
      </c>
      <c r="G43" s="140"/>
    </row>
    <row r="44" spans="1:7" ht="17.25" thickTop="1" x14ac:dyDescent="0.3">
      <c r="D44" s="140"/>
      <c r="E44" s="140"/>
      <c r="F44" s="140"/>
      <c r="G44" s="140"/>
    </row>
    <row r="45" spans="1:7" ht="17.25" thickBot="1" x14ac:dyDescent="0.35">
      <c r="A45" s="14" t="s">
        <v>165</v>
      </c>
      <c r="D45" s="140"/>
      <c r="E45" s="140"/>
      <c r="F45" s="163">
        <f>+F43*nRelease1Year</f>
        <v>-4503696.5925000003</v>
      </c>
      <c r="G45" s="140"/>
    </row>
    <row r="46" spans="1:7" ht="17.25" thickTop="1" x14ac:dyDescent="0.3"/>
  </sheetData>
  <sheetProtection sheet="1" objects="1" scenarios="1"/>
  <phoneticPr fontId="2" type="noConversion"/>
  <pageMargins left="0.75" right="0.75" top="1" bottom="1" header="0.5" footer="0.5"/>
  <pageSetup scale="90" orientation="portrait" r:id="rId1"/>
  <headerFooter alignWithMargins="0">
    <oddHeader>&amp;L&amp;"Arial Black,Regular"&amp;12Test Automation ROI Estimate&amp;R&amp;"Arial Black,Regular"&amp;12&amp;A</oddHeader>
    <oddFooter>&amp;LPrepared &amp;D&amp;RPage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30"/>
  <sheetViews>
    <sheetView workbookViewId="0">
      <selection activeCell="A15" sqref="A15"/>
    </sheetView>
  </sheetViews>
  <sheetFormatPr defaultRowHeight="16.5" x14ac:dyDescent="0.3"/>
  <cols>
    <col min="1" max="1" width="3" style="7" customWidth="1"/>
    <col min="2" max="2" width="31.140625" style="7" customWidth="1"/>
    <col min="3" max="3" width="12.28515625" style="7" customWidth="1"/>
    <col min="4" max="4" width="11.140625" style="7" customWidth="1"/>
    <col min="5" max="5" width="11.7109375" style="10" customWidth="1"/>
    <col min="6" max="6" width="12.42578125" style="7" customWidth="1"/>
    <col min="7" max="16384" width="9.140625" style="7"/>
  </cols>
  <sheetData>
    <row r="1" spans="1:6" x14ac:dyDescent="0.3">
      <c r="A1" s="8" t="s">
        <v>32</v>
      </c>
    </row>
    <row r="2" spans="1:6" ht="17.25" customHeight="1" x14ac:dyDescent="0.3">
      <c r="B2" s="10" t="s">
        <v>37</v>
      </c>
      <c r="C2" s="43">
        <f>totMarket</f>
        <v>100000000</v>
      </c>
    </row>
    <row r="3" spans="1:6" x14ac:dyDescent="0.3">
      <c r="B3" s="10" t="s">
        <v>46</v>
      </c>
      <c r="C3" s="44">
        <f>maxShare</f>
        <v>0.3</v>
      </c>
    </row>
    <row r="4" spans="1:6" x14ac:dyDescent="0.3">
      <c r="B4" s="10" t="s">
        <v>45</v>
      </c>
      <c r="C4" s="45">
        <f>nRelease1Year</f>
        <v>1</v>
      </c>
    </row>
    <row r="5" spans="1:6" s="13" customFormat="1" x14ac:dyDescent="0.3">
      <c r="B5" s="10" t="s">
        <v>90</v>
      </c>
      <c r="C5" s="45">
        <f>avgManTestDays</f>
        <v>21</v>
      </c>
      <c r="E5" s="12"/>
    </row>
    <row r="6" spans="1:6" x14ac:dyDescent="0.3">
      <c r="B6" s="10" t="s">
        <v>11</v>
      </c>
      <c r="C6" s="43">
        <f>overheadDay</f>
        <v>50000</v>
      </c>
      <c r="D6" s="11"/>
    </row>
    <row r="7" spans="1:6" x14ac:dyDescent="0.3">
      <c r="B7" s="7" t="s">
        <v>91</v>
      </c>
      <c r="C7" s="46">
        <f>+C2*C3</f>
        <v>30000000</v>
      </c>
      <c r="D7" s="11"/>
    </row>
    <row r="8" spans="1:6" x14ac:dyDescent="0.3">
      <c r="B8" s="7" t="s">
        <v>170</v>
      </c>
      <c r="C8" s="46">
        <f>+C7/(365/C4)</f>
        <v>82191.780821917811</v>
      </c>
      <c r="D8" s="11"/>
    </row>
    <row r="9" spans="1:6" x14ac:dyDescent="0.3">
      <c r="D9" s="11"/>
    </row>
    <row r="11" spans="1:6" x14ac:dyDescent="0.3">
      <c r="A11" s="8" t="s">
        <v>129</v>
      </c>
      <c r="D11" s="55" t="s">
        <v>36</v>
      </c>
      <c r="E11" s="168" t="s">
        <v>73</v>
      </c>
      <c r="F11" s="54" t="s">
        <v>40</v>
      </c>
    </row>
    <row r="12" spans="1:6" x14ac:dyDescent="0.3">
      <c r="A12" s="8"/>
      <c r="D12" s="179"/>
      <c r="E12" s="179"/>
      <c r="F12" s="179"/>
    </row>
    <row r="13" spans="1:6" x14ac:dyDescent="0.3">
      <c r="A13" s="14" t="s">
        <v>130</v>
      </c>
      <c r="D13" s="179"/>
      <c r="E13" s="179"/>
      <c r="F13" s="179"/>
    </row>
    <row r="14" spans="1:6" x14ac:dyDescent="0.3">
      <c r="A14" s="14"/>
      <c r="B14" s="60" t="s">
        <v>220</v>
      </c>
      <c r="C14" s="60"/>
      <c r="D14" s="180"/>
      <c r="E14" s="181">
        <f>1+(4/nRelease1Year)</f>
        <v>5</v>
      </c>
      <c r="F14" s="182"/>
    </row>
    <row r="15" spans="1:6" x14ac:dyDescent="0.3">
      <c r="A15" s="14"/>
      <c r="B15" s="60" t="s">
        <v>121</v>
      </c>
      <c r="C15" s="60"/>
      <c r="D15" s="72"/>
      <c r="E15" s="178">
        <f>effectInitialProductivityPercent</f>
        <v>-0.96</v>
      </c>
      <c r="F15" s="74"/>
    </row>
    <row r="16" spans="1:6" x14ac:dyDescent="0.3">
      <c r="A16" s="14"/>
      <c r="B16" s="60" t="s">
        <v>99</v>
      </c>
      <c r="C16" s="60"/>
      <c r="D16" s="72">
        <f>+C5</f>
        <v>21</v>
      </c>
      <c r="E16" s="73">
        <f>+ROUND(D16*(1+effectInitialProductivityPercent),0)</f>
        <v>1</v>
      </c>
      <c r="F16" s="74">
        <f>+E16-D16</f>
        <v>-20</v>
      </c>
    </row>
    <row r="17" spans="1:6" x14ac:dyDescent="0.3">
      <c r="B17" s="75" t="s">
        <v>120</v>
      </c>
      <c r="C17" s="76"/>
      <c r="D17" s="77"/>
      <c r="E17" s="78"/>
      <c r="F17" s="79">
        <f>-C8*F16</f>
        <v>1643835.6164383562</v>
      </c>
    </row>
    <row r="18" spans="1:6" x14ac:dyDescent="0.3">
      <c r="B18" s="5"/>
      <c r="D18" s="28"/>
      <c r="E18" s="42"/>
      <c r="F18" s="29"/>
    </row>
    <row r="19" spans="1:6" x14ac:dyDescent="0.3">
      <c r="A19" s="14" t="s">
        <v>131</v>
      </c>
      <c r="B19" s="5"/>
      <c r="D19" s="28"/>
      <c r="E19" s="42"/>
      <c r="F19" s="28"/>
    </row>
    <row r="20" spans="1:6" x14ac:dyDescent="0.3">
      <c r="A20" s="14"/>
      <c r="B20" s="60" t="s">
        <v>220</v>
      </c>
      <c r="C20" s="60"/>
      <c r="D20" s="180"/>
      <c r="E20" s="181">
        <f>+E14+nQtrRel</f>
        <v>9</v>
      </c>
      <c r="F20" s="182"/>
    </row>
    <row r="21" spans="1:6" x14ac:dyDescent="0.3">
      <c r="A21" s="14"/>
      <c r="B21" s="60" t="s">
        <v>122</v>
      </c>
      <c r="C21" s="60"/>
      <c r="D21" s="72"/>
      <c r="E21" s="178">
        <f>effectRecurProductivityPercent</f>
        <v>-0.94760169030791275</v>
      </c>
      <c r="F21" s="74"/>
    </row>
    <row r="22" spans="1:6" x14ac:dyDescent="0.3">
      <c r="A22" s="14"/>
      <c r="B22" s="60" t="s">
        <v>119</v>
      </c>
      <c r="C22" s="60"/>
      <c r="D22" s="72">
        <f>+C5</f>
        <v>21</v>
      </c>
      <c r="E22" s="73">
        <f>+ROUND(D22*(1+effectRecurProductivityPercent),0)</f>
        <v>1</v>
      </c>
      <c r="F22" s="74">
        <f>+E22-D22</f>
        <v>-20</v>
      </c>
    </row>
    <row r="23" spans="1:6" x14ac:dyDescent="0.3">
      <c r="B23" s="75" t="s">
        <v>171</v>
      </c>
      <c r="C23" s="76"/>
      <c r="D23" s="77"/>
      <c r="E23" s="78"/>
      <c r="F23" s="79">
        <f>-C8*F22</f>
        <v>1643835.6164383562</v>
      </c>
    </row>
    <row r="24" spans="1:6" x14ac:dyDescent="0.3">
      <c r="B24" s="5"/>
      <c r="D24" s="28"/>
      <c r="E24" s="42"/>
      <c r="F24" s="28"/>
    </row>
    <row r="25" spans="1:6" x14ac:dyDescent="0.3">
      <c r="A25" s="8" t="s">
        <v>208</v>
      </c>
      <c r="B25" s="5"/>
      <c r="D25" s="28"/>
      <c r="E25" s="42"/>
      <c r="F25" s="28"/>
    </row>
    <row r="26" spans="1:6" x14ac:dyDescent="0.3">
      <c r="B26" s="5" t="s">
        <v>209</v>
      </c>
      <c r="D26"/>
      <c r="E26"/>
      <c r="F26" s="79">
        <f>+F17</f>
        <v>1643835.6164383562</v>
      </c>
    </row>
    <row r="27" spans="1:6" x14ac:dyDescent="0.3">
      <c r="B27" s="5" t="s">
        <v>210</v>
      </c>
      <c r="D27"/>
      <c r="E27"/>
      <c r="F27" s="79">
        <f>+F23</f>
        <v>1643835.6164383562</v>
      </c>
    </row>
    <row r="28" spans="1:6" x14ac:dyDescent="0.3">
      <c r="B28" s="5"/>
      <c r="D28"/>
      <c r="E28"/>
      <c r="F28"/>
    </row>
    <row r="29" spans="1:6" x14ac:dyDescent="0.3">
      <c r="B29" s="5"/>
    </row>
    <row r="30" spans="1:6" x14ac:dyDescent="0.3">
      <c r="B30" s="5"/>
      <c r="C30" s="28"/>
    </row>
  </sheetData>
  <sheetProtection sheet="1" objects="1" scenarios="1"/>
  <phoneticPr fontId="2" type="noConversion"/>
  <pageMargins left="0.75" right="0.75" top="1" bottom="1" header="0.5" footer="0.5"/>
  <pageSetup orientation="portrait" r:id="rId1"/>
  <headerFooter alignWithMargins="0">
    <oddHeader>&amp;L&amp;"Arial Black,Regular"&amp;12Test Automation ROI Estimate&amp;R&amp;"Arial Black,Regular"&amp;12&amp;A</oddHeader>
    <oddFooter>&amp;LPrepared &amp;D&amp;RPage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5"/>
  </sheetPr>
  <dimension ref="A1:A11"/>
  <sheetViews>
    <sheetView workbookViewId="0">
      <selection activeCell="A15" sqref="A15"/>
    </sheetView>
  </sheetViews>
  <sheetFormatPr defaultRowHeight="12.75" x14ac:dyDescent="0.2"/>
  <cols>
    <col min="1" max="1" width="73.7109375" style="187" customWidth="1"/>
    <col min="2" max="16384" width="9.140625" style="188"/>
  </cols>
  <sheetData>
    <row r="1" spans="1:1" x14ac:dyDescent="0.2">
      <c r="A1" s="189"/>
    </row>
    <row r="2" spans="1:1" ht="25.5" x14ac:dyDescent="0.2">
      <c r="A2" s="189" t="s">
        <v>239</v>
      </c>
    </row>
    <row r="3" spans="1:1" x14ac:dyDescent="0.2">
      <c r="A3" s="189"/>
    </row>
    <row r="4" spans="1:1" ht="66.75" customHeight="1" x14ac:dyDescent="0.2">
      <c r="A4" s="189" t="s">
        <v>233</v>
      </c>
    </row>
    <row r="5" spans="1:1" ht="12.75" customHeight="1" x14ac:dyDescent="0.2">
      <c r="A5" s="189"/>
    </row>
    <row r="6" spans="1:1" ht="25.5" x14ac:dyDescent="0.2">
      <c r="A6" s="189" t="s">
        <v>234</v>
      </c>
    </row>
    <row r="7" spans="1:1" x14ac:dyDescent="0.2">
      <c r="A7" s="189"/>
    </row>
    <row r="8" spans="1:1" ht="51" x14ac:dyDescent="0.2">
      <c r="A8" s="189" t="s">
        <v>232</v>
      </c>
    </row>
    <row r="9" spans="1:1" x14ac:dyDescent="0.2">
      <c r="A9" s="189"/>
    </row>
    <row r="10" spans="1:1" x14ac:dyDescent="0.2">
      <c r="A10" s="189" t="s">
        <v>228</v>
      </c>
    </row>
    <row r="11" spans="1:1" x14ac:dyDescent="0.2">
      <c r="A11" s="190" t="s">
        <v>229</v>
      </c>
    </row>
  </sheetData>
  <phoneticPr fontId="2" type="noConversion"/>
  <hyperlinks>
    <hyperlink ref="A11" r:id="rId1" xr:uid="{00000000-0004-0000-0800-000000000000}"/>
  </hyperlinks>
  <pageMargins left="0.75" right="0.75" top="1" bottom="1" header="0.5" footer="0.5"/>
  <pageSetup orientation="portrait" r:id="rId2"/>
  <headerFooter alignWithMargins="0">
    <oddHeader>&amp;L&amp;"Arial Black,Regular"Test Automation ROI Estimate&amp;R&amp;"Arial Black,Regular"&amp;A</oddHeader>
    <oddFooter>&amp;L&amp;Z&amp;F&amp;R&amp;D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10</vt:i4>
      </vt:variant>
      <vt:variant>
        <vt:lpstr>Named Ranges</vt:lpstr>
      </vt:variant>
      <vt:variant>
        <vt:i4>70</vt:i4>
      </vt:variant>
    </vt:vector>
  </HeadingPairs>
  <TitlesOfParts>
    <vt:vector size="80" baseType="lpstr">
      <vt:lpstr>How to Use this Calculator</vt:lpstr>
      <vt:lpstr>Parameters</vt:lpstr>
      <vt:lpstr>Tooling Costs</vt:lpstr>
      <vt:lpstr>Total ROI</vt:lpstr>
      <vt:lpstr>Quarterly ROI</vt:lpstr>
      <vt:lpstr>Effectiveness</vt:lpstr>
      <vt:lpstr>Productivity</vt:lpstr>
      <vt:lpstr>Cycle Time</vt:lpstr>
      <vt:lpstr>Notices</vt:lpstr>
      <vt:lpstr>Release Notes</vt:lpstr>
      <vt:lpstr>avgAutoExecHours</vt:lpstr>
      <vt:lpstr>avgCodeHours</vt:lpstr>
      <vt:lpstr>avgConvertHours</vt:lpstr>
      <vt:lpstr>avgDesignHours</vt:lpstr>
      <vt:lpstr>avgMaintHours</vt:lpstr>
      <vt:lpstr>avgManExecHours</vt:lpstr>
      <vt:lpstr>avgManTestDays</vt:lpstr>
      <vt:lpstr>avgObjectChangeHours</vt:lpstr>
      <vt:lpstr>avgProcChangeHours</vt:lpstr>
      <vt:lpstr>badFixEffect</vt:lpstr>
      <vt:lpstr>badFixProbability</vt:lpstr>
      <vt:lpstr>BaselineBugReports</vt:lpstr>
      <vt:lpstr>baselineOutageHours</vt:lpstr>
      <vt:lpstr>breakEvenMonth</vt:lpstr>
      <vt:lpstr>costCapital</vt:lpstr>
      <vt:lpstr>costInitalOther2</vt:lpstr>
      <vt:lpstr>costInitialOther</vt:lpstr>
      <vt:lpstr>costInitialOther2</vt:lpstr>
      <vt:lpstr>costRecuringOther</vt:lpstr>
      <vt:lpstr>effectBadfix</vt:lpstr>
      <vt:lpstr>effectIncident</vt:lpstr>
      <vt:lpstr>effectInitialCycleDollars</vt:lpstr>
      <vt:lpstr>effectInitialCycleStartingQtr</vt:lpstr>
      <vt:lpstr>effectInitialProductivityDollars</vt:lpstr>
      <vt:lpstr>effectInitialProductivityPercent</vt:lpstr>
      <vt:lpstr>effectOutage</vt:lpstr>
      <vt:lpstr>effectRecurProductivityDollars</vt:lpstr>
      <vt:lpstr>effectRecurProductivityPercent</vt:lpstr>
      <vt:lpstr>effectRecurringCycleDollars</vt:lpstr>
      <vt:lpstr>effectRecurringCycleStartingQtr</vt:lpstr>
      <vt:lpstr>incidentEffect</vt:lpstr>
      <vt:lpstr>incidentHour</vt:lpstr>
      <vt:lpstr>maxShare</vt:lpstr>
      <vt:lpstr>nMntRel</vt:lpstr>
      <vt:lpstr>nPlatforms</vt:lpstr>
      <vt:lpstr>npv</vt:lpstr>
      <vt:lpstr>nQtrRel</vt:lpstr>
      <vt:lpstr>nRelease1Qrt</vt:lpstr>
      <vt:lpstr>nRelease1Year</vt:lpstr>
      <vt:lpstr>nTesters</vt:lpstr>
      <vt:lpstr>nTestProcs</vt:lpstr>
      <vt:lpstr>outageCostHour</vt:lpstr>
      <vt:lpstr>outageEffect</vt:lpstr>
      <vt:lpstr>outageHour</vt:lpstr>
      <vt:lpstr>overheadDay</vt:lpstr>
      <vt:lpstr>'Quarterly ROI'!Print_Titles</vt:lpstr>
      <vt:lpstr>testAssetGrowth</vt:lpstr>
      <vt:lpstr>testAssetVolatility</vt:lpstr>
      <vt:lpstr>testerCostHr</vt:lpstr>
      <vt:lpstr>testImproveFactor</vt:lpstr>
      <vt:lpstr>testObjectVolatility</vt:lpstr>
      <vt:lpstr>timeFrame</vt:lpstr>
      <vt:lpstr>toolAnnMaint</vt:lpstr>
      <vt:lpstr>toolEquipment</vt:lpstr>
      <vt:lpstr>toolLicense</vt:lpstr>
      <vt:lpstr>toolTraining</vt:lpstr>
      <vt:lpstr>totalCosts</vt:lpstr>
      <vt:lpstr>totBenefits</vt:lpstr>
      <vt:lpstr>totInitAutoTestHours</vt:lpstr>
      <vt:lpstr>totInitManTestHours</vt:lpstr>
      <vt:lpstr>totMarket</vt:lpstr>
      <vt:lpstr>totNetCash</vt:lpstr>
      <vt:lpstr>totRecurAutoTestHours</vt:lpstr>
      <vt:lpstr>totRecurManTestHours</vt:lpstr>
      <vt:lpstr>totROI</vt:lpstr>
      <vt:lpstr>vendorBaseLicenseQty</vt:lpstr>
      <vt:lpstr>vendorName</vt:lpstr>
      <vt:lpstr>vendorProduct</vt:lpstr>
      <vt:lpstr>vendorSeatQty</vt:lpstr>
      <vt:lpstr>vendorVUQty</vt:lpstr>
    </vt:vector>
  </TitlesOfParts>
  <Company>mVerify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Automation ROI Calculator</dc:title>
  <dc:subject>Test Automation ROI Calculator</dc:subject>
  <dc:creator>mVerify Corporation</dc:creator>
  <dc:description>Copyright 2005 mVerify Corporation.  All Rights Reserved. _x000d_
_x000d_
This program is free software: you can redistribute it and/or modify it under the terms of the GNU General Public License as published by the Free Software Foundation, either version 3 of the License, or (at your option) any later version._x000d_
_x000d_
This program is distributed in the hope that it will be useful, but WITHOUT ANY WARRANTY; without even the implied warranty of  MERCHANTABILITY or FITNESS FOR A PARTICULAR PURPOSE.  See the_x000d_
GNU General Public License for more details._x000d_
_x000d_
You should have received a copy of the GNU General Public License  along with this program.  If not, see http://www.gnu.org/licenses/</dc:description>
  <cp:lastModifiedBy>Andrii Rudnik</cp:lastModifiedBy>
  <cp:lastPrinted>2009-06-03T20:39:28Z</cp:lastPrinted>
  <dcterms:created xsi:type="dcterms:W3CDTF">2005-06-09T12:55:29Z</dcterms:created>
  <dcterms:modified xsi:type="dcterms:W3CDTF">2022-09-14T12:03:04Z</dcterms:modified>
</cp:coreProperties>
</file>