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Ангар\"/>
    </mc:Choice>
  </mc:AlternateContent>
  <xr:revisionPtr revIDLastSave="0" documentId="13_ncr:1_{05BFA4EB-525A-4393-AFB6-421ACD2EDF84}" xr6:coauthVersionLast="47" xr6:coauthVersionMax="47" xr10:uidLastSave="{00000000-0000-0000-0000-000000000000}"/>
  <bookViews>
    <workbookView xWindow="-120" yWindow="-120" windowWidth="29040" windowHeight="15720" activeTab="1" xr2:uid="{B7E0604A-5612-4EB6-92A2-E94180CE9D84}"/>
  </bookViews>
  <sheets>
    <sheet name="Расчет стоимости" sheetId="1" r:id="rId1"/>
    <sheet name="Расчет стоимости корректир." sheetId="7" r:id="rId2"/>
    <sheet name="Сендвич-панели" sheetId="2" r:id="rId3"/>
    <sheet name="Плита" sheetId="4" r:id="rId4"/>
    <sheet name="Плита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7" l="1"/>
  <c r="I19" i="7"/>
  <c r="C19" i="7"/>
  <c r="G19" i="7" s="1"/>
  <c r="I18" i="7"/>
  <c r="C18" i="7"/>
  <c r="G18" i="7" s="1"/>
  <c r="I16" i="7"/>
  <c r="J16" i="7" s="1"/>
  <c r="G16" i="7"/>
  <c r="C13" i="7"/>
  <c r="G13" i="7" s="1"/>
  <c r="D9" i="7"/>
  <c r="C9" i="7"/>
  <c r="E9" i="7" s="1"/>
  <c r="G9" i="7" s="1"/>
  <c r="D8" i="7"/>
  <c r="C8" i="7"/>
  <c r="D7" i="7"/>
  <c r="C7" i="7"/>
  <c r="E7" i="7" s="1"/>
  <c r="G7" i="7" s="1"/>
  <c r="D6" i="7"/>
  <c r="C6" i="7"/>
  <c r="D5" i="7"/>
  <c r="C5" i="7"/>
  <c r="D4" i="7"/>
  <c r="C4" i="7"/>
  <c r="E4" i="7" s="1"/>
  <c r="G26" i="6"/>
  <c r="G24" i="6"/>
  <c r="J24" i="6" s="1"/>
  <c r="D21" i="6"/>
  <c r="C21" i="6"/>
  <c r="E21" i="6" s="1"/>
  <c r="G21" i="6" s="1"/>
  <c r="D20" i="6"/>
  <c r="C20" i="6"/>
  <c r="E20" i="6" s="1"/>
  <c r="G20" i="6" s="1"/>
  <c r="I24" i="6"/>
  <c r="G22" i="6"/>
  <c r="G19" i="6"/>
  <c r="I18" i="6"/>
  <c r="G17" i="6"/>
  <c r="G16" i="6" s="1"/>
  <c r="I16" i="6"/>
  <c r="G13" i="6"/>
  <c r="G12" i="6" s="1"/>
  <c r="I12" i="6"/>
  <c r="G11" i="6"/>
  <c r="E10" i="6"/>
  <c r="G10" i="6" s="1"/>
  <c r="G9" i="6" s="1"/>
  <c r="I9" i="6"/>
  <c r="G8" i="6"/>
  <c r="E7" i="6"/>
  <c r="G7" i="6" s="1"/>
  <c r="I6" i="6"/>
  <c r="G5" i="6"/>
  <c r="E4" i="6"/>
  <c r="G4" i="6" s="1"/>
  <c r="I3" i="6"/>
  <c r="J50" i="4"/>
  <c r="J49" i="4"/>
  <c r="J48" i="4"/>
  <c r="J47" i="4"/>
  <c r="I47" i="4"/>
  <c r="G47" i="4"/>
  <c r="I44" i="4"/>
  <c r="J44" i="4" s="1"/>
  <c r="I40" i="4"/>
  <c r="I38" i="4"/>
  <c r="I34" i="4"/>
  <c r="G35" i="4"/>
  <c r="G34" i="4" s="1"/>
  <c r="I31" i="4"/>
  <c r="I28" i="4"/>
  <c r="G28" i="4"/>
  <c r="J28" i="4" s="1"/>
  <c r="I25" i="4"/>
  <c r="I45" i="4" s="1"/>
  <c r="G25" i="4"/>
  <c r="G41" i="4"/>
  <c r="G40" i="4" s="1"/>
  <c r="J40" i="4" s="1"/>
  <c r="G42" i="4"/>
  <c r="G39" i="4"/>
  <c r="G38" i="4" s="1"/>
  <c r="E32" i="4"/>
  <c r="G32" i="4" s="1"/>
  <c r="G33" i="4"/>
  <c r="G30" i="4"/>
  <c r="E29" i="4"/>
  <c r="G29" i="4" s="1"/>
  <c r="G27" i="4"/>
  <c r="E26" i="4"/>
  <c r="G26" i="4" s="1"/>
  <c r="I14" i="4"/>
  <c r="I10" i="4"/>
  <c r="I9" i="4"/>
  <c r="I8" i="4"/>
  <c r="I7" i="4"/>
  <c r="G7" i="4"/>
  <c r="K18" i="4"/>
  <c r="K17" i="4"/>
  <c r="G13" i="4"/>
  <c r="G8" i="4"/>
  <c r="C6" i="4"/>
  <c r="D6" i="4"/>
  <c r="D5" i="4"/>
  <c r="C5" i="4"/>
  <c r="G12" i="4"/>
  <c r="G11" i="4"/>
  <c r="E9" i="4"/>
  <c r="G9" i="4" s="1"/>
  <c r="E10" i="4"/>
  <c r="G10" i="4" s="1"/>
  <c r="I40" i="1"/>
  <c r="I39" i="1"/>
  <c r="I37" i="1"/>
  <c r="J37" i="1" s="1"/>
  <c r="G29" i="1"/>
  <c r="G36" i="1"/>
  <c r="I26" i="1"/>
  <c r="J26" i="1" s="1"/>
  <c r="G26" i="1"/>
  <c r="C23" i="1"/>
  <c r="G23" i="1" s="1"/>
  <c r="C40" i="1"/>
  <c r="G40" i="1" s="1"/>
  <c r="C39" i="1"/>
  <c r="G39" i="1" s="1"/>
  <c r="G32" i="1"/>
  <c r="E31" i="1"/>
  <c r="G31" i="1" s="1"/>
  <c r="E30" i="1"/>
  <c r="G30" i="1" s="1"/>
  <c r="G33" i="1"/>
  <c r="G9" i="1"/>
  <c r="D28" i="1"/>
  <c r="D19" i="1"/>
  <c r="D18" i="1"/>
  <c r="D17" i="1"/>
  <c r="D16" i="1"/>
  <c r="D15" i="1"/>
  <c r="D14" i="1"/>
  <c r="D7" i="1"/>
  <c r="D6" i="1"/>
  <c r="D5" i="1"/>
  <c r="C29" i="1"/>
  <c r="C8" i="1"/>
  <c r="G8" i="1" s="1"/>
  <c r="C28" i="1"/>
  <c r="E28" i="1" s="1"/>
  <c r="G28" i="1" s="1"/>
  <c r="C19" i="1"/>
  <c r="E19" i="1" s="1"/>
  <c r="G19" i="1" s="1"/>
  <c r="C18" i="1"/>
  <c r="C17" i="1"/>
  <c r="E17" i="1" s="1"/>
  <c r="G17" i="1" s="1"/>
  <c r="C16" i="1"/>
  <c r="E16" i="1" s="1"/>
  <c r="G16" i="1" s="1"/>
  <c r="C15" i="1"/>
  <c r="E15" i="1" s="1"/>
  <c r="G15" i="1" s="1"/>
  <c r="C14" i="1"/>
  <c r="E14" i="1" s="1"/>
  <c r="G14" i="1" s="1"/>
  <c r="C7" i="1"/>
  <c r="E7" i="1" s="1"/>
  <c r="G7" i="1" s="1"/>
  <c r="C6" i="1"/>
  <c r="E6" i="1" s="1"/>
  <c r="G6" i="1" s="1"/>
  <c r="C5" i="1"/>
  <c r="E5" i="1" s="1"/>
  <c r="G5" i="1" s="1"/>
  <c r="K16" i="7" l="1"/>
  <c r="E6" i="7"/>
  <c r="G6" i="7" s="1"/>
  <c r="C25" i="7"/>
  <c r="I25" i="7" s="1"/>
  <c r="J25" i="7" s="1"/>
  <c r="E8" i="7"/>
  <c r="G8" i="7" s="1"/>
  <c r="E5" i="7"/>
  <c r="G5" i="7" s="1"/>
  <c r="G4" i="7"/>
  <c r="G20" i="7"/>
  <c r="G25" i="7" s="1"/>
  <c r="G18" i="6"/>
  <c r="J18" i="6" s="1"/>
  <c r="J12" i="6"/>
  <c r="G6" i="6"/>
  <c r="J6" i="6" s="1"/>
  <c r="I26" i="6"/>
  <c r="I28" i="6" s="1"/>
  <c r="J16" i="6"/>
  <c r="J9" i="6"/>
  <c r="G3" i="6"/>
  <c r="J3" i="6" s="1"/>
  <c r="G31" i="4"/>
  <c r="J31" i="4" s="1"/>
  <c r="J38" i="4"/>
  <c r="G45" i="4"/>
  <c r="G46" i="4" s="1"/>
  <c r="J25" i="4"/>
  <c r="J34" i="4"/>
  <c r="I16" i="4"/>
  <c r="J16" i="4" s="1"/>
  <c r="E6" i="4"/>
  <c r="G6" i="4" s="1"/>
  <c r="E5" i="4"/>
  <c r="G5" i="4" s="1"/>
  <c r="E18" i="1"/>
  <c r="G18" i="1" s="1"/>
  <c r="G20" i="1" s="1"/>
  <c r="G37" i="1"/>
  <c r="C46" i="1"/>
  <c r="I46" i="1" s="1"/>
  <c r="J46" i="1" s="1"/>
  <c r="K37" i="1"/>
  <c r="K26" i="1"/>
  <c r="C12" i="1"/>
  <c r="I12" i="1" s="1"/>
  <c r="J12" i="1" s="1"/>
  <c r="G41" i="1"/>
  <c r="G46" i="1" s="1"/>
  <c r="K46" i="1" s="1"/>
  <c r="G12" i="1"/>
  <c r="K25" i="7" l="1"/>
  <c r="G10" i="7"/>
  <c r="G11" i="7" s="1"/>
  <c r="E14" i="7"/>
  <c r="I14" i="7" s="1"/>
  <c r="J14" i="7" s="1"/>
  <c r="J26" i="7" s="1"/>
  <c r="J26" i="6"/>
  <c r="G27" i="6"/>
  <c r="G28" i="6" s="1"/>
  <c r="J28" i="6" s="1"/>
  <c r="J45" i="4"/>
  <c r="G16" i="4"/>
  <c r="E24" i="1"/>
  <c r="I24" i="1" s="1"/>
  <c r="J24" i="1" s="1"/>
  <c r="J47" i="1" s="1"/>
  <c r="K12" i="1"/>
  <c r="K47" i="1" s="1"/>
  <c r="K48" i="1" s="1"/>
  <c r="K49" i="1" s="1"/>
  <c r="K50" i="1" s="1"/>
  <c r="G21" i="1"/>
  <c r="G24" i="1" s="1"/>
  <c r="K24" i="1" s="1"/>
  <c r="I26" i="7" l="1"/>
  <c r="G14" i="7"/>
  <c r="G26" i="7" s="1"/>
  <c r="J30" i="6"/>
  <c r="J29" i="6"/>
  <c r="K16" i="4"/>
  <c r="K19" i="4" s="1"/>
  <c r="G47" i="1"/>
  <c r="I20" i="1"/>
  <c r="I47" i="1" s="1"/>
  <c r="K14" i="7" l="1"/>
  <c r="K26" i="7" s="1"/>
  <c r="J31" i="6"/>
  <c r="K21" i="4"/>
  <c r="K20" i="4"/>
  <c r="K27" i="7" l="1"/>
  <c r="K28" i="7" s="1"/>
  <c r="K22" i="4"/>
</calcChain>
</file>

<file path=xl/sharedStrings.xml><?xml version="1.0" encoding="utf-8"?>
<sst xmlns="http://schemas.openxmlformats.org/spreadsheetml/2006/main" count="332" uniqueCount="93">
  <si>
    <t>Арматура</t>
  </si>
  <si>
    <t>Бетон М25</t>
  </si>
  <si>
    <t>м</t>
  </si>
  <si>
    <t>м3</t>
  </si>
  <si>
    <t>м2</t>
  </si>
  <si>
    <t>Профильная труба 140х140х6мм</t>
  </si>
  <si>
    <t>Ø12мм</t>
  </si>
  <si>
    <t>Ø10мм</t>
  </si>
  <si>
    <t>Ø8мм</t>
  </si>
  <si>
    <t>Двутавр 25Б1</t>
  </si>
  <si>
    <t>Двутавр 30Б1</t>
  </si>
  <si>
    <t>Швеллер 18</t>
  </si>
  <si>
    <t>Профильная труба 120х120х4мм</t>
  </si>
  <si>
    <t>Уголок 75х6</t>
  </si>
  <si>
    <t>ПОЛЫ</t>
  </si>
  <si>
    <t>МЕТАЛЛОКОНСТРУКЦИИ</t>
  </si>
  <si>
    <t>ФУНДАМЕНТ</t>
  </si>
  <si>
    <t>Экскаватор-погрузчик</t>
  </si>
  <si>
    <t>маш-ч</t>
  </si>
  <si>
    <t>Опалубка</t>
  </si>
  <si>
    <t>Неучтенные материалы 10%</t>
  </si>
  <si>
    <t>Итого</t>
  </si>
  <si>
    <t>Доставка</t>
  </si>
  <si>
    <t>ВСЕГО</t>
  </si>
  <si>
    <t>Песок</t>
  </si>
  <si>
    <t>Щебень</t>
  </si>
  <si>
    <t>Пленка ПВХ</t>
  </si>
  <si>
    <t>Стеновые сэндвич-панели</t>
  </si>
  <si>
    <t>СТЕНЫ, КРОВЛЯ</t>
  </si>
  <si>
    <t>Кровельные сэндвич-панели</t>
  </si>
  <si>
    <t>Крепеж, нащельник, пена</t>
  </si>
  <si>
    <t>Окна</t>
  </si>
  <si>
    <t>Ворота (противопожарные)</t>
  </si>
  <si>
    <t>Вывоз мусора (от сендвич-панелей)</t>
  </si>
  <si>
    <t>т</t>
  </si>
  <si>
    <t>Наименование</t>
  </si>
  <si>
    <t>Ед.изм.</t>
  </si>
  <si>
    <t>Кол-во</t>
  </si>
  <si>
    <t>Тонн в метре</t>
  </si>
  <si>
    <t>Кол-во в тоннах</t>
  </si>
  <si>
    <t>Цена</t>
  </si>
  <si>
    <t>Стоимость</t>
  </si>
  <si>
    <t>Материалы, техника</t>
  </si>
  <si>
    <t>За единицу</t>
  </si>
  <si>
    <t>За объем</t>
  </si>
  <si>
    <t>Заработная плата</t>
  </si>
  <si>
    <t>С налогами</t>
  </si>
  <si>
    <t>Кран</t>
  </si>
  <si>
    <t>Ограждение кровли и противопожарные лестницы</t>
  </si>
  <si>
    <t>ОГРАЖДЕНИЕ КРОВЛИ И ПРОТИВОПОЖАРНЫЕ ЛЕСТНИЦЫ</t>
  </si>
  <si>
    <t>Мастер-топ (расход 5 кг/м2)</t>
  </si>
  <si>
    <t>Автобетононасос</t>
  </si>
  <si>
    <t>мешок 30кг</t>
  </si>
  <si>
    <t>ВСЕГО СЕБЕСТОИМОСТЬ</t>
  </si>
  <si>
    <t>Рентабельность</t>
  </si>
  <si>
    <t>????</t>
  </si>
  <si>
    <t>ВСЕГО СТОИМОСТЬ</t>
  </si>
  <si>
    <t>Стоимость 1 м2</t>
  </si>
  <si>
    <t>Длина</t>
  </si>
  <si>
    <t>Ширина</t>
  </si>
  <si>
    <t>Толщина</t>
  </si>
  <si>
    <t>Ral наружный</t>
  </si>
  <si>
    <t>Ral внутренний</t>
  </si>
  <si>
    <t>Стены</t>
  </si>
  <si>
    <t>Кровля</t>
  </si>
  <si>
    <t>RAL9002</t>
  </si>
  <si>
    <t>RAL9003</t>
  </si>
  <si>
    <t>Бетон В25</t>
  </si>
  <si>
    <t>заливка</t>
  </si>
  <si>
    <t>Фундаменты по проекту</t>
  </si>
  <si>
    <t>Полы по проекту</t>
  </si>
  <si>
    <t>Затирка бетона</t>
  </si>
  <si>
    <t>Накладные расходы</t>
  </si>
  <si>
    <t>Сметная прибыль</t>
  </si>
  <si>
    <t>Бетонная подготовка - бетон В7.5</t>
  </si>
  <si>
    <t>Устройство подстилающего слоя щебня 100 мм с уплотнением трамбовкой</t>
  </si>
  <si>
    <t>Устройство подстилающего слоя песка 100 мм с уплотнением трамбовкой</t>
  </si>
  <si>
    <t>Планировка участка экскаватором-погрузчиком с добавлением песка для заполнения ям и послойным уплотнением</t>
  </si>
  <si>
    <t>Устройство гидроизоляции из пленки ПВХ</t>
  </si>
  <si>
    <t>Устройство армированных бетонных полов толщиной 300мм</t>
  </si>
  <si>
    <t>Затирка полов</t>
  </si>
  <si>
    <t>Устройство бетонной подготовки толщиной 100мм</t>
  </si>
  <si>
    <t>Бетон В7,5</t>
  </si>
  <si>
    <t>Опалубка -  доска 50мм</t>
  </si>
  <si>
    <t>Бетононасос</t>
  </si>
  <si>
    <t>лист</t>
  </si>
  <si>
    <t>ИТОГО</t>
  </si>
  <si>
    <t>Плановые накопления</t>
  </si>
  <si>
    <t>ВСЕГО ПО СМЕТЕ</t>
  </si>
  <si>
    <t>Прочие материалы</t>
  </si>
  <si>
    <r>
      <t xml:space="preserve">Арматура </t>
    </r>
    <r>
      <rPr>
        <sz val="11"/>
        <color theme="1"/>
        <rFont val="Calibri"/>
        <family val="2"/>
        <charset val="204"/>
      </rPr>
      <t>Ø12 А400</t>
    </r>
  </si>
  <si>
    <t>Доставка оборудования манипулятором (туда и обратно)</t>
  </si>
  <si>
    <t>Увеличение объема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</si>
</sst>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3" fontId="0" fillId="0" borderId="1" xfId="0" applyNumberFormat="1" applyBorder="1"/>
    <xf numFmtId="0" fontId="2" fillId="0" borderId="1" xfId="0" applyFont="1" applyBorder="1" applyAlignment="1">
      <alignment vertical="top"/>
    </xf>
    <xf numFmtId="0" fontId="1" fillId="0" borderId="1" xfId="0" applyFont="1" applyBorder="1"/>
    <xf numFmtId="3" fontId="1" fillId="0" borderId="1" xfId="0" applyNumberFormat="1" applyFont="1" applyBorder="1"/>
    <xf numFmtId="3" fontId="4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3" fontId="0" fillId="0" borderId="1" xfId="0" applyNumberForma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3" fontId="1" fillId="0" borderId="1" xfId="0" applyNumberFormat="1" applyFont="1" applyBorder="1" applyAlignment="1">
      <alignment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3" fontId="6" fillId="0" borderId="1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9" fontId="0" fillId="0" borderId="1" xfId="0" applyNumberFormat="1" applyBorder="1" applyAlignment="1">
      <alignment horizontal="center" vertical="top"/>
    </xf>
    <xf numFmtId="3" fontId="0" fillId="0" borderId="0" xfId="0" applyNumberForma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9" fontId="0" fillId="0" borderId="5" xfId="0" applyNumberFormat="1" applyBorder="1" applyAlignment="1">
      <alignment horizontal="center" vertical="top"/>
    </xf>
    <xf numFmtId="3" fontId="0" fillId="0" borderId="5" xfId="0" applyNumberFormat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6" fillId="0" borderId="2" xfId="0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3" fontId="5" fillId="0" borderId="0" xfId="0" applyNumberFormat="1" applyFont="1" applyBorder="1" applyAlignment="1">
      <alignment vertical="top"/>
    </xf>
    <xf numFmtId="3" fontId="6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9" fontId="0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8899-B453-43A1-A59E-9DC060EA4431}">
  <dimension ref="A1:K56"/>
  <sheetViews>
    <sheetView zoomScaleNormal="100" workbookViewId="0">
      <selection activeCell="I20" sqref="I20"/>
    </sheetView>
  </sheetViews>
  <sheetFormatPr defaultRowHeight="15.75" x14ac:dyDescent="0.25"/>
  <cols>
    <col min="1" max="1" width="34.5703125" customWidth="1"/>
    <col min="2" max="2" width="9.140625" style="1"/>
    <col min="7" max="7" width="12.42578125" customWidth="1"/>
    <col min="9" max="9" width="12.28515625" customWidth="1"/>
    <col min="10" max="10" width="13.7109375" customWidth="1"/>
    <col min="11" max="11" width="15.140625" style="5" customWidth="1"/>
  </cols>
  <sheetData>
    <row r="1" spans="1:11" ht="15" x14ac:dyDescent="0.25">
      <c r="A1" s="78" t="s">
        <v>35</v>
      </c>
      <c r="B1" s="79" t="s">
        <v>42</v>
      </c>
      <c r="C1" s="79"/>
      <c r="D1" s="79"/>
      <c r="E1" s="79"/>
      <c r="F1" s="79"/>
      <c r="G1" s="79"/>
      <c r="H1" s="80" t="s">
        <v>45</v>
      </c>
      <c r="I1" s="80"/>
      <c r="J1" s="80"/>
      <c r="K1" s="81" t="s">
        <v>23</v>
      </c>
    </row>
    <row r="2" spans="1:11" s="3" customFormat="1" ht="30" x14ac:dyDescent="0.25">
      <c r="A2" s="78"/>
      <c r="B2" s="7" t="s">
        <v>36</v>
      </c>
      <c r="C2" s="7" t="s">
        <v>37</v>
      </c>
      <c r="D2" s="7" t="s">
        <v>38</v>
      </c>
      <c r="E2" s="7" t="s">
        <v>39</v>
      </c>
      <c r="F2" s="7" t="s">
        <v>40</v>
      </c>
      <c r="G2" s="7" t="s">
        <v>41</v>
      </c>
      <c r="H2" s="7" t="s">
        <v>43</v>
      </c>
      <c r="I2" s="7" t="s">
        <v>44</v>
      </c>
      <c r="J2" s="7" t="s">
        <v>46</v>
      </c>
      <c r="K2" s="81"/>
    </row>
    <row r="3" spans="1:11" ht="15.75" customHeight="1" x14ac:dyDescent="0.25">
      <c r="A3" s="80" t="s">
        <v>16</v>
      </c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1:11" x14ac:dyDescent="0.25">
      <c r="A4" s="10" t="s">
        <v>0</v>
      </c>
      <c r="B4" s="8"/>
      <c r="C4" s="10"/>
      <c r="D4" s="10"/>
      <c r="E4" s="10"/>
      <c r="F4" s="10"/>
      <c r="G4" s="10"/>
      <c r="H4" s="10"/>
      <c r="I4" s="10"/>
      <c r="J4" s="10"/>
      <c r="K4" s="11"/>
    </row>
    <row r="5" spans="1:11" x14ac:dyDescent="0.25">
      <c r="A5" s="12" t="s">
        <v>6</v>
      </c>
      <c r="B5" s="8" t="s">
        <v>2</v>
      </c>
      <c r="C5" s="10">
        <f>ROUNDUP((160+16+107)*1.05/12, 0)*12</f>
        <v>300</v>
      </c>
      <c r="D5" s="10">
        <f>0.888*1.04</f>
        <v>0.92352000000000001</v>
      </c>
      <c r="E5" s="10">
        <f>ROUND(C5*D5/1000,3)</f>
        <v>0.27700000000000002</v>
      </c>
      <c r="F5" s="13">
        <v>57000</v>
      </c>
      <c r="G5" s="13">
        <f>E5*F5</f>
        <v>15789.000000000002</v>
      </c>
      <c r="H5" s="10"/>
      <c r="I5" s="10"/>
      <c r="J5" s="10"/>
      <c r="K5" s="11"/>
    </row>
    <row r="6" spans="1:11" x14ac:dyDescent="0.25">
      <c r="A6" s="12" t="s">
        <v>7</v>
      </c>
      <c r="B6" s="8" t="s">
        <v>2</v>
      </c>
      <c r="C6" s="10">
        <f>ROUNDUP(125*1.05/12,0)*12</f>
        <v>132</v>
      </c>
      <c r="D6" s="10">
        <f>0.616*1.04</f>
        <v>0.64063999999999999</v>
      </c>
      <c r="E6" s="10">
        <f t="shared" ref="E6:E7" si="0">ROUND(C6*D6/1000,3)</f>
        <v>8.5000000000000006E-2</v>
      </c>
      <c r="F6" s="13">
        <v>59000</v>
      </c>
      <c r="G6" s="13">
        <f t="shared" ref="G6:G7" si="1">E6*F6</f>
        <v>5015</v>
      </c>
      <c r="H6" s="10"/>
      <c r="I6" s="10"/>
      <c r="J6" s="10"/>
      <c r="K6" s="11"/>
    </row>
    <row r="7" spans="1:11" x14ac:dyDescent="0.25">
      <c r="A7" s="12" t="s">
        <v>8</v>
      </c>
      <c r="B7" s="8" t="s">
        <v>2</v>
      </c>
      <c r="C7" s="10">
        <f>ROUNDUP((192+11+770)*1.05/12,0)*12</f>
        <v>1032</v>
      </c>
      <c r="D7" s="10">
        <f>0.395*1.04</f>
        <v>0.41080000000000005</v>
      </c>
      <c r="E7" s="10">
        <f t="shared" si="0"/>
        <v>0.42399999999999999</v>
      </c>
      <c r="F7" s="13">
        <v>62500</v>
      </c>
      <c r="G7" s="13">
        <f t="shared" si="1"/>
        <v>26500</v>
      </c>
      <c r="H7" s="10"/>
      <c r="I7" s="10"/>
      <c r="J7" s="10"/>
      <c r="K7" s="11"/>
    </row>
    <row r="8" spans="1:11" x14ac:dyDescent="0.25">
      <c r="A8" s="14" t="s">
        <v>1</v>
      </c>
      <c r="B8" s="8" t="s">
        <v>3</v>
      </c>
      <c r="C8" s="10">
        <f>ROUNDUP((8+0.8+1.3+0.3+13.4)*1.2,0)</f>
        <v>29</v>
      </c>
      <c r="D8" s="10"/>
      <c r="E8" s="10"/>
      <c r="F8" s="13">
        <v>6300</v>
      </c>
      <c r="G8" s="13">
        <f>C8+F8</f>
        <v>6329</v>
      </c>
      <c r="H8" s="10"/>
      <c r="I8" s="10"/>
      <c r="J8" s="10"/>
      <c r="K8" s="11"/>
    </row>
    <row r="9" spans="1:11" x14ac:dyDescent="0.25">
      <c r="A9" s="14" t="s">
        <v>17</v>
      </c>
      <c r="B9" s="8" t="s">
        <v>18</v>
      </c>
      <c r="C9" s="10">
        <v>30</v>
      </c>
      <c r="D9" s="10"/>
      <c r="E9" s="10"/>
      <c r="F9" s="13">
        <v>3500</v>
      </c>
      <c r="G9" s="13">
        <f>C9*F9</f>
        <v>105000</v>
      </c>
      <c r="H9" s="10"/>
      <c r="I9" s="10"/>
      <c r="J9" s="10"/>
      <c r="K9" s="11"/>
    </row>
    <row r="10" spans="1:11" x14ac:dyDescent="0.25">
      <c r="A10" s="14" t="s">
        <v>19</v>
      </c>
      <c r="B10" s="8"/>
      <c r="C10" s="10"/>
      <c r="D10" s="10"/>
      <c r="E10" s="10"/>
      <c r="F10" s="13"/>
      <c r="G10" s="13">
        <v>50000</v>
      </c>
      <c r="H10" s="10"/>
      <c r="I10" s="10"/>
      <c r="J10" s="10"/>
      <c r="K10" s="11"/>
    </row>
    <row r="11" spans="1:11" x14ac:dyDescent="0.25">
      <c r="A11" s="10" t="s">
        <v>22</v>
      </c>
      <c r="B11" s="8"/>
      <c r="C11" s="10"/>
      <c r="D11" s="10"/>
      <c r="E11" s="10"/>
      <c r="F11" s="13"/>
      <c r="G11" s="13">
        <v>15000</v>
      </c>
      <c r="H11" s="10"/>
      <c r="I11" s="10"/>
      <c r="J11" s="10"/>
      <c r="K11" s="11"/>
    </row>
    <row r="12" spans="1:11" s="4" customFormat="1" x14ac:dyDescent="0.25">
      <c r="A12" s="15" t="s">
        <v>23</v>
      </c>
      <c r="B12" s="9" t="s">
        <v>3</v>
      </c>
      <c r="C12" s="10">
        <f>C8</f>
        <v>29</v>
      </c>
      <c r="D12" s="15"/>
      <c r="E12" s="15"/>
      <c r="F12" s="16"/>
      <c r="G12" s="16">
        <f>SUM(G5:G11)</f>
        <v>223633</v>
      </c>
      <c r="H12" s="13">
        <v>5000</v>
      </c>
      <c r="I12" s="16">
        <f>C12*H12</f>
        <v>145000</v>
      </c>
      <c r="J12" s="16">
        <f>I12*1.2*1.08</f>
        <v>187920</v>
      </c>
      <c r="K12" s="17">
        <f>G12+J12</f>
        <v>411553</v>
      </c>
    </row>
    <row r="13" spans="1:11" ht="15.75" customHeight="1" x14ac:dyDescent="0.25">
      <c r="A13" s="77" t="s">
        <v>15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1:11" x14ac:dyDescent="0.25">
      <c r="A14" s="18" t="s">
        <v>5</v>
      </c>
      <c r="B14" s="8" t="s">
        <v>2</v>
      </c>
      <c r="C14" s="10">
        <f>ROUNDUP(((6.07+5.53+4.93+4.33+2.56)*2+(5.84+5.3+4.7+4.1)*3)*1.1/12,0)*12</f>
        <v>120</v>
      </c>
      <c r="D14" s="10">
        <f>24.76*1.04</f>
        <v>25.750400000000003</v>
      </c>
      <c r="E14" s="10">
        <f t="shared" ref="E14:E19" si="2">ROUND(C14*D14/1000,3)</f>
        <v>3.09</v>
      </c>
      <c r="F14" s="13">
        <v>72000</v>
      </c>
      <c r="G14" s="13">
        <f t="shared" ref="G14:G19" si="3">E14*F14</f>
        <v>222480</v>
      </c>
      <c r="H14" s="10"/>
      <c r="I14" s="10"/>
      <c r="J14" s="10"/>
      <c r="K14" s="11"/>
    </row>
    <row r="15" spans="1:11" x14ac:dyDescent="0.25">
      <c r="A15" s="10" t="s">
        <v>9</v>
      </c>
      <c r="B15" s="8" t="s">
        <v>2</v>
      </c>
      <c r="C15" s="10">
        <f>ROUNDUP(6.03*6*1.1/12,0)*12</f>
        <v>48</v>
      </c>
      <c r="D15" s="10">
        <f>25.7*1.04</f>
        <v>26.728000000000002</v>
      </c>
      <c r="E15" s="10">
        <f t="shared" si="2"/>
        <v>1.2829999999999999</v>
      </c>
      <c r="F15" s="13">
        <v>82000</v>
      </c>
      <c r="G15" s="13">
        <f t="shared" si="3"/>
        <v>105206</v>
      </c>
      <c r="H15" s="10"/>
      <c r="I15" s="10"/>
      <c r="J15" s="10"/>
      <c r="K15" s="11"/>
    </row>
    <row r="16" spans="1:11" x14ac:dyDescent="0.25">
      <c r="A16" s="10" t="s">
        <v>10</v>
      </c>
      <c r="B16" s="8" t="s">
        <v>2</v>
      </c>
      <c r="C16" s="10">
        <f>ROUNDUP(6.1*9*1.1/12,0)*12</f>
        <v>72</v>
      </c>
      <c r="D16" s="10">
        <f>32*1.04</f>
        <v>33.28</v>
      </c>
      <c r="E16" s="10">
        <f t="shared" si="2"/>
        <v>2.3959999999999999</v>
      </c>
      <c r="F16" s="13">
        <v>82000</v>
      </c>
      <c r="G16" s="13">
        <f t="shared" si="3"/>
        <v>196472</v>
      </c>
      <c r="H16" s="10"/>
      <c r="I16" s="10"/>
      <c r="J16" s="10"/>
      <c r="K16" s="11"/>
    </row>
    <row r="17" spans="1:11" x14ac:dyDescent="0.25">
      <c r="A17" s="10" t="s">
        <v>11</v>
      </c>
      <c r="B17" s="8" t="s">
        <v>2</v>
      </c>
      <c r="C17" s="10">
        <f>ROUNDUP((5.25*24+5.37+4.89+4.39+3.9+3.87+3.39+2.89+2.41)*1.1/12,0)*12</f>
        <v>180</v>
      </c>
      <c r="D17" s="10">
        <f>16.3*1.04</f>
        <v>16.952000000000002</v>
      </c>
      <c r="E17" s="10">
        <f t="shared" si="2"/>
        <v>3.0510000000000002</v>
      </c>
      <c r="F17" s="13">
        <v>81000</v>
      </c>
      <c r="G17" s="13">
        <f t="shared" si="3"/>
        <v>247131</v>
      </c>
      <c r="H17" s="10"/>
      <c r="I17" s="10"/>
      <c r="J17" s="10"/>
      <c r="K17" s="11"/>
    </row>
    <row r="18" spans="1:11" x14ac:dyDescent="0.25">
      <c r="A18" s="10" t="s">
        <v>12</v>
      </c>
      <c r="B18" s="8" t="s">
        <v>2</v>
      </c>
      <c r="C18" s="10">
        <f>ROUNDUP((10.22+2.4 +5.86+10.88+2.4)*1.1/12,0)*12</f>
        <v>36</v>
      </c>
      <c r="D18" s="10">
        <f>14.25*1.04</f>
        <v>14.82</v>
      </c>
      <c r="E18" s="10">
        <f t="shared" si="2"/>
        <v>0.53400000000000003</v>
      </c>
      <c r="F18" s="13">
        <v>67500</v>
      </c>
      <c r="G18" s="13">
        <f t="shared" si="3"/>
        <v>36045</v>
      </c>
      <c r="H18" s="10"/>
      <c r="I18" s="10"/>
      <c r="J18" s="10"/>
      <c r="K18" s="11"/>
    </row>
    <row r="19" spans="1:11" x14ac:dyDescent="0.25">
      <c r="A19" s="10" t="s">
        <v>13</v>
      </c>
      <c r="B19" s="8" t="s">
        <v>2</v>
      </c>
      <c r="C19" s="10">
        <f>ROUNDUP((18.1*2+20.4+20.92)*1.1/6,0)*6</f>
        <v>90</v>
      </c>
      <c r="D19" s="10">
        <f>6.89*1.04</f>
        <v>7.1655999999999995</v>
      </c>
      <c r="E19" s="10">
        <f t="shared" si="2"/>
        <v>0.64500000000000002</v>
      </c>
      <c r="F19" s="13">
        <v>69000</v>
      </c>
      <c r="G19" s="13">
        <f t="shared" si="3"/>
        <v>44505</v>
      </c>
      <c r="H19" s="10"/>
      <c r="I19" s="10"/>
      <c r="J19" s="10"/>
      <c r="K19" s="11"/>
    </row>
    <row r="20" spans="1:11" x14ac:dyDescent="0.25">
      <c r="A20" s="10" t="s">
        <v>21</v>
      </c>
      <c r="B20" s="8"/>
      <c r="C20" s="10"/>
      <c r="D20" s="10"/>
      <c r="E20" s="10"/>
      <c r="F20" s="13"/>
      <c r="G20" s="13">
        <f>SUM(G14:G19)</f>
        <v>851839</v>
      </c>
      <c r="H20" s="10"/>
      <c r="I20" s="13">
        <f>G20+G21+G5+G6+G7+G28+G22</f>
        <v>1165352.8999999999</v>
      </c>
      <c r="J20" s="10"/>
      <c r="K20" s="11"/>
    </row>
    <row r="21" spans="1:11" x14ac:dyDescent="0.25">
      <c r="A21" s="10" t="s">
        <v>20</v>
      </c>
      <c r="B21" s="8"/>
      <c r="C21" s="10"/>
      <c r="D21" s="10"/>
      <c r="E21" s="10"/>
      <c r="F21" s="13"/>
      <c r="G21" s="13">
        <f>G20*0.1</f>
        <v>85183.900000000009</v>
      </c>
      <c r="H21" s="10"/>
      <c r="I21" s="10"/>
      <c r="J21" s="10"/>
      <c r="K21" s="11"/>
    </row>
    <row r="22" spans="1:11" x14ac:dyDescent="0.25">
      <c r="A22" s="10" t="s">
        <v>22</v>
      </c>
      <c r="B22" s="8"/>
      <c r="C22" s="10"/>
      <c r="D22" s="10"/>
      <c r="E22" s="10"/>
      <c r="F22" s="13"/>
      <c r="G22" s="13">
        <v>15000</v>
      </c>
      <c r="H22" s="10"/>
      <c r="I22" s="10"/>
      <c r="J22" s="10"/>
      <c r="K22" s="11"/>
    </row>
    <row r="23" spans="1:11" x14ac:dyDescent="0.25">
      <c r="A23" s="10" t="s">
        <v>47</v>
      </c>
      <c r="B23" s="8" t="s">
        <v>18</v>
      </c>
      <c r="C23" s="10">
        <f>10*22</f>
        <v>220</v>
      </c>
      <c r="D23" s="10"/>
      <c r="E23" s="10"/>
      <c r="F23" s="13">
        <v>3000</v>
      </c>
      <c r="G23" s="13">
        <f>C23*F23</f>
        <v>660000</v>
      </c>
      <c r="H23" s="10"/>
      <c r="I23" s="10"/>
      <c r="J23" s="10"/>
      <c r="K23" s="11"/>
    </row>
    <row r="24" spans="1:11" x14ac:dyDescent="0.25">
      <c r="A24" s="15" t="s">
        <v>23</v>
      </c>
      <c r="B24" s="8" t="s">
        <v>34</v>
      </c>
      <c r="C24" s="10"/>
      <c r="D24" s="10"/>
      <c r="E24" s="10">
        <f>SUM(E14:E19)</f>
        <v>10.999000000000001</v>
      </c>
      <c r="F24" s="13"/>
      <c r="G24" s="16">
        <f>SUM(G20:G23)</f>
        <v>1612022.9</v>
      </c>
      <c r="H24" s="13">
        <v>35000</v>
      </c>
      <c r="I24" s="16">
        <f>E24*H24</f>
        <v>384965</v>
      </c>
      <c r="J24" s="16">
        <f>I24*1.2*1.08</f>
        <v>498914.64</v>
      </c>
      <c r="K24" s="17">
        <f>G24+J24</f>
        <v>2110937.54</v>
      </c>
    </row>
    <row r="25" spans="1:11" ht="15.75" customHeight="1" x14ac:dyDescent="0.25">
      <c r="A25" s="77" t="s">
        <v>49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1:11" s="6" customFormat="1" ht="30" x14ac:dyDescent="0.25">
      <c r="A26" s="27" t="s">
        <v>48</v>
      </c>
      <c r="B26" s="28" t="s">
        <v>34</v>
      </c>
      <c r="C26" s="19"/>
      <c r="D26" s="19"/>
      <c r="E26" s="19">
        <v>1</v>
      </c>
      <c r="F26" s="21">
        <v>90000</v>
      </c>
      <c r="G26" s="29">
        <f>E26*F26</f>
        <v>90000</v>
      </c>
      <c r="H26" s="21">
        <v>70000</v>
      </c>
      <c r="I26" s="29">
        <f>E26*H26</f>
        <v>70000</v>
      </c>
      <c r="J26" s="29">
        <f>I26*1.2*1.08</f>
        <v>90720</v>
      </c>
      <c r="K26" s="30">
        <f>G26+J26</f>
        <v>180720</v>
      </c>
    </row>
    <row r="27" spans="1:11" ht="15.75" customHeight="1" x14ac:dyDescent="0.25">
      <c r="A27" s="82" t="s">
        <v>14</v>
      </c>
      <c r="B27" s="83"/>
      <c r="C27" s="83"/>
      <c r="D27" s="83"/>
      <c r="E27" s="83"/>
      <c r="F27" s="83"/>
      <c r="G27" s="83"/>
      <c r="H27" s="83"/>
      <c r="I27" s="83"/>
      <c r="J27" s="83"/>
      <c r="K27" s="84"/>
    </row>
    <row r="28" spans="1:11" x14ac:dyDescent="0.25">
      <c r="A28" s="10" t="s">
        <v>0</v>
      </c>
      <c r="B28" s="8" t="s">
        <v>2</v>
      </c>
      <c r="C28" s="10">
        <f>ROUNDUP(3985*1.1/12,0)*12</f>
        <v>4392</v>
      </c>
      <c r="D28" s="10">
        <f>0.616*1.04</f>
        <v>0.64063999999999999</v>
      </c>
      <c r="E28" s="10">
        <f>ROUND(C28*D28/1000,3)</f>
        <v>2.8140000000000001</v>
      </c>
      <c r="F28" s="13">
        <v>59000</v>
      </c>
      <c r="G28" s="13">
        <f>E28*F28</f>
        <v>166026</v>
      </c>
      <c r="H28" s="10"/>
      <c r="I28" s="10"/>
      <c r="J28" s="10"/>
      <c r="K28" s="11"/>
    </row>
    <row r="29" spans="1:11" x14ac:dyDescent="0.25">
      <c r="A29" s="10" t="s">
        <v>1</v>
      </c>
      <c r="B29" s="8" t="s">
        <v>3</v>
      </c>
      <c r="C29" s="10">
        <f>ROUNDUP(35.6*1.2,0)</f>
        <v>43</v>
      </c>
      <c r="D29" s="10"/>
      <c r="E29" s="10"/>
      <c r="F29" s="13">
        <v>6300</v>
      </c>
      <c r="G29" s="13">
        <f>C29*F29</f>
        <v>270900</v>
      </c>
      <c r="H29" s="10"/>
      <c r="I29" s="10"/>
      <c r="J29" s="10"/>
      <c r="K29" s="11"/>
    </row>
    <row r="30" spans="1:11" x14ac:dyDescent="0.25">
      <c r="A30" s="10" t="s">
        <v>24</v>
      </c>
      <c r="B30" s="8" t="s">
        <v>3</v>
      </c>
      <c r="C30" s="10">
        <v>80</v>
      </c>
      <c r="D30" s="10">
        <v>1.5</v>
      </c>
      <c r="E30" s="10">
        <f>C30*D30</f>
        <v>120</v>
      </c>
      <c r="F30" s="13">
        <v>700</v>
      </c>
      <c r="G30" s="13">
        <f>E30*F30</f>
        <v>84000</v>
      </c>
      <c r="H30" s="10"/>
      <c r="I30" s="10"/>
      <c r="J30" s="10"/>
      <c r="K30" s="11"/>
    </row>
    <row r="31" spans="1:11" x14ac:dyDescent="0.25">
      <c r="A31" s="10" t="s">
        <v>25</v>
      </c>
      <c r="B31" s="8" t="s">
        <v>3</v>
      </c>
      <c r="C31" s="10">
        <v>40</v>
      </c>
      <c r="D31" s="10">
        <v>1.45</v>
      </c>
      <c r="E31" s="10">
        <f>C31*D31</f>
        <v>58</v>
      </c>
      <c r="F31" s="13">
        <v>1350</v>
      </c>
      <c r="G31" s="13">
        <f>E31*F31</f>
        <v>78300</v>
      </c>
      <c r="H31" s="10"/>
      <c r="I31" s="10"/>
      <c r="J31" s="10"/>
      <c r="K31" s="11"/>
    </row>
    <row r="32" spans="1:11" x14ac:dyDescent="0.25">
      <c r="A32" s="10" t="s">
        <v>26</v>
      </c>
      <c r="B32" s="8" t="s">
        <v>4</v>
      </c>
      <c r="C32" s="10">
        <v>700</v>
      </c>
      <c r="D32" s="10"/>
      <c r="E32" s="10"/>
      <c r="F32" s="13">
        <v>90</v>
      </c>
      <c r="G32" s="13">
        <f>C32*F32</f>
        <v>63000</v>
      </c>
      <c r="H32" s="10"/>
      <c r="I32" s="10"/>
      <c r="J32" s="10"/>
      <c r="K32" s="11"/>
    </row>
    <row r="33" spans="1:11" x14ac:dyDescent="0.25">
      <c r="A33" s="10" t="s">
        <v>17</v>
      </c>
      <c r="B33" s="8" t="s">
        <v>18</v>
      </c>
      <c r="C33" s="10">
        <v>30</v>
      </c>
      <c r="D33" s="10"/>
      <c r="E33" s="10"/>
      <c r="F33" s="13">
        <v>3500</v>
      </c>
      <c r="G33" s="13">
        <f>C33*F33</f>
        <v>105000</v>
      </c>
      <c r="H33" s="10"/>
      <c r="I33" s="10"/>
      <c r="J33" s="10"/>
      <c r="K33" s="11"/>
    </row>
    <row r="34" spans="1:11" x14ac:dyDescent="0.25">
      <c r="A34" s="10" t="s">
        <v>51</v>
      </c>
      <c r="B34" s="8"/>
      <c r="C34" s="10"/>
      <c r="D34" s="10"/>
      <c r="E34" s="10"/>
      <c r="F34" s="13"/>
      <c r="G34" s="13">
        <v>25000</v>
      </c>
      <c r="H34" s="10"/>
      <c r="I34" s="10"/>
      <c r="J34" s="10"/>
      <c r="K34" s="11"/>
    </row>
    <row r="35" spans="1:11" x14ac:dyDescent="0.25">
      <c r="A35" s="10" t="s">
        <v>22</v>
      </c>
      <c r="B35" s="8"/>
      <c r="C35" s="10"/>
      <c r="D35" s="10"/>
      <c r="E35" s="10"/>
      <c r="F35" s="13"/>
      <c r="G35" s="13">
        <v>20000</v>
      </c>
      <c r="H35" s="10"/>
      <c r="I35" s="10"/>
      <c r="J35" s="10"/>
      <c r="K35" s="11"/>
    </row>
    <row r="36" spans="1:11" s="6" customFormat="1" ht="30" x14ac:dyDescent="0.25">
      <c r="A36" s="19" t="s">
        <v>50</v>
      </c>
      <c r="B36" s="20" t="s">
        <v>52</v>
      </c>
      <c r="C36" s="19">
        <v>60</v>
      </c>
      <c r="D36" s="19"/>
      <c r="E36" s="19"/>
      <c r="F36" s="21">
        <v>2050</v>
      </c>
      <c r="G36" s="21">
        <f>C36*F36</f>
        <v>123000</v>
      </c>
      <c r="H36" s="19"/>
      <c r="I36" s="19"/>
      <c r="J36" s="19"/>
      <c r="K36" s="22"/>
    </row>
    <row r="37" spans="1:11" s="6" customFormat="1" x14ac:dyDescent="0.25">
      <c r="A37" s="15" t="s">
        <v>23</v>
      </c>
      <c r="B37" s="8" t="s">
        <v>4</v>
      </c>
      <c r="C37" s="10">
        <v>360</v>
      </c>
      <c r="D37" s="10"/>
      <c r="E37" s="10"/>
      <c r="F37" s="13"/>
      <c r="G37" s="16">
        <f>SUM(G28:G36)</f>
        <v>935226</v>
      </c>
      <c r="H37" s="13">
        <v>1000</v>
      </c>
      <c r="I37" s="16">
        <f>C37*H37</f>
        <v>360000</v>
      </c>
      <c r="J37" s="16">
        <f>I37*1.2*1.08</f>
        <v>466560.00000000006</v>
      </c>
      <c r="K37" s="17">
        <f>G37+J37</f>
        <v>1401786</v>
      </c>
    </row>
    <row r="38" spans="1:11" ht="15.75" customHeight="1" x14ac:dyDescent="0.25">
      <c r="A38" s="77" t="s">
        <v>28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1:11" x14ac:dyDescent="0.25">
      <c r="A39" s="10" t="s">
        <v>27</v>
      </c>
      <c r="B39" s="8" t="s">
        <v>4</v>
      </c>
      <c r="C39" s="10">
        <f>((6.1*8)+(6.06*5)+(6.05*3)+(5.98*10)+(5.45*4)+(5.23*7)+(3.05*1)+(2.5*4)+1.31+0.98+0.77+(0.61*2))*1.19</f>
        <v>277.02010000000007</v>
      </c>
      <c r="D39" s="10"/>
      <c r="E39" s="10"/>
      <c r="F39" s="13">
        <v>2858</v>
      </c>
      <c r="G39" s="13">
        <f>C39*F39</f>
        <v>791723.44580000022</v>
      </c>
      <c r="H39" s="10"/>
      <c r="I39" s="10">
        <f>3200-(3072-2730)</f>
        <v>2858</v>
      </c>
      <c r="J39" s="10"/>
      <c r="K39" s="11"/>
    </row>
    <row r="40" spans="1:11" x14ac:dyDescent="0.25">
      <c r="A40" s="10" t="s">
        <v>29</v>
      </c>
      <c r="B40" s="8" t="s">
        <v>4</v>
      </c>
      <c r="C40" s="10">
        <f>9.26*21+9.56*22</f>
        <v>404.78000000000003</v>
      </c>
      <c r="D40" s="10"/>
      <c r="E40" s="10"/>
      <c r="F40" s="13">
        <v>3348</v>
      </c>
      <c r="G40" s="13">
        <f>C40*F40</f>
        <v>1355203.4400000002</v>
      </c>
      <c r="H40" s="10"/>
      <c r="I40" s="10">
        <f>4000-(3982-3330)</f>
        <v>3348</v>
      </c>
      <c r="J40" s="10"/>
      <c r="K40" s="11"/>
    </row>
    <row r="41" spans="1:11" x14ac:dyDescent="0.25">
      <c r="A41" s="10" t="s">
        <v>30</v>
      </c>
      <c r="B41" s="8"/>
      <c r="C41" s="10"/>
      <c r="D41" s="10"/>
      <c r="E41" s="10"/>
      <c r="F41" s="13"/>
      <c r="G41" s="13">
        <f>ROUND((G39+G40)*0.3,0)</f>
        <v>644078</v>
      </c>
      <c r="H41" s="10"/>
      <c r="I41" s="10"/>
      <c r="J41" s="10"/>
      <c r="K41" s="11"/>
    </row>
    <row r="42" spans="1:11" x14ac:dyDescent="0.25">
      <c r="A42" s="10" t="s">
        <v>31</v>
      </c>
      <c r="B42" s="8"/>
      <c r="C42" s="10"/>
      <c r="D42" s="10"/>
      <c r="E42" s="10"/>
      <c r="F42" s="13"/>
      <c r="G42" s="13">
        <v>40000</v>
      </c>
      <c r="H42" s="10"/>
      <c r="I42" s="10"/>
      <c r="J42" s="10"/>
      <c r="K42" s="11"/>
    </row>
    <row r="43" spans="1:11" x14ac:dyDescent="0.25">
      <c r="A43" s="10" t="s">
        <v>32</v>
      </c>
      <c r="B43" s="8"/>
      <c r="C43" s="10"/>
      <c r="D43" s="10"/>
      <c r="E43" s="10"/>
      <c r="F43" s="13"/>
      <c r="G43" s="13">
        <v>200000</v>
      </c>
      <c r="H43" s="10"/>
      <c r="I43" s="10"/>
      <c r="J43" s="10"/>
      <c r="K43" s="11"/>
    </row>
    <row r="44" spans="1:11" x14ac:dyDescent="0.25">
      <c r="A44" s="10" t="s">
        <v>22</v>
      </c>
      <c r="B44" s="8"/>
      <c r="C44" s="10"/>
      <c r="D44" s="10"/>
      <c r="E44" s="10"/>
      <c r="F44" s="13"/>
      <c r="G44" s="13">
        <v>220000</v>
      </c>
      <c r="H44" s="10"/>
      <c r="I44" s="10"/>
      <c r="J44" s="10"/>
      <c r="K44" s="11"/>
    </row>
    <row r="45" spans="1:11" x14ac:dyDescent="0.25">
      <c r="A45" s="10" t="s">
        <v>33</v>
      </c>
      <c r="B45" s="8"/>
      <c r="C45" s="10"/>
      <c r="D45" s="10"/>
      <c r="E45" s="10"/>
      <c r="F45" s="13"/>
      <c r="G45" s="13">
        <v>20000</v>
      </c>
      <c r="H45" s="10"/>
      <c r="I45" s="10"/>
      <c r="J45" s="10"/>
      <c r="K45" s="11"/>
    </row>
    <row r="46" spans="1:11" x14ac:dyDescent="0.25">
      <c r="A46" s="15" t="s">
        <v>23</v>
      </c>
      <c r="B46" s="8" t="s">
        <v>4</v>
      </c>
      <c r="C46" s="10">
        <f>SUM(C39:C45)</f>
        <v>681.80010000000016</v>
      </c>
      <c r="D46" s="10"/>
      <c r="E46" s="10"/>
      <c r="F46" s="13"/>
      <c r="G46" s="16">
        <f>SUM(G39:G45)</f>
        <v>3271004.8858000003</v>
      </c>
      <c r="H46" s="13">
        <v>650</v>
      </c>
      <c r="I46" s="16">
        <f>C46*H46</f>
        <v>443170.06500000012</v>
      </c>
      <c r="J46" s="16">
        <f>I46*1.2*1.08</f>
        <v>574348.40424000018</v>
      </c>
      <c r="K46" s="17">
        <f>G46+J46</f>
        <v>3845353.2900400003</v>
      </c>
    </row>
    <row r="47" spans="1:11" s="26" customFormat="1" ht="18.75" x14ac:dyDescent="0.3">
      <c r="A47" s="23" t="s">
        <v>53</v>
      </c>
      <c r="B47" s="24"/>
      <c r="C47" s="23"/>
      <c r="D47" s="23"/>
      <c r="E47" s="23"/>
      <c r="F47" s="25"/>
      <c r="G47" s="25">
        <f>G12+G24+G26+G37+G46</f>
        <v>6131886.7858000007</v>
      </c>
      <c r="H47" s="23"/>
      <c r="I47" s="25">
        <f>SUM(I4:I46)</f>
        <v>2574693.9649999999</v>
      </c>
      <c r="J47" s="25">
        <f>SUM(J4:J46)</f>
        <v>1818463.0442400002</v>
      </c>
      <c r="K47" s="25">
        <f>SUM(K4:K46)</f>
        <v>7950349.8300400004</v>
      </c>
    </row>
    <row r="48" spans="1:11" x14ac:dyDescent="0.25">
      <c r="A48" s="10" t="s">
        <v>54</v>
      </c>
      <c r="B48" s="31">
        <v>0.3</v>
      </c>
      <c r="C48" s="10" t="s">
        <v>55</v>
      </c>
      <c r="D48" s="10"/>
      <c r="E48" s="10"/>
      <c r="F48" s="13"/>
      <c r="G48" s="13"/>
      <c r="H48" s="10"/>
      <c r="I48" s="10"/>
      <c r="J48" s="10"/>
      <c r="K48" s="17">
        <f>K47*B48</f>
        <v>2385104.9490120001</v>
      </c>
    </row>
    <row r="49" spans="1:11" ht="18.75" x14ac:dyDescent="0.3">
      <c r="A49" s="23" t="s">
        <v>56</v>
      </c>
      <c r="B49" s="8"/>
      <c r="C49" s="10"/>
      <c r="D49" s="10"/>
      <c r="E49" s="10"/>
      <c r="F49" s="13"/>
      <c r="G49" s="13"/>
      <c r="H49" s="10"/>
      <c r="I49" s="10"/>
      <c r="J49" s="10"/>
      <c r="K49" s="25">
        <f>K47+K48</f>
        <v>10335454.779052</v>
      </c>
    </row>
    <row r="50" spans="1:11" x14ac:dyDescent="0.25">
      <c r="A50" t="s">
        <v>57</v>
      </c>
      <c r="F50" s="2"/>
      <c r="G50" s="2"/>
      <c r="K50" s="5">
        <f>K49/C37</f>
        <v>28709.596608477779</v>
      </c>
    </row>
    <row r="51" spans="1:11" x14ac:dyDescent="0.25">
      <c r="F51" s="2"/>
      <c r="G51" s="2"/>
    </row>
    <row r="52" spans="1:11" x14ac:dyDescent="0.25">
      <c r="F52" s="2"/>
      <c r="G52" s="2"/>
    </row>
    <row r="53" spans="1:11" x14ac:dyDescent="0.25">
      <c r="F53" s="2"/>
      <c r="G53" s="2"/>
    </row>
    <row r="54" spans="1:11" x14ac:dyDescent="0.25">
      <c r="F54" s="2"/>
      <c r="G54" s="2"/>
    </row>
    <row r="55" spans="1:11" x14ac:dyDescent="0.25">
      <c r="F55" s="2"/>
    </row>
    <row r="56" spans="1:11" x14ac:dyDescent="0.25">
      <c r="F56" s="2"/>
    </row>
  </sheetData>
  <mergeCells count="9">
    <mergeCell ref="A38:K38"/>
    <mergeCell ref="A1:A2"/>
    <mergeCell ref="B1:G1"/>
    <mergeCell ref="H1:J1"/>
    <mergeCell ref="K1:K2"/>
    <mergeCell ref="A3:K3"/>
    <mergeCell ref="A13:K13"/>
    <mergeCell ref="A25:K25"/>
    <mergeCell ref="A27:K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8523-949B-4171-8616-94AEB05BE55B}">
  <sheetPr>
    <pageSetUpPr fitToPage="1"/>
  </sheetPr>
  <dimension ref="A1:K34"/>
  <sheetViews>
    <sheetView tabSelected="1" zoomScaleNormal="100" workbookViewId="0">
      <selection activeCell="B30" sqref="B30"/>
    </sheetView>
  </sheetViews>
  <sheetFormatPr defaultRowHeight="15.75" x14ac:dyDescent="0.25"/>
  <cols>
    <col min="1" max="1" width="34.5703125" customWidth="1"/>
    <col min="2" max="2" width="9.140625" style="1"/>
    <col min="7" max="7" width="12.42578125" customWidth="1"/>
    <col min="9" max="9" width="12.28515625" customWidth="1"/>
    <col min="10" max="10" width="13.7109375" customWidth="1"/>
    <col min="11" max="11" width="15.140625" style="5" customWidth="1"/>
  </cols>
  <sheetData>
    <row r="1" spans="1:11" ht="15" x14ac:dyDescent="0.25">
      <c r="A1" s="78" t="s">
        <v>35</v>
      </c>
      <c r="B1" s="79" t="s">
        <v>42</v>
      </c>
      <c r="C1" s="79"/>
      <c r="D1" s="79"/>
      <c r="E1" s="79"/>
      <c r="F1" s="79"/>
      <c r="G1" s="79"/>
      <c r="H1" s="80" t="s">
        <v>45</v>
      </c>
      <c r="I1" s="80"/>
      <c r="J1" s="80"/>
      <c r="K1" s="81" t="s">
        <v>23</v>
      </c>
    </row>
    <row r="2" spans="1:11" s="3" customFormat="1" ht="30" x14ac:dyDescent="0.25">
      <c r="A2" s="78"/>
      <c r="B2" s="34" t="s">
        <v>36</v>
      </c>
      <c r="C2" s="34" t="s">
        <v>37</v>
      </c>
      <c r="D2" s="34" t="s">
        <v>38</v>
      </c>
      <c r="E2" s="34" t="s">
        <v>39</v>
      </c>
      <c r="F2" s="34" t="s">
        <v>40</v>
      </c>
      <c r="G2" s="34" t="s">
        <v>41</v>
      </c>
      <c r="H2" s="34" t="s">
        <v>43</v>
      </c>
      <c r="I2" s="34" t="s">
        <v>44</v>
      </c>
      <c r="J2" s="34" t="s">
        <v>46</v>
      </c>
      <c r="K2" s="81"/>
    </row>
    <row r="3" spans="1:11" ht="15.75" customHeight="1" x14ac:dyDescent="0.25">
      <c r="A3" s="77" t="s">
        <v>15</v>
      </c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x14ac:dyDescent="0.25">
      <c r="A4" s="18" t="s">
        <v>5</v>
      </c>
      <c r="B4" s="35" t="s">
        <v>2</v>
      </c>
      <c r="C4" s="10">
        <f>ROUNDUP(((6.07+5.53+4.93+4.33+2.56)*2+(5.84+5.3+4.7+4.1)*3)*1.1/12,0)*12</f>
        <v>120</v>
      </c>
      <c r="D4" s="10">
        <f>24.76*1.04</f>
        <v>25.750400000000003</v>
      </c>
      <c r="E4" s="10">
        <f t="shared" ref="E4:E9" si="0">ROUND(C4*D4/1000,3)</f>
        <v>3.09</v>
      </c>
      <c r="F4" s="13">
        <v>72000</v>
      </c>
      <c r="G4" s="13">
        <f t="shared" ref="G4:G9" si="1">E4*F4</f>
        <v>222480</v>
      </c>
      <c r="H4" s="10"/>
      <c r="I4" s="10"/>
      <c r="J4" s="10"/>
      <c r="K4" s="11"/>
    </row>
    <row r="5" spans="1:11" x14ac:dyDescent="0.25">
      <c r="A5" s="10" t="s">
        <v>9</v>
      </c>
      <c r="B5" s="35" t="s">
        <v>2</v>
      </c>
      <c r="C5" s="10">
        <f>ROUNDUP(6.03*6*1.1/12,0)*12</f>
        <v>48</v>
      </c>
      <c r="D5" s="10">
        <f>25.7*1.04</f>
        <v>26.728000000000002</v>
      </c>
      <c r="E5" s="10">
        <f t="shared" si="0"/>
        <v>1.2829999999999999</v>
      </c>
      <c r="F5" s="13">
        <v>82000</v>
      </c>
      <c r="G5" s="13">
        <f t="shared" si="1"/>
        <v>105206</v>
      </c>
      <c r="H5" s="10"/>
      <c r="I5" s="10"/>
      <c r="J5" s="10"/>
      <c r="K5" s="11"/>
    </row>
    <row r="6" spans="1:11" x14ac:dyDescent="0.25">
      <c r="A6" s="10" t="s">
        <v>10</v>
      </c>
      <c r="B6" s="35" t="s">
        <v>2</v>
      </c>
      <c r="C6" s="10">
        <f>ROUNDUP(6.1*9*1.1/12,0)*12</f>
        <v>72</v>
      </c>
      <c r="D6" s="10">
        <f>32*1.04</f>
        <v>33.28</v>
      </c>
      <c r="E6" s="10">
        <f t="shared" si="0"/>
        <v>2.3959999999999999</v>
      </c>
      <c r="F6" s="13">
        <v>82000</v>
      </c>
      <c r="G6" s="13">
        <f t="shared" si="1"/>
        <v>196472</v>
      </c>
      <c r="H6" s="10"/>
      <c r="I6" s="10"/>
      <c r="J6" s="10"/>
      <c r="K6" s="11"/>
    </row>
    <row r="7" spans="1:11" x14ac:dyDescent="0.25">
      <c r="A7" s="10" t="s">
        <v>11</v>
      </c>
      <c r="B7" s="35" t="s">
        <v>2</v>
      </c>
      <c r="C7" s="10">
        <f>ROUNDUP((5.25*24+5.37+4.89+4.39+3.9+3.87+3.39+2.89+2.41)*1.1/12,0)*12</f>
        <v>180</v>
      </c>
      <c r="D7" s="10">
        <f>16.3*1.04</f>
        <v>16.952000000000002</v>
      </c>
      <c r="E7" s="10">
        <f t="shared" si="0"/>
        <v>3.0510000000000002</v>
      </c>
      <c r="F7" s="13">
        <v>81000</v>
      </c>
      <c r="G7" s="13">
        <f t="shared" si="1"/>
        <v>247131</v>
      </c>
      <c r="H7" s="10"/>
      <c r="I7" s="10"/>
      <c r="J7" s="10"/>
      <c r="K7" s="11"/>
    </row>
    <row r="8" spans="1:11" x14ac:dyDescent="0.25">
      <c r="A8" s="10" t="s">
        <v>12</v>
      </c>
      <c r="B8" s="35" t="s">
        <v>2</v>
      </c>
      <c r="C8" s="10">
        <f>ROUNDUP((10.22+2.4 +5.86+10.88+2.4)*1.1/12,0)*12</f>
        <v>36</v>
      </c>
      <c r="D8" s="10">
        <f>14.25*1.04</f>
        <v>14.82</v>
      </c>
      <c r="E8" s="10">
        <f t="shared" si="0"/>
        <v>0.53400000000000003</v>
      </c>
      <c r="F8" s="13">
        <v>67500</v>
      </c>
      <c r="G8" s="13">
        <f t="shared" si="1"/>
        <v>36045</v>
      </c>
      <c r="H8" s="10"/>
      <c r="I8" s="10"/>
      <c r="J8" s="10"/>
      <c r="K8" s="11"/>
    </row>
    <row r="9" spans="1:11" x14ac:dyDescent="0.25">
      <c r="A9" s="10" t="s">
        <v>13</v>
      </c>
      <c r="B9" s="35" t="s">
        <v>2</v>
      </c>
      <c r="C9" s="10">
        <f>ROUNDUP((18.1*2+20.4+20.92)*1.1/6,0)*6</f>
        <v>90</v>
      </c>
      <c r="D9" s="10">
        <f>6.89*1.04</f>
        <v>7.1655999999999995</v>
      </c>
      <c r="E9" s="10">
        <f t="shared" si="0"/>
        <v>0.64500000000000002</v>
      </c>
      <c r="F9" s="13">
        <v>69000</v>
      </c>
      <c r="G9" s="13">
        <f t="shared" si="1"/>
        <v>44505</v>
      </c>
      <c r="H9" s="10"/>
      <c r="I9" s="10"/>
      <c r="J9" s="10"/>
      <c r="K9" s="11"/>
    </row>
    <row r="10" spans="1:11" x14ac:dyDescent="0.25">
      <c r="A10" s="10" t="s">
        <v>21</v>
      </c>
      <c r="B10" s="35"/>
      <c r="C10" s="10"/>
      <c r="D10" s="10"/>
      <c r="E10" s="10"/>
      <c r="F10" s="13"/>
      <c r="G10" s="13">
        <f>SUM(G4:G9)</f>
        <v>851839</v>
      </c>
      <c r="H10" s="10"/>
      <c r="I10" s="13"/>
      <c r="J10" s="10"/>
      <c r="K10" s="11"/>
    </row>
    <row r="11" spans="1:11" x14ac:dyDescent="0.25">
      <c r="A11" s="10" t="s">
        <v>20</v>
      </c>
      <c r="B11" s="35"/>
      <c r="C11" s="10"/>
      <c r="D11" s="10"/>
      <c r="E11" s="10"/>
      <c r="F11" s="13"/>
      <c r="G11" s="13">
        <f>G10*0.1</f>
        <v>85183.900000000009</v>
      </c>
      <c r="H11" s="10"/>
      <c r="I11" s="10"/>
      <c r="J11" s="10"/>
      <c r="K11" s="11"/>
    </row>
    <row r="12" spans="1:11" x14ac:dyDescent="0.25">
      <c r="A12" s="10" t="s">
        <v>22</v>
      </c>
      <c r="B12" s="35"/>
      <c r="C12" s="10"/>
      <c r="D12" s="10"/>
      <c r="E12" s="10"/>
      <c r="F12" s="13"/>
      <c r="G12" s="13">
        <v>15000</v>
      </c>
      <c r="H12" s="10"/>
      <c r="I12" s="10"/>
      <c r="J12" s="10"/>
      <c r="K12" s="11"/>
    </row>
    <row r="13" spans="1:11" x14ac:dyDescent="0.25">
      <c r="A13" s="10" t="s">
        <v>47</v>
      </c>
      <c r="B13" s="35" t="s">
        <v>18</v>
      </c>
      <c r="C13" s="10">
        <f>10*22</f>
        <v>220</v>
      </c>
      <c r="D13" s="10"/>
      <c r="E13" s="10"/>
      <c r="F13" s="13">
        <v>3000</v>
      </c>
      <c r="G13" s="13">
        <f>C13*F13</f>
        <v>660000</v>
      </c>
      <c r="H13" s="10"/>
      <c r="I13" s="10"/>
      <c r="J13" s="10"/>
      <c r="K13" s="11"/>
    </row>
    <row r="14" spans="1:11" x14ac:dyDescent="0.25">
      <c r="A14" s="15" t="s">
        <v>23</v>
      </c>
      <c r="B14" s="35" t="s">
        <v>34</v>
      </c>
      <c r="C14" s="10"/>
      <c r="D14" s="10"/>
      <c r="E14" s="10">
        <f>SUM(E4:E9)</f>
        <v>10.999000000000001</v>
      </c>
      <c r="F14" s="13"/>
      <c r="G14" s="16">
        <f>SUM(G10:G13)</f>
        <v>1612022.9</v>
      </c>
      <c r="H14" s="13">
        <v>35000</v>
      </c>
      <c r="I14" s="16">
        <f>E14*H14</f>
        <v>384965</v>
      </c>
      <c r="J14" s="16">
        <f>I14*1.2*1.08</f>
        <v>498914.64</v>
      </c>
      <c r="K14" s="17">
        <f>G14+J14</f>
        <v>2110937.54</v>
      </c>
    </row>
    <row r="15" spans="1:11" ht="15.75" customHeight="1" x14ac:dyDescent="0.25">
      <c r="A15" s="77" t="s">
        <v>49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11" s="6" customFormat="1" ht="30" x14ac:dyDescent="0.25">
      <c r="A16" s="27" t="s">
        <v>48</v>
      </c>
      <c r="B16" s="28" t="s">
        <v>34</v>
      </c>
      <c r="C16" s="19"/>
      <c r="D16" s="19"/>
      <c r="E16" s="19">
        <v>1</v>
      </c>
      <c r="F16" s="21">
        <v>90000</v>
      </c>
      <c r="G16" s="29">
        <f>E16*F16</f>
        <v>90000</v>
      </c>
      <c r="H16" s="21">
        <v>70000</v>
      </c>
      <c r="I16" s="29">
        <f>E16*H16</f>
        <v>70000</v>
      </c>
      <c r="J16" s="29">
        <f>I16*1.2*1.08</f>
        <v>90720</v>
      </c>
      <c r="K16" s="30">
        <f>G16+J16</f>
        <v>180720</v>
      </c>
    </row>
    <row r="17" spans="1:11" ht="15.75" customHeight="1" x14ac:dyDescent="0.25">
      <c r="A17" s="77" t="s">
        <v>28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1" x14ac:dyDescent="0.25">
      <c r="A18" s="10" t="s">
        <v>27</v>
      </c>
      <c r="B18" s="35" t="s">
        <v>4</v>
      </c>
      <c r="C18" s="10">
        <f>((6.1*8)+(6.06*5)+(6.05*3)+(5.98*10)+(5.45*4)+(5.23*7)+(3.05*1)+(2.5*4)+1.31+0.98+0.77+(0.61*2))*1.19</f>
        <v>277.02010000000007</v>
      </c>
      <c r="D18" s="10"/>
      <c r="E18" s="10"/>
      <c r="F18" s="13">
        <v>2858</v>
      </c>
      <c r="G18" s="13">
        <f>C18*F18</f>
        <v>791723.44580000022</v>
      </c>
      <c r="H18" s="10"/>
      <c r="I18" s="10">
        <f>3200-(3072-2730)</f>
        <v>2858</v>
      </c>
      <c r="J18" s="10"/>
      <c r="K18" s="11"/>
    </row>
    <row r="19" spans="1:11" x14ac:dyDescent="0.25">
      <c r="A19" s="10" t="s">
        <v>29</v>
      </c>
      <c r="B19" s="35" t="s">
        <v>4</v>
      </c>
      <c r="C19" s="10">
        <f>9.26*21+9.56*22</f>
        <v>404.78000000000003</v>
      </c>
      <c r="D19" s="10"/>
      <c r="E19" s="10"/>
      <c r="F19" s="13">
        <v>3348</v>
      </c>
      <c r="G19" s="13">
        <f>C19*F19</f>
        <v>1355203.4400000002</v>
      </c>
      <c r="H19" s="10"/>
      <c r="I19" s="10">
        <f>4000-(3982-3330)</f>
        <v>3348</v>
      </c>
      <c r="J19" s="10"/>
      <c r="K19" s="11"/>
    </row>
    <row r="20" spans="1:11" x14ac:dyDescent="0.25">
      <c r="A20" s="10" t="s">
        <v>30</v>
      </c>
      <c r="B20" s="35"/>
      <c r="C20" s="10"/>
      <c r="D20" s="10"/>
      <c r="E20" s="10"/>
      <c r="F20" s="13"/>
      <c r="G20" s="13">
        <f>ROUND((G18+G19)*0.3,0)</f>
        <v>644078</v>
      </c>
      <c r="H20" s="10"/>
      <c r="I20" s="10"/>
      <c r="J20" s="10"/>
      <c r="K20" s="11"/>
    </row>
    <row r="21" spans="1:11" x14ac:dyDescent="0.25">
      <c r="A21" s="10" t="s">
        <v>31</v>
      </c>
      <c r="B21" s="35"/>
      <c r="C21" s="10"/>
      <c r="D21" s="10"/>
      <c r="E21" s="10"/>
      <c r="F21" s="13"/>
      <c r="G21" s="13">
        <v>40000</v>
      </c>
      <c r="H21" s="10"/>
      <c r="I21" s="10"/>
      <c r="J21" s="10"/>
      <c r="K21" s="11"/>
    </row>
    <row r="22" spans="1:11" x14ac:dyDescent="0.25">
      <c r="A22" s="10" t="s">
        <v>32</v>
      </c>
      <c r="B22" s="35"/>
      <c r="C22" s="10"/>
      <c r="D22" s="10"/>
      <c r="E22" s="10"/>
      <c r="F22" s="13"/>
      <c r="G22" s="13">
        <v>200000</v>
      </c>
      <c r="H22" s="10"/>
      <c r="I22" s="10"/>
      <c r="J22" s="10"/>
      <c r="K22" s="11"/>
    </row>
    <row r="23" spans="1:11" x14ac:dyDescent="0.25">
      <c r="A23" s="10" t="s">
        <v>22</v>
      </c>
      <c r="B23" s="35"/>
      <c r="C23" s="10"/>
      <c r="D23" s="10"/>
      <c r="E23" s="10"/>
      <c r="F23" s="13"/>
      <c r="G23" s="13">
        <v>220000</v>
      </c>
      <c r="H23" s="10"/>
      <c r="I23" s="10"/>
      <c r="J23" s="10"/>
      <c r="K23" s="11"/>
    </row>
    <row r="24" spans="1:11" x14ac:dyDescent="0.25">
      <c r="A24" s="10" t="s">
        <v>33</v>
      </c>
      <c r="B24" s="35"/>
      <c r="C24" s="10"/>
      <c r="D24" s="10"/>
      <c r="E24" s="10"/>
      <c r="F24" s="13"/>
      <c r="G24" s="13">
        <v>20000</v>
      </c>
      <c r="H24" s="10"/>
      <c r="I24" s="10"/>
      <c r="J24" s="10"/>
      <c r="K24" s="11"/>
    </row>
    <row r="25" spans="1:11" x14ac:dyDescent="0.25">
      <c r="A25" s="15" t="s">
        <v>23</v>
      </c>
      <c r="B25" s="35" t="s">
        <v>4</v>
      </c>
      <c r="C25" s="10">
        <f>SUM(C18:C24)</f>
        <v>681.80010000000016</v>
      </c>
      <c r="D25" s="10"/>
      <c r="E25" s="10"/>
      <c r="F25" s="13"/>
      <c r="G25" s="16">
        <f>SUM(G18:G24)</f>
        <v>3271004.8858000003</v>
      </c>
      <c r="H25" s="13">
        <v>650</v>
      </c>
      <c r="I25" s="16">
        <f>C25*H25</f>
        <v>443170.06500000012</v>
      </c>
      <c r="J25" s="16">
        <f>I25*1.2*1.08</f>
        <v>574348.40424000018</v>
      </c>
      <c r="K25" s="17">
        <f>G25+J25</f>
        <v>3845353.2900400003</v>
      </c>
    </row>
    <row r="26" spans="1:11" s="26" customFormat="1" ht="18.75" x14ac:dyDescent="0.3">
      <c r="A26" s="23" t="s">
        <v>53</v>
      </c>
      <c r="B26" s="24"/>
      <c r="C26" s="23"/>
      <c r="D26" s="23"/>
      <c r="E26" s="23"/>
      <c r="F26" s="25"/>
      <c r="G26" s="25">
        <f>G14+G16+G25</f>
        <v>4973027.7858000007</v>
      </c>
      <c r="H26" s="23"/>
      <c r="I26" s="25">
        <f>SUM(I3:I25)</f>
        <v>904341.06500000018</v>
      </c>
      <c r="J26" s="25">
        <f>SUM(J3:J25)</f>
        <v>1163983.0442400002</v>
      </c>
      <c r="K26" s="25">
        <f>SUM(K3:K25)</f>
        <v>6137010.8300400004</v>
      </c>
    </row>
    <row r="27" spans="1:11" x14ac:dyDescent="0.25">
      <c r="A27" s="10" t="s">
        <v>54</v>
      </c>
      <c r="B27" s="31">
        <v>0.3</v>
      </c>
      <c r="C27" s="10" t="s">
        <v>55</v>
      </c>
      <c r="D27" s="10"/>
      <c r="E27" s="10"/>
      <c r="F27" s="13"/>
      <c r="G27" s="13"/>
      <c r="H27" s="10"/>
      <c r="I27" s="10"/>
      <c r="J27" s="10"/>
      <c r="K27" s="17">
        <f>K26*B27</f>
        <v>1841103.2490120002</v>
      </c>
    </row>
    <row r="28" spans="1:11" ht="18.75" x14ac:dyDescent="0.3">
      <c r="A28" s="23" t="s">
        <v>56</v>
      </c>
      <c r="B28" s="35"/>
      <c r="C28" s="10"/>
      <c r="D28" s="10"/>
      <c r="E28" s="10"/>
      <c r="F28" s="13"/>
      <c r="G28" s="13"/>
      <c r="H28" s="10"/>
      <c r="I28" s="10"/>
      <c r="J28" s="10"/>
      <c r="K28" s="25">
        <f>K26+K27</f>
        <v>7978114.0790520003</v>
      </c>
    </row>
    <row r="29" spans="1:11" ht="18.75" x14ac:dyDescent="0.3">
      <c r="A29" s="23" t="s">
        <v>92</v>
      </c>
      <c r="B29" s="35">
        <v>1.34</v>
      </c>
      <c r="C29" s="10"/>
      <c r="D29" s="10"/>
      <c r="E29" s="10"/>
      <c r="F29" s="13"/>
      <c r="G29" s="13"/>
      <c r="H29" s="10"/>
      <c r="I29" s="10"/>
      <c r="J29" s="10"/>
      <c r="K29" s="25">
        <f>K28*B29</f>
        <v>10690672.865929682</v>
      </c>
    </row>
    <row r="30" spans="1:11" x14ac:dyDescent="0.25">
      <c r="F30" s="2"/>
      <c r="G30" s="2"/>
    </row>
    <row r="31" spans="1:11" x14ac:dyDescent="0.25">
      <c r="F31" s="2"/>
      <c r="G31" s="2"/>
    </row>
    <row r="32" spans="1:11" x14ac:dyDescent="0.25">
      <c r="F32" s="2"/>
      <c r="G32" s="2"/>
    </row>
    <row r="33" spans="6:6" x14ac:dyDescent="0.25">
      <c r="F33" s="2"/>
    </row>
    <row r="34" spans="6:6" x14ac:dyDescent="0.25">
      <c r="F34" s="2"/>
    </row>
  </sheetData>
  <mergeCells count="7">
    <mergeCell ref="A15:K15"/>
    <mergeCell ref="A17:K17"/>
    <mergeCell ref="A1:A2"/>
    <mergeCell ref="B1:G1"/>
    <mergeCell ref="H1:J1"/>
    <mergeCell ref="K1:K2"/>
    <mergeCell ref="A3:K3"/>
  </mergeCells>
  <pageMargins left="0.7" right="0.7" top="0.75" bottom="0.75" header="0.3" footer="0.3"/>
  <pageSetup paperSize="9"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8A67-5C4F-4085-BF9D-A17DA3450A7F}">
  <dimension ref="A1:F21"/>
  <sheetViews>
    <sheetView workbookViewId="0">
      <selection activeCell="G6" sqref="G6"/>
    </sheetView>
  </sheetViews>
  <sheetFormatPr defaultRowHeight="15" x14ac:dyDescent="0.25"/>
  <cols>
    <col min="1" max="3" width="9" customWidth="1"/>
    <col min="4" max="4" width="11" customWidth="1"/>
    <col min="5" max="5" width="11.85546875" customWidth="1"/>
  </cols>
  <sheetData>
    <row r="1" spans="1:6" s="32" customFormat="1" ht="30" x14ac:dyDescent="0.25">
      <c r="A1" s="33" t="s">
        <v>58</v>
      </c>
      <c r="B1" s="33" t="s">
        <v>59</v>
      </c>
      <c r="C1" s="33" t="s">
        <v>60</v>
      </c>
      <c r="D1" s="7" t="s">
        <v>61</v>
      </c>
      <c r="E1" s="7" t="s">
        <v>62</v>
      </c>
      <c r="F1" s="33" t="s">
        <v>37</v>
      </c>
    </row>
    <row r="2" spans="1:6" s="32" customFormat="1" x14ac:dyDescent="0.25">
      <c r="A2" s="85" t="s">
        <v>63</v>
      </c>
      <c r="B2" s="85"/>
      <c r="C2" s="85"/>
      <c r="D2" s="85"/>
      <c r="E2" s="85"/>
      <c r="F2" s="85"/>
    </row>
    <row r="3" spans="1:6" x14ac:dyDescent="0.25">
      <c r="A3" s="10">
        <v>6120</v>
      </c>
      <c r="B3" s="10">
        <v>1190</v>
      </c>
      <c r="C3" s="10">
        <v>150</v>
      </c>
      <c r="D3" s="10" t="s">
        <v>65</v>
      </c>
      <c r="E3" s="10" t="s">
        <v>66</v>
      </c>
      <c r="F3" s="10">
        <v>4</v>
      </c>
    </row>
    <row r="4" spans="1:6" x14ac:dyDescent="0.25">
      <c r="A4" s="10">
        <v>2030</v>
      </c>
      <c r="B4" s="10">
        <v>1190</v>
      </c>
      <c r="C4" s="10">
        <v>150</v>
      </c>
      <c r="D4" s="10" t="s">
        <v>65</v>
      </c>
      <c r="E4" s="10" t="s">
        <v>66</v>
      </c>
      <c r="F4" s="10">
        <v>6</v>
      </c>
    </row>
    <row r="5" spans="1:6" x14ac:dyDescent="0.25">
      <c r="A5" s="10">
        <v>6060</v>
      </c>
      <c r="B5" s="10">
        <v>1190</v>
      </c>
      <c r="C5" s="10">
        <v>150</v>
      </c>
      <c r="D5" s="10" t="s">
        <v>65</v>
      </c>
      <c r="E5" s="10" t="s">
        <v>66</v>
      </c>
      <c r="F5" s="10">
        <v>1</v>
      </c>
    </row>
    <row r="6" spans="1:6" x14ac:dyDescent="0.25">
      <c r="A6" s="10">
        <v>4980</v>
      </c>
      <c r="B6" s="10">
        <v>1190</v>
      </c>
      <c r="C6" s="10">
        <v>150</v>
      </c>
      <c r="D6" s="10" t="s">
        <v>65</v>
      </c>
      <c r="E6" s="10" t="s">
        <v>66</v>
      </c>
      <c r="F6" s="10">
        <v>1</v>
      </c>
    </row>
    <row r="7" spans="1:6" x14ac:dyDescent="0.25">
      <c r="A7" s="10">
        <v>6080</v>
      </c>
      <c r="B7" s="10">
        <v>1190</v>
      </c>
      <c r="C7" s="10">
        <v>150</v>
      </c>
      <c r="D7" s="10" t="s">
        <v>65</v>
      </c>
      <c r="E7" s="10" t="s">
        <v>66</v>
      </c>
      <c r="F7" s="10">
        <v>5</v>
      </c>
    </row>
    <row r="8" spans="1:6" x14ac:dyDescent="0.25">
      <c r="A8" s="10">
        <v>6040</v>
      </c>
      <c r="B8" s="10">
        <v>1190</v>
      </c>
      <c r="C8" s="10">
        <v>150</v>
      </c>
      <c r="D8" s="10" t="s">
        <v>65</v>
      </c>
      <c r="E8" s="10" t="s">
        <v>66</v>
      </c>
      <c r="F8" s="10">
        <v>4</v>
      </c>
    </row>
    <row r="9" spans="1:6" x14ac:dyDescent="0.25">
      <c r="A9" s="10">
        <v>5980</v>
      </c>
      <c r="B9" s="10">
        <v>1190</v>
      </c>
      <c r="C9" s="10">
        <v>150</v>
      </c>
      <c r="D9" s="10" t="s">
        <v>65</v>
      </c>
      <c r="E9" s="10" t="s">
        <v>66</v>
      </c>
      <c r="F9" s="10">
        <v>9</v>
      </c>
    </row>
    <row r="10" spans="1:6" x14ac:dyDescent="0.25">
      <c r="A10" s="10">
        <v>4940</v>
      </c>
      <c r="B10" s="10">
        <v>1190</v>
      </c>
      <c r="C10" s="10">
        <v>150</v>
      </c>
      <c r="D10" s="10" t="s">
        <v>65</v>
      </c>
      <c r="E10" s="10" t="s">
        <v>66</v>
      </c>
      <c r="F10" s="10">
        <v>1</v>
      </c>
    </row>
    <row r="11" spans="1:6" x14ac:dyDescent="0.25">
      <c r="A11" s="10">
        <v>740</v>
      </c>
      <c r="B11" s="10">
        <v>1190</v>
      </c>
      <c r="C11" s="10">
        <v>150</v>
      </c>
      <c r="D11" s="10" t="s">
        <v>65</v>
      </c>
      <c r="E11" s="10" t="s">
        <v>66</v>
      </c>
      <c r="F11" s="10">
        <v>1</v>
      </c>
    </row>
    <row r="12" spans="1:6" x14ac:dyDescent="0.25">
      <c r="A12" s="10">
        <v>1340</v>
      </c>
      <c r="B12" s="10">
        <v>1190</v>
      </c>
      <c r="C12" s="10">
        <v>150</v>
      </c>
      <c r="D12" s="10" t="s">
        <v>65</v>
      </c>
      <c r="E12" s="10" t="s">
        <v>66</v>
      </c>
      <c r="F12" s="10">
        <v>1</v>
      </c>
    </row>
    <row r="13" spans="1:6" x14ac:dyDescent="0.25">
      <c r="A13" s="10">
        <v>5460</v>
      </c>
      <c r="B13" s="10">
        <v>1190</v>
      </c>
      <c r="C13" s="10">
        <v>150</v>
      </c>
      <c r="D13" s="10" t="s">
        <v>65</v>
      </c>
      <c r="E13" s="10" t="s">
        <v>66</v>
      </c>
      <c r="F13" s="10">
        <v>4</v>
      </c>
    </row>
    <row r="14" spans="1:6" x14ac:dyDescent="0.25">
      <c r="A14" s="10">
        <v>5230</v>
      </c>
      <c r="B14" s="10">
        <v>1190</v>
      </c>
      <c r="C14" s="10">
        <v>150</v>
      </c>
      <c r="D14" s="10" t="s">
        <v>65</v>
      </c>
      <c r="E14" s="10" t="s">
        <v>66</v>
      </c>
      <c r="F14" s="10">
        <v>7</v>
      </c>
    </row>
    <row r="15" spans="1:6" x14ac:dyDescent="0.25">
      <c r="A15" s="10">
        <v>615</v>
      </c>
      <c r="B15" s="10">
        <v>1190</v>
      </c>
      <c r="C15" s="10">
        <v>150</v>
      </c>
      <c r="D15" s="10" t="s">
        <v>65</v>
      </c>
      <c r="E15" s="10" t="s">
        <v>66</v>
      </c>
      <c r="F15" s="10">
        <v>2</v>
      </c>
    </row>
    <row r="16" spans="1:6" x14ac:dyDescent="0.25">
      <c r="A16" s="10">
        <v>2540</v>
      </c>
      <c r="B16" s="10">
        <v>1190</v>
      </c>
      <c r="C16" s="10">
        <v>150</v>
      </c>
      <c r="D16" s="10" t="s">
        <v>65</v>
      </c>
      <c r="E16" s="10" t="s">
        <v>66</v>
      </c>
      <c r="F16" s="10">
        <v>4</v>
      </c>
    </row>
    <row r="17" spans="1:6" x14ac:dyDescent="0.25">
      <c r="A17" s="85" t="s">
        <v>64</v>
      </c>
      <c r="B17" s="85"/>
      <c r="C17" s="85"/>
      <c r="D17" s="85"/>
      <c r="E17" s="85"/>
      <c r="F17" s="85"/>
    </row>
    <row r="18" spans="1:6" x14ac:dyDescent="0.25">
      <c r="A18" s="10">
        <v>9260</v>
      </c>
      <c r="B18" s="10">
        <v>1000</v>
      </c>
      <c r="C18" s="10">
        <v>200</v>
      </c>
      <c r="D18" s="10" t="s">
        <v>65</v>
      </c>
      <c r="E18" s="10" t="s">
        <v>66</v>
      </c>
      <c r="F18" s="10">
        <v>20</v>
      </c>
    </row>
    <row r="19" spans="1:6" x14ac:dyDescent="0.25">
      <c r="A19" s="10">
        <v>9560</v>
      </c>
      <c r="B19" s="10">
        <v>1000</v>
      </c>
      <c r="C19" s="10">
        <v>200</v>
      </c>
      <c r="D19" s="10" t="s">
        <v>65</v>
      </c>
      <c r="E19" s="10" t="s">
        <v>66</v>
      </c>
      <c r="F19" s="10">
        <v>21</v>
      </c>
    </row>
    <row r="20" spans="1:6" x14ac:dyDescent="0.25">
      <c r="A20" s="10">
        <v>6170</v>
      </c>
      <c r="B20" s="10">
        <v>1000</v>
      </c>
      <c r="C20" s="10">
        <v>200</v>
      </c>
      <c r="D20" s="10" t="s">
        <v>65</v>
      </c>
      <c r="E20" s="10" t="s">
        <v>66</v>
      </c>
      <c r="F20" s="10">
        <v>1</v>
      </c>
    </row>
    <row r="21" spans="1:6" x14ac:dyDescent="0.25">
      <c r="A21" s="10">
        <v>3330</v>
      </c>
      <c r="B21" s="10">
        <v>1000</v>
      </c>
      <c r="C21" s="10">
        <v>200</v>
      </c>
      <c r="D21" s="10" t="s">
        <v>65</v>
      </c>
      <c r="E21" s="10" t="s">
        <v>66</v>
      </c>
      <c r="F21" s="10">
        <v>1</v>
      </c>
    </row>
  </sheetData>
  <mergeCells count="2">
    <mergeCell ref="A2:F2"/>
    <mergeCell ref="A17:F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574F-11D8-40AD-8ECD-5036B57FF1F0}">
  <sheetPr>
    <pageSetUpPr fitToPage="1"/>
  </sheetPr>
  <dimension ref="A1:K79"/>
  <sheetViews>
    <sheetView zoomScaleNormal="100" workbookViewId="0">
      <selection activeCell="C6" sqref="C6:G6"/>
    </sheetView>
  </sheetViews>
  <sheetFormatPr defaultRowHeight="15.75" x14ac:dyDescent="0.25"/>
  <cols>
    <col min="1" max="1" width="34.5703125" style="36" customWidth="1"/>
    <col min="2" max="2" width="9.140625" style="46"/>
    <col min="3" max="6" width="9.140625" style="36"/>
    <col min="7" max="7" width="12.42578125" style="36" customWidth="1"/>
    <col min="8" max="8" width="9.140625" style="36"/>
    <col min="9" max="9" width="12.28515625" style="36" customWidth="1"/>
    <col min="10" max="10" width="13.7109375" style="36" customWidth="1"/>
    <col min="11" max="11" width="15.140625" style="63" customWidth="1"/>
    <col min="12" max="16384" width="9.140625" style="36"/>
  </cols>
  <sheetData>
    <row r="1" spans="1:11" ht="15" x14ac:dyDescent="0.25">
      <c r="A1" s="89" t="s">
        <v>35</v>
      </c>
      <c r="B1" s="90" t="s">
        <v>42</v>
      </c>
      <c r="C1" s="90"/>
      <c r="D1" s="90"/>
      <c r="E1" s="90"/>
      <c r="F1" s="90"/>
      <c r="G1" s="90"/>
      <c r="H1" s="90" t="s">
        <v>45</v>
      </c>
      <c r="I1" s="90"/>
      <c r="J1" s="90"/>
      <c r="K1" s="91" t="s">
        <v>23</v>
      </c>
    </row>
    <row r="2" spans="1:11" s="38" customFormat="1" ht="30" x14ac:dyDescent="0.25">
      <c r="A2" s="89"/>
      <c r="B2" s="37" t="s">
        <v>36</v>
      </c>
      <c r="C2" s="37" t="s">
        <v>37</v>
      </c>
      <c r="D2" s="37" t="s">
        <v>38</v>
      </c>
      <c r="E2" s="37" t="s">
        <v>39</v>
      </c>
      <c r="F2" s="37" t="s">
        <v>40</v>
      </c>
      <c r="G2" s="37" t="s">
        <v>41</v>
      </c>
      <c r="H2" s="37" t="s">
        <v>43</v>
      </c>
      <c r="I2" s="37" t="s">
        <v>44</v>
      </c>
      <c r="J2" s="68" t="s">
        <v>46</v>
      </c>
      <c r="K2" s="91"/>
    </row>
    <row r="3" spans="1:11" ht="15.75" customHeight="1" x14ac:dyDescent="0.25">
      <c r="A3" s="86" t="s">
        <v>14</v>
      </c>
      <c r="B3" s="87"/>
      <c r="C3" s="87"/>
      <c r="D3" s="87"/>
      <c r="E3" s="87"/>
      <c r="F3" s="87"/>
      <c r="G3" s="87"/>
      <c r="H3" s="87"/>
      <c r="I3" s="87"/>
      <c r="J3" s="87"/>
      <c r="K3" s="88"/>
    </row>
    <row r="4" spans="1:11" x14ac:dyDescent="0.25">
      <c r="A4" s="39" t="s">
        <v>0</v>
      </c>
      <c r="B4" s="40"/>
      <c r="C4" s="39"/>
      <c r="D4" s="39"/>
      <c r="E4" s="39"/>
      <c r="F4" s="41"/>
      <c r="G4" s="41"/>
      <c r="H4" s="39"/>
      <c r="I4" s="39"/>
      <c r="J4" s="69"/>
    </row>
    <row r="5" spans="1:11" x14ac:dyDescent="0.25">
      <c r="A5" s="42" t="s">
        <v>6</v>
      </c>
      <c r="B5" s="40" t="s">
        <v>2</v>
      </c>
      <c r="C5" s="39">
        <f>ROUNDUP((160+16+107)*1.05/12, 0)*12</f>
        <v>300</v>
      </c>
      <c r="D5" s="39">
        <f>0.888*1.04</f>
        <v>0.92352000000000001</v>
      </c>
      <c r="E5" s="39">
        <f>ROUND(C5*D5/1000,3)</f>
        <v>0.27700000000000002</v>
      </c>
      <c r="F5" s="41">
        <v>57000</v>
      </c>
      <c r="G5" s="41">
        <f>E5*F5</f>
        <v>15789.000000000002</v>
      </c>
      <c r="H5" s="39"/>
      <c r="I5" s="39"/>
      <c r="J5" s="69"/>
    </row>
    <row r="6" spans="1:11" x14ac:dyDescent="0.25">
      <c r="A6" s="42" t="s">
        <v>7</v>
      </c>
      <c r="B6" s="40" t="s">
        <v>2</v>
      </c>
      <c r="C6" s="39">
        <f>ROUNDUP(3985*1.1/12,0)*12*2</f>
        <v>8784</v>
      </c>
      <c r="D6" s="39">
        <f>0.616*1.04</f>
        <v>0.64063999999999999</v>
      </c>
      <c r="E6" s="39">
        <f t="shared" ref="E6" si="0">ROUND(C6*D6/1000,3)</f>
        <v>5.6269999999999998</v>
      </c>
      <c r="F6" s="41">
        <v>59000</v>
      </c>
      <c r="G6" s="41">
        <f t="shared" ref="G6" si="1">E6*F6</f>
        <v>331993</v>
      </c>
      <c r="H6" s="39"/>
      <c r="I6" s="39"/>
      <c r="J6" s="69"/>
    </row>
    <row r="7" spans="1:11" x14ac:dyDescent="0.25">
      <c r="A7" s="43" t="s">
        <v>74</v>
      </c>
      <c r="B7" s="40" t="s">
        <v>3</v>
      </c>
      <c r="C7" s="39">
        <v>37</v>
      </c>
      <c r="D7" s="39"/>
      <c r="E7" s="39"/>
      <c r="F7" s="41">
        <v>5800</v>
      </c>
      <c r="G7" s="41">
        <f>C7*F7</f>
        <v>214600</v>
      </c>
      <c r="H7" s="41">
        <v>1500</v>
      </c>
      <c r="I7" s="41">
        <f>C7*H7</f>
        <v>55500</v>
      </c>
      <c r="J7" s="69"/>
    </row>
    <row r="8" spans="1:11" x14ac:dyDescent="0.25">
      <c r="A8" s="39" t="s">
        <v>67</v>
      </c>
      <c r="B8" s="40" t="s">
        <v>3</v>
      </c>
      <c r="C8" s="39">
        <v>115</v>
      </c>
      <c r="D8" s="39"/>
      <c r="E8" s="39"/>
      <c r="F8" s="41">
        <v>6600</v>
      </c>
      <c r="G8" s="41">
        <f>C8*F8</f>
        <v>759000</v>
      </c>
      <c r="H8" s="41">
        <v>3500</v>
      </c>
      <c r="I8" s="41">
        <f>C8*H8</f>
        <v>402500</v>
      </c>
      <c r="J8" s="69"/>
    </row>
    <row r="9" spans="1:11" x14ac:dyDescent="0.25">
      <c r="A9" s="39" t="s">
        <v>24</v>
      </c>
      <c r="B9" s="40" t="s">
        <v>3</v>
      </c>
      <c r="C9" s="39">
        <v>120</v>
      </c>
      <c r="D9" s="39">
        <v>1.5</v>
      </c>
      <c r="E9" s="39">
        <f>C9*D9</f>
        <v>180</v>
      </c>
      <c r="F9" s="41">
        <v>700</v>
      </c>
      <c r="G9" s="41">
        <f>E9*F9</f>
        <v>126000</v>
      </c>
      <c r="H9" s="41">
        <v>1500</v>
      </c>
      <c r="I9" s="41">
        <f>C9*H9</f>
        <v>180000</v>
      </c>
      <c r="J9" s="69"/>
    </row>
    <row r="10" spans="1:11" x14ac:dyDescent="0.25">
      <c r="A10" s="39" t="s">
        <v>25</v>
      </c>
      <c r="B10" s="40" t="s">
        <v>3</v>
      </c>
      <c r="C10" s="39">
        <v>40</v>
      </c>
      <c r="D10" s="39">
        <v>1.45</v>
      </c>
      <c r="E10" s="39">
        <f>C10*D10</f>
        <v>58</v>
      </c>
      <c r="F10" s="41">
        <v>1350</v>
      </c>
      <c r="G10" s="41">
        <f>E10*F10</f>
        <v>78300</v>
      </c>
      <c r="H10" s="41">
        <v>1500</v>
      </c>
      <c r="I10" s="41">
        <f>C10*H10</f>
        <v>60000</v>
      </c>
      <c r="J10" s="69"/>
    </row>
    <row r="11" spans="1:11" x14ac:dyDescent="0.25">
      <c r="A11" s="39" t="s">
        <v>26</v>
      </c>
      <c r="B11" s="40" t="s">
        <v>4</v>
      </c>
      <c r="C11" s="39">
        <v>700</v>
      </c>
      <c r="D11" s="39"/>
      <c r="E11" s="39"/>
      <c r="F11" s="41">
        <v>90</v>
      </c>
      <c r="G11" s="41">
        <f>C11*F11</f>
        <v>63000</v>
      </c>
      <c r="H11" s="39"/>
      <c r="I11" s="39"/>
      <c r="J11" s="69"/>
    </row>
    <row r="12" spans="1:11" x14ac:dyDescent="0.25">
      <c r="A12" s="39" t="s">
        <v>17</v>
      </c>
      <c r="B12" s="40" t="s">
        <v>18</v>
      </c>
      <c r="C12" s="39">
        <v>16</v>
      </c>
      <c r="D12" s="39"/>
      <c r="E12" s="39"/>
      <c r="F12" s="41">
        <v>3500</v>
      </c>
      <c r="G12" s="41">
        <f>C12*F12</f>
        <v>56000</v>
      </c>
      <c r="H12" s="39"/>
      <c r="I12" s="39"/>
      <c r="J12" s="69"/>
    </row>
    <row r="13" spans="1:11" x14ac:dyDescent="0.25">
      <c r="A13" s="39" t="s">
        <v>51</v>
      </c>
      <c r="B13" s="40" t="s">
        <v>68</v>
      </c>
      <c r="C13" s="39">
        <v>2</v>
      </c>
      <c r="D13" s="39"/>
      <c r="E13" s="39"/>
      <c r="F13" s="41">
        <v>30000</v>
      </c>
      <c r="G13" s="41">
        <f>C13*F13</f>
        <v>60000</v>
      </c>
      <c r="H13" s="39"/>
      <c r="I13" s="39"/>
      <c r="J13" s="69"/>
    </row>
    <row r="14" spans="1:11" x14ac:dyDescent="0.25">
      <c r="A14" s="39" t="s">
        <v>71</v>
      </c>
      <c r="B14" s="40" t="s">
        <v>4</v>
      </c>
      <c r="C14" s="39">
        <v>365</v>
      </c>
      <c r="D14" s="39"/>
      <c r="E14" s="39"/>
      <c r="F14" s="41"/>
      <c r="G14" s="41"/>
      <c r="H14" s="41">
        <v>300</v>
      </c>
      <c r="I14" s="41">
        <f>C14*H14</f>
        <v>109500</v>
      </c>
      <c r="J14" s="69"/>
    </row>
    <row r="15" spans="1:11" x14ac:dyDescent="0.25">
      <c r="A15" s="39" t="s">
        <v>22</v>
      </c>
      <c r="B15" s="40"/>
      <c r="C15" s="39"/>
      <c r="D15" s="39"/>
      <c r="E15" s="39"/>
      <c r="F15" s="41"/>
      <c r="G15" s="41">
        <v>20000</v>
      </c>
      <c r="H15" s="39"/>
      <c r="I15" s="39"/>
      <c r="J15" s="69"/>
    </row>
    <row r="16" spans="1:11" x14ac:dyDescent="0.25">
      <c r="A16" s="44" t="s">
        <v>23</v>
      </c>
      <c r="B16" s="40" t="s">
        <v>4</v>
      </c>
      <c r="C16" s="39">
        <v>360</v>
      </c>
      <c r="D16" s="39"/>
      <c r="E16" s="39"/>
      <c r="F16" s="41"/>
      <c r="G16" s="45">
        <f>SUM(G4:G15)</f>
        <v>1724682</v>
      </c>
      <c r="H16" s="41"/>
      <c r="I16" s="45">
        <f>SUM(I7:I14)</f>
        <v>807500</v>
      </c>
      <c r="J16" s="70">
        <f>I16*1.2*1.08</f>
        <v>1046520.0000000001</v>
      </c>
      <c r="K16" s="72">
        <f>G16+J16</f>
        <v>2771202</v>
      </c>
    </row>
    <row r="17" spans="1:11" x14ac:dyDescent="0.25">
      <c r="A17" s="36" t="s">
        <v>69</v>
      </c>
      <c r="F17" s="47"/>
      <c r="G17" s="47"/>
      <c r="K17" s="73">
        <f>-'Расчет стоимости'!K12</f>
        <v>-411553</v>
      </c>
    </row>
    <row r="18" spans="1:11" x14ac:dyDescent="0.25">
      <c r="A18" s="36" t="s">
        <v>70</v>
      </c>
      <c r="F18" s="47"/>
      <c r="G18" s="47"/>
      <c r="K18" s="73">
        <f>-'Расчет стоимости'!K37</f>
        <v>-1401786</v>
      </c>
    </row>
    <row r="19" spans="1:11" s="51" customFormat="1" ht="18.75" x14ac:dyDescent="0.25">
      <c r="A19" s="48" t="s">
        <v>53</v>
      </c>
      <c r="B19" s="49"/>
      <c r="C19" s="48"/>
      <c r="D19" s="48"/>
      <c r="E19" s="48"/>
      <c r="F19" s="50"/>
      <c r="G19" s="50"/>
      <c r="H19" s="48"/>
      <c r="I19" s="50"/>
      <c r="J19" s="71"/>
      <c r="K19" s="74">
        <f>SUM(K16:K18)</f>
        <v>957863</v>
      </c>
    </row>
    <row r="20" spans="1:11" x14ac:dyDescent="0.25">
      <c r="A20" s="39" t="s">
        <v>72</v>
      </c>
      <c r="B20" s="52">
        <v>0.08</v>
      </c>
      <c r="C20" s="39"/>
      <c r="D20" s="39"/>
      <c r="E20" s="39"/>
      <c r="F20" s="41"/>
      <c r="G20" s="41"/>
      <c r="H20" s="39"/>
      <c r="I20" s="39"/>
      <c r="J20" s="69"/>
      <c r="K20" s="72">
        <f>K19*B20</f>
        <v>76629.040000000008</v>
      </c>
    </row>
    <row r="21" spans="1:11" x14ac:dyDescent="0.25">
      <c r="A21" s="39" t="s">
        <v>73</v>
      </c>
      <c r="B21" s="52">
        <v>0.2</v>
      </c>
      <c r="C21" s="39"/>
      <c r="D21" s="39"/>
      <c r="E21" s="39"/>
      <c r="F21" s="41"/>
      <c r="G21" s="41"/>
      <c r="H21" s="39"/>
      <c r="I21" s="39"/>
      <c r="J21" s="69"/>
      <c r="K21" s="72">
        <f>K19*B21</f>
        <v>191572.6</v>
      </c>
    </row>
    <row r="22" spans="1:11" ht="18.75" x14ac:dyDescent="0.25">
      <c r="A22" s="48" t="s">
        <v>56</v>
      </c>
      <c r="B22" s="40"/>
      <c r="C22" s="39"/>
      <c r="D22" s="39"/>
      <c r="E22" s="39"/>
      <c r="F22" s="41"/>
      <c r="G22" s="41"/>
      <c r="H22" s="39"/>
      <c r="I22" s="39"/>
      <c r="J22" s="69"/>
      <c r="K22" s="74">
        <f>K19+K20+K21</f>
        <v>1226064.6400000001</v>
      </c>
    </row>
    <row r="23" spans="1:11" x14ac:dyDescent="0.25">
      <c r="F23" s="47"/>
      <c r="G23" s="47"/>
    </row>
    <row r="24" spans="1:11" x14ac:dyDescent="0.25">
      <c r="F24" s="47"/>
    </row>
    <row r="25" spans="1:11" s="60" customFormat="1" ht="60" x14ac:dyDescent="0.25">
      <c r="A25" s="54" t="s">
        <v>77</v>
      </c>
      <c r="B25" s="59" t="s">
        <v>4</v>
      </c>
      <c r="C25" s="44">
        <v>365</v>
      </c>
      <c r="D25" s="44"/>
      <c r="E25" s="44"/>
      <c r="F25" s="45"/>
      <c r="G25" s="45">
        <f>G26+G27</f>
        <v>112000</v>
      </c>
      <c r="H25" s="44">
        <v>100</v>
      </c>
      <c r="I25" s="45">
        <f>C25*H25</f>
        <v>36500</v>
      </c>
      <c r="J25" s="45">
        <f>G25+I25</f>
        <v>148500</v>
      </c>
      <c r="K25" s="75"/>
    </row>
    <row r="26" spans="1:11" ht="15" x14ac:dyDescent="0.25">
      <c r="A26" s="55" t="s">
        <v>24</v>
      </c>
      <c r="B26" s="40" t="s">
        <v>3</v>
      </c>
      <c r="C26" s="39">
        <v>80</v>
      </c>
      <c r="D26" s="39">
        <v>1.5</v>
      </c>
      <c r="E26" s="39">
        <f>C26*D26</f>
        <v>120</v>
      </c>
      <c r="F26" s="41">
        <v>700</v>
      </c>
      <c r="G26" s="41">
        <f>E26*F26</f>
        <v>84000</v>
      </c>
      <c r="H26" s="41"/>
      <c r="I26" s="41"/>
      <c r="J26" s="41"/>
      <c r="K26" s="53"/>
    </row>
    <row r="27" spans="1:11" ht="15" x14ac:dyDescent="0.25">
      <c r="A27" s="55" t="s">
        <v>17</v>
      </c>
      <c r="B27" s="40" t="s">
        <v>18</v>
      </c>
      <c r="C27" s="39">
        <v>8</v>
      </c>
      <c r="D27" s="39"/>
      <c r="E27" s="39"/>
      <c r="F27" s="41">
        <v>3500</v>
      </c>
      <c r="G27" s="41">
        <f>C27*F27</f>
        <v>28000</v>
      </c>
      <c r="H27" s="41"/>
      <c r="I27" s="41"/>
      <c r="J27" s="41"/>
      <c r="K27" s="53"/>
    </row>
    <row r="28" spans="1:11" s="60" customFormat="1" ht="45" x14ac:dyDescent="0.25">
      <c r="A28" s="54" t="s">
        <v>75</v>
      </c>
      <c r="B28" s="59" t="s">
        <v>3</v>
      </c>
      <c r="C28" s="44">
        <v>40</v>
      </c>
      <c r="D28" s="44"/>
      <c r="E28" s="44"/>
      <c r="F28" s="45"/>
      <c r="G28" s="45">
        <f>G29+G30</f>
        <v>92300</v>
      </c>
      <c r="H28" s="45">
        <v>1500</v>
      </c>
      <c r="I28" s="45">
        <f>C28*H28</f>
        <v>60000</v>
      </c>
      <c r="J28" s="45">
        <f>G28+I28</f>
        <v>152300</v>
      </c>
      <c r="K28" s="67"/>
    </row>
    <row r="29" spans="1:11" ht="15" x14ac:dyDescent="0.25">
      <c r="A29" s="55" t="s">
        <v>25</v>
      </c>
      <c r="B29" s="40"/>
      <c r="C29" s="39">
        <v>40</v>
      </c>
      <c r="D29" s="39">
        <v>1.45</v>
      </c>
      <c r="E29" s="39">
        <f>C29*D29</f>
        <v>58</v>
      </c>
      <c r="F29" s="41">
        <v>1350</v>
      </c>
      <c r="G29" s="41">
        <f>E29*F29</f>
        <v>78300</v>
      </c>
      <c r="H29" s="41"/>
      <c r="I29" s="41"/>
      <c r="J29" s="41"/>
      <c r="K29" s="53"/>
    </row>
    <row r="30" spans="1:11" ht="15" x14ac:dyDescent="0.25">
      <c r="A30" s="55" t="s">
        <v>17</v>
      </c>
      <c r="B30" s="40" t="s">
        <v>18</v>
      </c>
      <c r="C30" s="39">
        <v>4</v>
      </c>
      <c r="D30" s="39"/>
      <c r="E30" s="39"/>
      <c r="F30" s="41">
        <v>3500</v>
      </c>
      <c r="G30" s="41">
        <f>C30*F30</f>
        <v>14000</v>
      </c>
      <c r="H30" s="41"/>
      <c r="I30" s="41"/>
      <c r="J30" s="41"/>
      <c r="K30" s="53"/>
    </row>
    <row r="31" spans="1:11" s="60" customFormat="1" ht="45" x14ac:dyDescent="0.25">
      <c r="A31" s="54" t="s">
        <v>76</v>
      </c>
      <c r="B31" s="59" t="s">
        <v>3</v>
      </c>
      <c r="C31" s="44">
        <v>40</v>
      </c>
      <c r="D31" s="44"/>
      <c r="E31" s="44"/>
      <c r="F31" s="45"/>
      <c r="G31" s="45">
        <f>G32+G33</f>
        <v>56000</v>
      </c>
      <c r="H31" s="45">
        <v>1500</v>
      </c>
      <c r="I31" s="45">
        <f>H31*C31</f>
        <v>60000</v>
      </c>
      <c r="J31" s="45">
        <f>G31+I31</f>
        <v>116000</v>
      </c>
      <c r="K31" s="67"/>
    </row>
    <row r="32" spans="1:11" ht="15" x14ac:dyDescent="0.25">
      <c r="A32" s="55" t="s">
        <v>24</v>
      </c>
      <c r="B32" s="40" t="s">
        <v>3</v>
      </c>
      <c r="C32" s="39">
        <v>40</v>
      </c>
      <c r="D32" s="39">
        <v>1.5</v>
      </c>
      <c r="E32" s="39">
        <f>C32*D32</f>
        <v>60</v>
      </c>
      <c r="F32" s="41">
        <v>700</v>
      </c>
      <c r="G32" s="41">
        <f>E32*F32</f>
        <v>42000</v>
      </c>
      <c r="H32" s="41"/>
      <c r="I32" s="41"/>
      <c r="J32" s="41"/>
      <c r="K32" s="53"/>
    </row>
    <row r="33" spans="1:11" ht="15" x14ac:dyDescent="0.25">
      <c r="A33" s="55" t="s">
        <v>17</v>
      </c>
      <c r="B33" s="40" t="s">
        <v>18</v>
      </c>
      <c r="C33" s="39">
        <v>4</v>
      </c>
      <c r="D33" s="39"/>
      <c r="E33" s="39"/>
      <c r="F33" s="41">
        <v>3500</v>
      </c>
      <c r="G33" s="41">
        <f>C33*F33</f>
        <v>14000</v>
      </c>
      <c r="H33" s="41"/>
      <c r="I33" s="41"/>
      <c r="J33" s="41"/>
      <c r="K33" s="53"/>
    </row>
    <row r="34" spans="1:11" s="60" customFormat="1" ht="30" x14ac:dyDescent="0.25">
      <c r="A34" s="54" t="s">
        <v>81</v>
      </c>
      <c r="B34" s="59" t="s">
        <v>3</v>
      </c>
      <c r="C34" s="44">
        <v>36.5</v>
      </c>
      <c r="D34" s="44"/>
      <c r="E34" s="44"/>
      <c r="F34" s="44"/>
      <c r="G34" s="45">
        <f>SUM(G35:G37)</f>
        <v>273050</v>
      </c>
      <c r="H34" s="45">
        <v>1500</v>
      </c>
      <c r="I34" s="45">
        <f>C34*H34</f>
        <v>54750</v>
      </c>
      <c r="J34" s="45">
        <f>G34+I34</f>
        <v>327800</v>
      </c>
      <c r="K34" s="75"/>
    </row>
    <row r="35" spans="1:11" x14ac:dyDescent="0.25">
      <c r="A35" s="55" t="s">
        <v>82</v>
      </c>
      <c r="B35" s="40" t="s">
        <v>3</v>
      </c>
      <c r="C35" s="39">
        <v>40</v>
      </c>
      <c r="D35" s="39"/>
      <c r="E35" s="39"/>
      <c r="F35" s="41">
        <v>5800</v>
      </c>
      <c r="G35" s="41">
        <f>C35*F35</f>
        <v>232000</v>
      </c>
      <c r="H35" s="41"/>
      <c r="I35" s="41"/>
      <c r="J35" s="41"/>
    </row>
    <row r="36" spans="1:11" x14ac:dyDescent="0.25">
      <c r="A36" s="55" t="s">
        <v>83</v>
      </c>
      <c r="B36" s="40" t="s">
        <v>3</v>
      </c>
      <c r="C36" s="39">
        <v>0.5</v>
      </c>
      <c r="D36" s="39"/>
      <c r="E36" s="39"/>
      <c r="F36" s="41"/>
      <c r="G36" s="41">
        <v>15000</v>
      </c>
      <c r="H36" s="41"/>
      <c r="I36" s="41"/>
      <c r="J36" s="41"/>
    </row>
    <row r="37" spans="1:11" x14ac:dyDescent="0.25">
      <c r="A37" s="55" t="s">
        <v>84</v>
      </c>
      <c r="B37" s="40"/>
      <c r="C37" s="39"/>
      <c r="D37" s="39"/>
      <c r="E37" s="39"/>
      <c r="F37" s="41"/>
      <c r="G37" s="41">
        <v>26050</v>
      </c>
      <c r="H37" s="41"/>
      <c r="I37" s="41"/>
      <c r="J37" s="41"/>
    </row>
    <row r="38" spans="1:11" s="60" customFormat="1" ht="30" x14ac:dyDescent="0.25">
      <c r="A38" s="54" t="s">
        <v>78</v>
      </c>
      <c r="B38" s="59" t="s">
        <v>4</v>
      </c>
      <c r="C38" s="44">
        <v>365</v>
      </c>
      <c r="D38" s="44"/>
      <c r="E38" s="44"/>
      <c r="F38" s="45"/>
      <c r="G38" s="45">
        <f>G39</f>
        <v>63000</v>
      </c>
      <c r="H38" s="45">
        <v>50</v>
      </c>
      <c r="I38" s="45">
        <f>C38*H38</f>
        <v>18250</v>
      </c>
      <c r="J38" s="45">
        <f>G38+I38</f>
        <v>81250</v>
      </c>
      <c r="K38" s="75"/>
    </row>
    <row r="39" spans="1:11" x14ac:dyDescent="0.25">
      <c r="A39" s="55" t="s">
        <v>26</v>
      </c>
      <c r="B39" s="40" t="s">
        <v>4</v>
      </c>
      <c r="C39" s="39">
        <v>700</v>
      </c>
      <c r="D39" s="39"/>
      <c r="E39" s="39"/>
      <c r="F39" s="41">
        <v>90</v>
      </c>
      <c r="G39" s="41">
        <f>C39*F39</f>
        <v>63000</v>
      </c>
      <c r="H39" s="41"/>
      <c r="I39" s="41"/>
      <c r="J39" s="41"/>
    </row>
    <row r="40" spans="1:11" s="60" customFormat="1" ht="30" x14ac:dyDescent="0.25">
      <c r="A40" s="54" t="s">
        <v>79</v>
      </c>
      <c r="B40" s="59" t="s">
        <v>3</v>
      </c>
      <c r="C40" s="44">
        <v>110</v>
      </c>
      <c r="D40" s="44"/>
      <c r="E40" s="44"/>
      <c r="F40" s="45"/>
      <c r="G40" s="45">
        <f>SUM(G41:G43)</f>
        <v>874100</v>
      </c>
      <c r="H40" s="45">
        <v>3500</v>
      </c>
      <c r="I40" s="45">
        <f>C40*H40</f>
        <v>385000</v>
      </c>
      <c r="J40" s="45">
        <f>G40+I40</f>
        <v>1259100</v>
      </c>
      <c r="K40" s="75"/>
    </row>
    <row r="41" spans="1:11" x14ac:dyDescent="0.25">
      <c r="A41" s="55" t="s">
        <v>67</v>
      </c>
      <c r="B41" s="40" t="s">
        <v>3</v>
      </c>
      <c r="C41" s="39">
        <v>120</v>
      </c>
      <c r="D41" s="39"/>
      <c r="E41" s="39"/>
      <c r="F41" s="41">
        <v>6600</v>
      </c>
      <c r="G41" s="41">
        <f>C41*F41</f>
        <v>792000</v>
      </c>
      <c r="H41" s="41"/>
      <c r="I41" s="41"/>
      <c r="J41" s="41"/>
    </row>
    <row r="42" spans="1:11" x14ac:dyDescent="0.25">
      <c r="A42" s="55" t="s">
        <v>83</v>
      </c>
      <c r="B42" s="40" t="s">
        <v>85</v>
      </c>
      <c r="C42" s="39">
        <v>7</v>
      </c>
      <c r="D42" s="39"/>
      <c r="E42" s="39"/>
      <c r="F42" s="41">
        <v>4000</v>
      </c>
      <c r="G42" s="41">
        <f>C42*F42</f>
        <v>28000</v>
      </c>
      <c r="H42" s="41"/>
      <c r="I42" s="41"/>
      <c r="J42" s="41"/>
    </row>
    <row r="43" spans="1:11" x14ac:dyDescent="0.25">
      <c r="A43" s="55" t="s">
        <v>84</v>
      </c>
      <c r="B43" s="40"/>
      <c r="C43" s="39"/>
      <c r="D43" s="39"/>
      <c r="E43" s="39"/>
      <c r="F43" s="41"/>
      <c r="G43" s="41">
        <v>54100</v>
      </c>
      <c r="H43" s="41"/>
      <c r="I43" s="41"/>
      <c r="J43" s="41"/>
    </row>
    <row r="44" spans="1:11" s="60" customFormat="1" x14ac:dyDescent="0.25">
      <c r="A44" s="54" t="s">
        <v>80</v>
      </c>
      <c r="B44" s="59" t="s">
        <v>4</v>
      </c>
      <c r="C44" s="44">
        <v>365</v>
      </c>
      <c r="D44" s="44"/>
      <c r="E44" s="44"/>
      <c r="F44" s="45"/>
      <c r="H44" s="45">
        <v>300</v>
      </c>
      <c r="I44" s="45">
        <f>C44*H44</f>
        <v>109500</v>
      </c>
      <c r="J44" s="45">
        <f>I44</f>
        <v>109500</v>
      </c>
      <c r="K44" s="75"/>
    </row>
    <row r="45" spans="1:11" s="60" customFormat="1" x14ac:dyDescent="0.25">
      <c r="A45" s="44" t="s">
        <v>86</v>
      </c>
      <c r="B45" s="59"/>
      <c r="C45" s="44"/>
      <c r="D45" s="44"/>
      <c r="E45" s="44"/>
      <c r="F45" s="44"/>
      <c r="G45" s="45">
        <f>G25+G28+G31+G34+G38+G40</f>
        <v>1470450</v>
      </c>
      <c r="H45" s="45"/>
      <c r="I45" s="45">
        <f>SUM(I25:I44)</f>
        <v>724000</v>
      </c>
      <c r="J45" s="45">
        <f>SUM(J25:J44)</f>
        <v>2194450</v>
      </c>
      <c r="K45" s="75"/>
    </row>
    <row r="46" spans="1:11" s="58" customFormat="1" x14ac:dyDescent="0.25">
      <c r="A46" s="56" t="s">
        <v>89</v>
      </c>
      <c r="B46" s="76">
        <v>0.05</v>
      </c>
      <c r="C46" s="56"/>
      <c r="D46" s="56"/>
      <c r="E46" s="56"/>
      <c r="F46" s="56"/>
      <c r="G46" s="57">
        <f>G45*B46</f>
        <v>73522.5</v>
      </c>
      <c r="H46" s="57"/>
      <c r="I46" s="57"/>
      <c r="J46" s="57"/>
      <c r="K46" s="63"/>
    </row>
    <row r="47" spans="1:11" s="60" customFormat="1" x14ac:dyDescent="0.25">
      <c r="A47" s="44" t="s">
        <v>86</v>
      </c>
      <c r="B47" s="59"/>
      <c r="C47" s="44"/>
      <c r="D47" s="44"/>
      <c r="E47" s="44"/>
      <c r="F47" s="44"/>
      <c r="G47" s="45">
        <f>G45+G46</f>
        <v>1543972.5</v>
      </c>
      <c r="H47" s="45"/>
      <c r="I47" s="45">
        <f>I45</f>
        <v>724000</v>
      </c>
      <c r="J47" s="45">
        <f>G47+I47</f>
        <v>2267972.5</v>
      </c>
      <c r="K47" s="75"/>
    </row>
    <row r="48" spans="1:11" x14ac:dyDescent="0.25">
      <c r="A48" s="39" t="s">
        <v>72</v>
      </c>
      <c r="B48" s="52">
        <v>0.08</v>
      </c>
      <c r="C48" s="39"/>
      <c r="D48" s="39"/>
      <c r="E48" s="39"/>
      <c r="F48" s="39"/>
      <c r="G48" s="39"/>
      <c r="H48" s="41"/>
      <c r="I48" s="41"/>
      <c r="J48" s="41">
        <f>J47*B48</f>
        <v>181437.80000000002</v>
      </c>
    </row>
    <row r="49" spans="1:11" x14ac:dyDescent="0.25">
      <c r="A49" s="64" t="s">
        <v>87</v>
      </c>
      <c r="B49" s="65">
        <v>0.2</v>
      </c>
      <c r="C49" s="64"/>
      <c r="D49" s="64"/>
      <c r="E49" s="64"/>
      <c r="F49" s="64"/>
      <c r="G49" s="64"/>
      <c r="H49" s="66"/>
      <c r="I49" s="66"/>
      <c r="J49" s="41">
        <f>J47*B49</f>
        <v>453594.5</v>
      </c>
    </row>
    <row r="50" spans="1:11" s="60" customFormat="1" x14ac:dyDescent="0.25">
      <c r="A50" s="44" t="s">
        <v>88</v>
      </c>
      <c r="B50" s="59"/>
      <c r="C50" s="44"/>
      <c r="D50" s="44"/>
      <c r="E50" s="44"/>
      <c r="F50" s="44"/>
      <c r="G50" s="44"/>
      <c r="H50" s="45"/>
      <c r="I50" s="45"/>
      <c r="J50" s="45">
        <f>SUM(J47:J49)</f>
        <v>2903004.8</v>
      </c>
      <c r="K50" s="75"/>
    </row>
    <row r="51" spans="1:11" s="61" customFormat="1" x14ac:dyDescent="0.25">
      <c r="B51" s="62"/>
      <c r="H51" s="53"/>
      <c r="I51" s="53"/>
      <c r="J51" s="53"/>
      <c r="K51" s="63"/>
    </row>
    <row r="52" spans="1:11" s="61" customFormat="1" x14ac:dyDescent="0.25">
      <c r="B52" s="62"/>
      <c r="H52" s="53"/>
      <c r="I52" s="53"/>
      <c r="J52" s="53"/>
      <c r="K52" s="63"/>
    </row>
    <row r="53" spans="1:11" s="61" customFormat="1" x14ac:dyDescent="0.25">
      <c r="B53" s="62"/>
      <c r="H53" s="53"/>
      <c r="I53" s="53"/>
      <c r="J53" s="53"/>
      <c r="K53" s="63"/>
    </row>
    <row r="54" spans="1:11" s="61" customFormat="1" x14ac:dyDescent="0.25">
      <c r="B54" s="62"/>
      <c r="H54" s="53"/>
      <c r="I54" s="53"/>
      <c r="J54" s="53"/>
      <c r="K54" s="63"/>
    </row>
    <row r="55" spans="1:11" s="61" customFormat="1" x14ac:dyDescent="0.25">
      <c r="B55" s="62"/>
      <c r="H55" s="53"/>
      <c r="I55" s="53"/>
      <c r="J55" s="53"/>
      <c r="K55" s="63"/>
    </row>
    <row r="56" spans="1:11" s="61" customFormat="1" x14ac:dyDescent="0.25">
      <c r="B56" s="62"/>
      <c r="H56" s="53"/>
      <c r="I56" s="53"/>
      <c r="J56" s="53"/>
      <c r="K56" s="63"/>
    </row>
    <row r="57" spans="1:11" s="61" customFormat="1" x14ac:dyDescent="0.25">
      <c r="B57" s="62"/>
      <c r="H57" s="53"/>
      <c r="I57" s="53"/>
      <c r="J57" s="53"/>
      <c r="K57" s="63"/>
    </row>
    <row r="58" spans="1:11" s="61" customFormat="1" x14ac:dyDescent="0.25">
      <c r="B58" s="62"/>
      <c r="H58" s="53"/>
      <c r="I58" s="53"/>
      <c r="J58" s="53"/>
      <c r="K58" s="63"/>
    </row>
    <row r="59" spans="1:11" s="61" customFormat="1" x14ac:dyDescent="0.25">
      <c r="B59" s="62"/>
      <c r="H59" s="53"/>
      <c r="I59" s="53"/>
      <c r="J59" s="53"/>
      <c r="K59" s="63"/>
    </row>
    <row r="60" spans="1:11" s="61" customFormat="1" x14ac:dyDescent="0.25">
      <c r="B60" s="62"/>
      <c r="H60" s="53"/>
      <c r="I60" s="53"/>
      <c r="J60" s="53"/>
      <c r="K60" s="63"/>
    </row>
    <row r="61" spans="1:11" s="61" customFormat="1" x14ac:dyDescent="0.25">
      <c r="B61" s="62"/>
      <c r="H61" s="53"/>
      <c r="I61" s="53"/>
      <c r="J61" s="53"/>
      <c r="K61" s="63"/>
    </row>
    <row r="62" spans="1:11" s="61" customFormat="1" x14ac:dyDescent="0.25">
      <c r="B62" s="62"/>
      <c r="H62" s="53"/>
      <c r="I62" s="53"/>
      <c r="J62" s="53"/>
      <c r="K62" s="63"/>
    </row>
    <row r="63" spans="1:11" s="61" customFormat="1" x14ac:dyDescent="0.25">
      <c r="B63" s="62"/>
      <c r="K63" s="63"/>
    </row>
    <row r="64" spans="1:11" s="61" customFormat="1" x14ac:dyDescent="0.25">
      <c r="B64" s="62"/>
      <c r="K64" s="63"/>
    </row>
    <row r="65" spans="2:11" s="61" customFormat="1" x14ac:dyDescent="0.25">
      <c r="B65" s="62"/>
      <c r="K65" s="63"/>
    </row>
    <row r="66" spans="2:11" s="61" customFormat="1" x14ac:dyDescent="0.25">
      <c r="B66" s="62"/>
      <c r="K66" s="63"/>
    </row>
    <row r="67" spans="2:11" s="61" customFormat="1" x14ac:dyDescent="0.25">
      <c r="B67" s="62"/>
      <c r="K67" s="63"/>
    </row>
    <row r="68" spans="2:11" s="61" customFormat="1" x14ac:dyDescent="0.25">
      <c r="B68" s="62"/>
      <c r="K68" s="63"/>
    </row>
    <row r="69" spans="2:11" s="61" customFormat="1" x14ac:dyDescent="0.25">
      <c r="B69" s="62"/>
      <c r="K69" s="63"/>
    </row>
    <row r="70" spans="2:11" s="61" customFormat="1" x14ac:dyDescent="0.25">
      <c r="B70" s="62"/>
      <c r="K70" s="63"/>
    </row>
    <row r="71" spans="2:11" s="61" customFormat="1" x14ac:dyDescent="0.25">
      <c r="B71" s="62"/>
      <c r="K71" s="63"/>
    </row>
    <row r="72" spans="2:11" s="61" customFormat="1" x14ac:dyDescent="0.25">
      <c r="B72" s="62"/>
      <c r="K72" s="63"/>
    </row>
    <row r="73" spans="2:11" s="61" customFormat="1" x14ac:dyDescent="0.25">
      <c r="B73" s="62"/>
      <c r="K73" s="63"/>
    </row>
    <row r="74" spans="2:11" s="61" customFormat="1" x14ac:dyDescent="0.25">
      <c r="B74" s="62"/>
      <c r="K74" s="63"/>
    </row>
    <row r="75" spans="2:11" s="61" customFormat="1" x14ac:dyDescent="0.25">
      <c r="B75" s="62"/>
      <c r="K75" s="63"/>
    </row>
    <row r="76" spans="2:11" s="61" customFormat="1" x14ac:dyDescent="0.25">
      <c r="B76" s="62"/>
      <c r="K76" s="63"/>
    </row>
    <row r="77" spans="2:11" s="61" customFormat="1" x14ac:dyDescent="0.25">
      <c r="B77" s="62"/>
      <c r="K77" s="63"/>
    </row>
    <row r="78" spans="2:11" s="61" customFormat="1" x14ac:dyDescent="0.25">
      <c r="B78" s="62"/>
      <c r="K78" s="63"/>
    </row>
    <row r="79" spans="2:11" s="61" customFormat="1" x14ac:dyDescent="0.25">
      <c r="B79" s="62"/>
      <c r="K79" s="63"/>
    </row>
  </sheetData>
  <mergeCells count="5">
    <mergeCell ref="A3:K3"/>
    <mergeCell ref="A1:A2"/>
    <mergeCell ref="B1:G1"/>
    <mergeCell ref="H1:J1"/>
    <mergeCell ref="K1:K2"/>
  </mergeCells>
  <pageMargins left="0.7" right="0.7" top="0.75" bottom="0.75" header="0.3" footer="0.3"/>
  <pageSetup paperSize="9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5D5C-A50B-4818-A4B3-CA14950ECF12}">
  <sheetPr>
    <pageSetUpPr fitToPage="1"/>
  </sheetPr>
  <dimension ref="A1:J60"/>
  <sheetViews>
    <sheetView topLeftCell="A7" zoomScaleNormal="100" workbookViewId="0">
      <selection activeCell="G32" sqref="G32"/>
    </sheetView>
  </sheetViews>
  <sheetFormatPr defaultRowHeight="15" x14ac:dyDescent="0.25"/>
  <cols>
    <col min="1" max="1" width="34.5703125" style="36" customWidth="1"/>
    <col min="2" max="2" width="9.140625" style="46"/>
    <col min="3" max="6" width="9.140625" style="36"/>
    <col min="7" max="7" width="12.42578125" style="36" customWidth="1"/>
    <col min="8" max="8" width="9.140625" style="36"/>
    <col min="9" max="9" width="12.28515625" style="36" customWidth="1"/>
    <col min="10" max="10" width="13.7109375" style="36" customWidth="1"/>
    <col min="11" max="16384" width="9.140625" style="36"/>
  </cols>
  <sheetData>
    <row r="1" spans="1:10" x14ac:dyDescent="0.25">
      <c r="A1" s="89" t="s">
        <v>35</v>
      </c>
      <c r="B1" s="90" t="s">
        <v>42</v>
      </c>
      <c r="C1" s="90"/>
      <c r="D1" s="90"/>
      <c r="E1" s="90"/>
      <c r="F1" s="90"/>
      <c r="G1" s="90"/>
      <c r="H1" s="44" t="s">
        <v>45</v>
      </c>
      <c r="I1" s="44"/>
      <c r="J1" s="81" t="s">
        <v>23</v>
      </c>
    </row>
    <row r="2" spans="1:10" s="38" customFormat="1" ht="30" x14ac:dyDescent="0.25">
      <c r="A2" s="89"/>
      <c r="B2" s="37" t="s">
        <v>36</v>
      </c>
      <c r="C2" s="37" t="s">
        <v>37</v>
      </c>
      <c r="D2" s="37" t="s">
        <v>38</v>
      </c>
      <c r="E2" s="37" t="s">
        <v>39</v>
      </c>
      <c r="F2" s="37" t="s">
        <v>40</v>
      </c>
      <c r="G2" s="37" t="s">
        <v>41</v>
      </c>
      <c r="H2" s="37" t="s">
        <v>43</v>
      </c>
      <c r="I2" s="37" t="s">
        <v>44</v>
      </c>
      <c r="J2" s="81"/>
    </row>
    <row r="3" spans="1:10" s="60" customFormat="1" ht="60" x14ac:dyDescent="0.25">
      <c r="A3" s="54" t="s">
        <v>77</v>
      </c>
      <c r="B3" s="59" t="s">
        <v>4</v>
      </c>
      <c r="C3" s="44">
        <v>365</v>
      </c>
      <c r="D3" s="44"/>
      <c r="E3" s="44"/>
      <c r="F3" s="45"/>
      <c r="G3" s="45">
        <f>G4+G5</f>
        <v>70400</v>
      </c>
      <c r="H3" s="44">
        <v>100</v>
      </c>
      <c r="I3" s="45">
        <f>C3*H3</f>
        <v>36500</v>
      </c>
      <c r="J3" s="45">
        <f>G3+I3</f>
        <v>106900</v>
      </c>
    </row>
    <row r="4" spans="1:10" x14ac:dyDescent="0.25">
      <c r="A4" s="55" t="s">
        <v>24</v>
      </c>
      <c r="B4" s="40" t="s">
        <v>3</v>
      </c>
      <c r="C4" s="39">
        <v>80</v>
      </c>
      <c r="D4" s="39">
        <v>1.5</v>
      </c>
      <c r="E4" s="39">
        <f>C4*D4</f>
        <v>120</v>
      </c>
      <c r="F4" s="41">
        <v>420</v>
      </c>
      <c r="G4" s="41">
        <f>E4*F4</f>
        <v>50400</v>
      </c>
      <c r="H4" s="41"/>
      <c r="I4" s="41"/>
      <c r="J4" s="41"/>
    </row>
    <row r="5" spans="1:10" x14ac:dyDescent="0.25">
      <c r="A5" s="55" t="s">
        <v>17</v>
      </c>
      <c r="B5" s="40" t="s">
        <v>18</v>
      </c>
      <c r="C5" s="39">
        <v>8</v>
      </c>
      <c r="D5" s="39"/>
      <c r="E5" s="39"/>
      <c r="F5" s="41">
        <v>2500</v>
      </c>
      <c r="G5" s="41">
        <f>C5*F5</f>
        <v>20000</v>
      </c>
      <c r="H5" s="41"/>
      <c r="I5" s="41"/>
      <c r="J5" s="41"/>
    </row>
    <row r="6" spans="1:10" s="60" customFormat="1" ht="45" x14ac:dyDescent="0.25">
      <c r="A6" s="54" t="s">
        <v>75</v>
      </c>
      <c r="B6" s="59" t="s">
        <v>3</v>
      </c>
      <c r="C6" s="44">
        <v>40</v>
      </c>
      <c r="D6" s="44"/>
      <c r="E6" s="44"/>
      <c r="F6" s="45"/>
      <c r="G6" s="45">
        <f>G7+G8</f>
        <v>121500</v>
      </c>
      <c r="H6" s="45">
        <v>2000</v>
      </c>
      <c r="I6" s="45">
        <f>C6*H6</f>
        <v>80000</v>
      </c>
      <c r="J6" s="45">
        <f>G6+I6</f>
        <v>201500</v>
      </c>
    </row>
    <row r="7" spans="1:10" x14ac:dyDescent="0.25">
      <c r="A7" s="55" t="s">
        <v>25</v>
      </c>
      <c r="B7" s="40"/>
      <c r="C7" s="39">
        <v>40</v>
      </c>
      <c r="D7" s="39">
        <v>1.45</v>
      </c>
      <c r="E7" s="39">
        <f>C7*D7</f>
        <v>58</v>
      </c>
      <c r="F7" s="41">
        <v>1750</v>
      </c>
      <c r="G7" s="41">
        <f>E7*F7</f>
        <v>101500</v>
      </c>
      <c r="H7" s="41"/>
      <c r="I7" s="41"/>
      <c r="J7" s="41"/>
    </row>
    <row r="8" spans="1:10" x14ac:dyDescent="0.25">
      <c r="A8" s="55" t="s">
        <v>17</v>
      </c>
      <c r="B8" s="40" t="s">
        <v>18</v>
      </c>
      <c r="C8" s="39">
        <v>8</v>
      </c>
      <c r="D8" s="39"/>
      <c r="E8" s="39"/>
      <c r="F8" s="41">
        <v>2500</v>
      </c>
      <c r="G8" s="41">
        <f>C8*F8</f>
        <v>20000</v>
      </c>
      <c r="H8" s="41"/>
      <c r="I8" s="41"/>
      <c r="J8" s="41"/>
    </row>
    <row r="9" spans="1:10" s="60" customFormat="1" ht="45" x14ac:dyDescent="0.25">
      <c r="A9" s="54" t="s">
        <v>76</v>
      </c>
      <c r="B9" s="59" t="s">
        <v>3</v>
      </c>
      <c r="C9" s="44">
        <v>40</v>
      </c>
      <c r="D9" s="44"/>
      <c r="E9" s="44"/>
      <c r="F9" s="45"/>
      <c r="G9" s="45">
        <f>G10+G11</f>
        <v>45200</v>
      </c>
      <c r="H9" s="45">
        <v>2000</v>
      </c>
      <c r="I9" s="45">
        <f>H9*C9</f>
        <v>80000</v>
      </c>
      <c r="J9" s="45">
        <f>G9+I9</f>
        <v>125200</v>
      </c>
    </row>
    <row r="10" spans="1:10" x14ac:dyDescent="0.25">
      <c r="A10" s="55" t="s">
        <v>24</v>
      </c>
      <c r="B10" s="40" t="s">
        <v>3</v>
      </c>
      <c r="C10" s="39">
        <v>40</v>
      </c>
      <c r="D10" s="39">
        <v>1.5</v>
      </c>
      <c r="E10" s="39">
        <f>C10*D10</f>
        <v>60</v>
      </c>
      <c r="F10" s="41">
        <v>420</v>
      </c>
      <c r="G10" s="41">
        <f>E10*F10</f>
        <v>25200</v>
      </c>
      <c r="H10" s="41"/>
      <c r="I10" s="41"/>
      <c r="J10" s="41"/>
    </row>
    <row r="11" spans="1:10" x14ac:dyDescent="0.25">
      <c r="A11" s="55" t="s">
        <v>17</v>
      </c>
      <c r="B11" s="40" t="s">
        <v>18</v>
      </c>
      <c r="C11" s="39">
        <v>8</v>
      </c>
      <c r="D11" s="39"/>
      <c r="E11" s="39"/>
      <c r="F11" s="41">
        <v>2500</v>
      </c>
      <c r="G11" s="41">
        <f>C11*F11</f>
        <v>20000</v>
      </c>
      <c r="H11" s="41"/>
      <c r="I11" s="41"/>
      <c r="J11" s="41"/>
    </row>
    <row r="12" spans="1:10" s="60" customFormat="1" ht="30" x14ac:dyDescent="0.25">
      <c r="A12" s="54" t="s">
        <v>81</v>
      </c>
      <c r="B12" s="59" t="s">
        <v>3</v>
      </c>
      <c r="C12" s="44">
        <v>36.5</v>
      </c>
      <c r="D12" s="44"/>
      <c r="E12" s="44"/>
      <c r="F12" s="44"/>
      <c r="G12" s="45">
        <f>SUM(G13:G15)</f>
        <v>273050</v>
      </c>
      <c r="H12" s="45">
        <v>2000</v>
      </c>
      <c r="I12" s="45">
        <f>C12*H12</f>
        <v>73000</v>
      </c>
      <c r="J12" s="45">
        <f>G12+I12</f>
        <v>346050</v>
      </c>
    </row>
    <row r="13" spans="1:10" x14ac:dyDescent="0.25">
      <c r="A13" s="55" t="s">
        <v>82</v>
      </c>
      <c r="B13" s="40" t="s">
        <v>3</v>
      </c>
      <c r="C13" s="39">
        <v>40</v>
      </c>
      <c r="D13" s="39"/>
      <c r="E13" s="39"/>
      <c r="F13" s="41">
        <v>5800</v>
      </c>
      <c r="G13" s="41">
        <f>C13*F13</f>
        <v>232000</v>
      </c>
      <c r="H13" s="41"/>
      <c r="I13" s="41"/>
      <c r="J13" s="41"/>
    </row>
    <row r="14" spans="1:10" x14ac:dyDescent="0.25">
      <c r="A14" s="55" t="s">
        <v>83</v>
      </c>
      <c r="B14" s="40" t="s">
        <v>3</v>
      </c>
      <c r="C14" s="39">
        <v>0.5</v>
      </c>
      <c r="D14" s="39"/>
      <c r="E14" s="39"/>
      <c r="F14" s="41"/>
      <c r="G14" s="41">
        <v>15000</v>
      </c>
      <c r="H14" s="41"/>
      <c r="I14" s="41"/>
      <c r="J14" s="41"/>
    </row>
    <row r="15" spans="1:10" x14ac:dyDescent="0.25">
      <c r="A15" s="55" t="s">
        <v>84</v>
      </c>
      <c r="B15" s="40"/>
      <c r="C15" s="39"/>
      <c r="D15" s="39"/>
      <c r="E15" s="39"/>
      <c r="F15" s="41"/>
      <c r="G15" s="41">
        <v>26050</v>
      </c>
      <c r="H15" s="41"/>
      <c r="I15" s="41"/>
      <c r="J15" s="41"/>
    </row>
    <row r="16" spans="1:10" s="60" customFormat="1" ht="30" x14ac:dyDescent="0.25">
      <c r="A16" s="54" t="s">
        <v>78</v>
      </c>
      <c r="B16" s="59" t="s">
        <v>4</v>
      </c>
      <c r="C16" s="44">
        <v>365</v>
      </c>
      <c r="D16" s="44"/>
      <c r="E16" s="44"/>
      <c r="F16" s="45"/>
      <c r="G16" s="45">
        <f>G17</f>
        <v>63000</v>
      </c>
      <c r="H16" s="45">
        <v>50</v>
      </c>
      <c r="I16" s="45">
        <f>C16*H16</f>
        <v>18250</v>
      </c>
      <c r="J16" s="45">
        <f>G16+I16</f>
        <v>81250</v>
      </c>
    </row>
    <row r="17" spans="1:10" x14ac:dyDescent="0.25">
      <c r="A17" s="55" t="s">
        <v>26</v>
      </c>
      <c r="B17" s="40" t="s">
        <v>4</v>
      </c>
      <c r="C17" s="39">
        <v>700</v>
      </c>
      <c r="D17" s="39"/>
      <c r="E17" s="39"/>
      <c r="F17" s="41">
        <v>90</v>
      </c>
      <c r="G17" s="41">
        <f>C17*F17</f>
        <v>63000</v>
      </c>
      <c r="H17" s="41"/>
      <c r="I17" s="41"/>
      <c r="J17" s="41"/>
    </row>
    <row r="18" spans="1:10" s="60" customFormat="1" ht="30" x14ac:dyDescent="0.25">
      <c r="A18" s="54" t="s">
        <v>79</v>
      </c>
      <c r="B18" s="59" t="s">
        <v>3</v>
      </c>
      <c r="C18" s="44">
        <v>110</v>
      </c>
      <c r="D18" s="44"/>
      <c r="E18" s="44"/>
      <c r="F18" s="45"/>
      <c r="G18" s="45">
        <f>SUM(G19:G23)</f>
        <v>1233882</v>
      </c>
      <c r="H18" s="45">
        <v>5000</v>
      </c>
      <c r="I18" s="45">
        <f>C18*H18</f>
        <v>550000</v>
      </c>
      <c r="J18" s="45">
        <f>G18+I18</f>
        <v>1783882</v>
      </c>
    </row>
    <row r="19" spans="1:10" x14ac:dyDescent="0.25">
      <c r="A19" s="55" t="s">
        <v>67</v>
      </c>
      <c r="B19" s="40" t="s">
        <v>3</v>
      </c>
      <c r="C19" s="39">
        <v>120</v>
      </c>
      <c r="D19" s="39"/>
      <c r="E19" s="39"/>
      <c r="F19" s="41">
        <v>6700</v>
      </c>
      <c r="G19" s="41">
        <f>C19*F19</f>
        <v>804000</v>
      </c>
      <c r="H19" s="41"/>
      <c r="I19" s="41"/>
      <c r="J19" s="41"/>
    </row>
    <row r="20" spans="1:10" x14ac:dyDescent="0.25">
      <c r="A20" s="55" t="s">
        <v>90</v>
      </c>
      <c r="B20" s="40" t="s">
        <v>2</v>
      </c>
      <c r="C20" s="39">
        <f>ROUNDUP((160+16+107)*1.05/12, 0)*12</f>
        <v>300</v>
      </c>
      <c r="D20" s="39">
        <f>0.888*1.04</f>
        <v>0.92352000000000001</v>
      </c>
      <c r="E20" s="39">
        <f>ROUND(C20*D20/1000,3)</f>
        <v>0.27700000000000002</v>
      </c>
      <c r="F20" s="41">
        <v>57000</v>
      </c>
      <c r="G20" s="41">
        <f>E20*F20</f>
        <v>15789.000000000002</v>
      </c>
      <c r="H20" s="41"/>
      <c r="I20" s="41"/>
      <c r="J20" s="41"/>
    </row>
    <row r="21" spans="1:10" x14ac:dyDescent="0.25">
      <c r="A21" s="55" t="s">
        <v>90</v>
      </c>
      <c r="B21" s="40" t="s">
        <v>2</v>
      </c>
      <c r="C21" s="39">
        <f>ROUNDUP(3985*1.1/12,0)*12*2</f>
        <v>8784</v>
      </c>
      <c r="D21" s="39">
        <f>0.616*1.04</f>
        <v>0.64063999999999999</v>
      </c>
      <c r="E21" s="39">
        <f t="shared" ref="E21" si="0">ROUND(C21*D21/1000,3)</f>
        <v>5.6269999999999998</v>
      </c>
      <c r="F21" s="41">
        <v>59000</v>
      </c>
      <c r="G21" s="41">
        <f t="shared" ref="G21" si="1">E21*F21</f>
        <v>331993</v>
      </c>
      <c r="H21" s="41"/>
      <c r="I21" s="41"/>
      <c r="J21" s="41"/>
    </row>
    <row r="22" spans="1:10" x14ac:dyDescent="0.25">
      <c r="A22" s="55" t="s">
        <v>83</v>
      </c>
      <c r="B22" s="40" t="s">
        <v>85</v>
      </c>
      <c r="C22" s="39">
        <v>7</v>
      </c>
      <c r="D22" s="39"/>
      <c r="E22" s="39"/>
      <c r="F22" s="41">
        <v>4000</v>
      </c>
      <c r="G22" s="41">
        <f>C22*F22</f>
        <v>28000</v>
      </c>
      <c r="H22" s="41"/>
      <c r="I22" s="41"/>
      <c r="J22" s="41"/>
    </row>
    <row r="23" spans="1:10" x14ac:dyDescent="0.25">
      <c r="A23" s="55" t="s">
        <v>84</v>
      </c>
      <c r="B23" s="40"/>
      <c r="C23" s="39"/>
      <c r="D23" s="39"/>
      <c r="E23" s="39"/>
      <c r="F23" s="41"/>
      <c r="G23" s="41">
        <v>54100</v>
      </c>
      <c r="H23" s="41"/>
      <c r="I23" s="41"/>
      <c r="J23" s="41"/>
    </row>
    <row r="24" spans="1:10" s="60" customFormat="1" x14ac:dyDescent="0.25">
      <c r="A24" s="54" t="s">
        <v>80</v>
      </c>
      <c r="B24" s="59" t="s">
        <v>4</v>
      </c>
      <c r="C24" s="44">
        <v>365</v>
      </c>
      <c r="D24" s="44"/>
      <c r="E24" s="44"/>
      <c r="F24" s="45"/>
      <c r="G24" s="45">
        <f>G25</f>
        <v>16000</v>
      </c>
      <c r="H24" s="45">
        <v>300</v>
      </c>
      <c r="I24" s="45">
        <f>C24*H24</f>
        <v>109500</v>
      </c>
      <c r="J24" s="45">
        <f>I24+G24</f>
        <v>125500</v>
      </c>
    </row>
    <row r="25" spans="1:10" s="60" customFormat="1" ht="30" x14ac:dyDescent="0.25">
      <c r="A25" s="55" t="s">
        <v>91</v>
      </c>
      <c r="B25" s="59"/>
      <c r="C25" s="44"/>
      <c r="D25" s="44"/>
      <c r="E25" s="44"/>
      <c r="F25" s="45"/>
      <c r="G25" s="41">
        <v>16000</v>
      </c>
      <c r="H25" s="45"/>
      <c r="I25" s="45"/>
      <c r="J25" s="45"/>
    </row>
    <row r="26" spans="1:10" s="60" customFormat="1" x14ac:dyDescent="0.25">
      <c r="A26" s="44" t="s">
        <v>86</v>
      </c>
      <c r="B26" s="59"/>
      <c r="C26" s="44"/>
      <c r="D26" s="44"/>
      <c r="E26" s="44"/>
      <c r="F26" s="44"/>
      <c r="G26" s="45">
        <f>G3+G6+G9+G12+G16+G18+G24</f>
        <v>1823032</v>
      </c>
      <c r="H26" s="45"/>
      <c r="I26" s="45">
        <f>SUM(I3:I24)</f>
        <v>947250</v>
      </c>
      <c r="J26" s="45">
        <f>SUM(J3:J24)</f>
        <v>2770282</v>
      </c>
    </row>
    <row r="27" spans="1:10" s="58" customFormat="1" x14ac:dyDescent="0.25">
      <c r="A27" s="56" t="s">
        <v>89</v>
      </c>
      <c r="B27" s="76">
        <v>0.05</v>
      </c>
      <c r="C27" s="56"/>
      <c r="D27" s="56"/>
      <c r="E27" s="56"/>
      <c r="F27" s="56"/>
      <c r="G27" s="57">
        <f>G26*B27</f>
        <v>91151.6</v>
      </c>
      <c r="H27" s="57"/>
      <c r="I27" s="57"/>
      <c r="J27" s="57"/>
    </row>
    <row r="28" spans="1:10" s="60" customFormat="1" x14ac:dyDescent="0.25">
      <c r="A28" s="44" t="s">
        <v>86</v>
      </c>
      <c r="B28" s="59"/>
      <c r="C28" s="44"/>
      <c r="D28" s="44"/>
      <c r="E28" s="44"/>
      <c r="F28" s="44"/>
      <c r="G28" s="45">
        <f>G26+G27</f>
        <v>1914183.6</v>
      </c>
      <c r="H28" s="45"/>
      <c r="I28" s="45">
        <f>I26</f>
        <v>947250</v>
      </c>
      <c r="J28" s="45">
        <f>G28+I28</f>
        <v>2861433.6</v>
      </c>
    </row>
    <row r="29" spans="1:10" x14ac:dyDescent="0.25">
      <c r="A29" s="39" t="s">
        <v>72</v>
      </c>
      <c r="B29" s="52">
        <v>0.08</v>
      </c>
      <c r="C29" s="39"/>
      <c r="D29" s="39"/>
      <c r="E29" s="39"/>
      <c r="F29" s="39"/>
      <c r="G29" s="39"/>
      <c r="H29" s="41"/>
      <c r="I29" s="41"/>
      <c r="J29" s="41">
        <f>J28*B29</f>
        <v>228914.68800000002</v>
      </c>
    </row>
    <row r="30" spans="1:10" x14ac:dyDescent="0.25">
      <c r="A30" s="64" t="s">
        <v>87</v>
      </c>
      <c r="B30" s="65">
        <v>0.2</v>
      </c>
      <c r="C30" s="64"/>
      <c r="D30" s="64"/>
      <c r="E30" s="64"/>
      <c r="F30" s="64"/>
      <c r="G30" s="64"/>
      <c r="H30" s="66"/>
      <c r="I30" s="66"/>
      <c r="J30" s="41">
        <f>J28*B30</f>
        <v>572286.72000000009</v>
      </c>
    </row>
    <row r="31" spans="1:10" s="60" customFormat="1" x14ac:dyDescent="0.25">
      <c r="A31" s="44" t="s">
        <v>88</v>
      </c>
      <c r="B31" s="59"/>
      <c r="C31" s="44"/>
      <c r="D31" s="44"/>
      <c r="E31" s="44"/>
      <c r="F31" s="44"/>
      <c r="G31" s="44"/>
      <c r="H31" s="45"/>
      <c r="I31" s="45"/>
      <c r="J31" s="45">
        <f>SUM(J28:J30)</f>
        <v>3662635.0080000004</v>
      </c>
    </row>
    <row r="32" spans="1:10" s="61" customFormat="1" x14ac:dyDescent="0.25">
      <c r="B32" s="62"/>
      <c r="H32" s="53"/>
      <c r="I32" s="53"/>
      <c r="J32" s="53"/>
    </row>
    <row r="33" spans="2:10" s="61" customFormat="1" x14ac:dyDescent="0.25">
      <c r="B33" s="62"/>
      <c r="H33" s="53"/>
      <c r="I33" s="53"/>
      <c r="J33" s="53"/>
    </row>
    <row r="34" spans="2:10" s="61" customFormat="1" x14ac:dyDescent="0.25">
      <c r="B34" s="62"/>
      <c r="H34" s="53"/>
      <c r="I34" s="53"/>
      <c r="J34" s="53"/>
    </row>
    <row r="35" spans="2:10" s="61" customFormat="1" x14ac:dyDescent="0.25">
      <c r="B35" s="62"/>
      <c r="H35" s="53"/>
      <c r="I35" s="53"/>
      <c r="J35" s="53"/>
    </row>
    <row r="36" spans="2:10" s="61" customFormat="1" x14ac:dyDescent="0.25">
      <c r="B36" s="62"/>
      <c r="H36" s="53"/>
      <c r="I36" s="53"/>
      <c r="J36" s="53"/>
    </row>
    <row r="37" spans="2:10" s="61" customFormat="1" x14ac:dyDescent="0.25">
      <c r="B37" s="62"/>
      <c r="H37" s="53"/>
      <c r="I37" s="53"/>
      <c r="J37" s="53"/>
    </row>
    <row r="38" spans="2:10" s="61" customFormat="1" x14ac:dyDescent="0.25">
      <c r="B38" s="62"/>
      <c r="H38" s="53"/>
      <c r="I38" s="53"/>
      <c r="J38" s="53"/>
    </row>
    <row r="39" spans="2:10" s="61" customFormat="1" x14ac:dyDescent="0.25">
      <c r="B39" s="62"/>
      <c r="H39" s="53"/>
      <c r="I39" s="53"/>
      <c r="J39" s="53"/>
    </row>
    <row r="40" spans="2:10" s="61" customFormat="1" x14ac:dyDescent="0.25">
      <c r="B40" s="62"/>
      <c r="H40" s="53"/>
      <c r="I40" s="53"/>
      <c r="J40" s="53"/>
    </row>
    <row r="41" spans="2:10" s="61" customFormat="1" x14ac:dyDescent="0.25">
      <c r="B41" s="62"/>
      <c r="H41" s="53"/>
      <c r="I41" s="53"/>
      <c r="J41" s="53"/>
    </row>
    <row r="42" spans="2:10" s="61" customFormat="1" x14ac:dyDescent="0.25">
      <c r="B42" s="62"/>
      <c r="H42" s="53"/>
      <c r="I42" s="53"/>
      <c r="J42" s="53"/>
    </row>
    <row r="43" spans="2:10" s="61" customFormat="1" x14ac:dyDescent="0.25">
      <c r="B43" s="62"/>
      <c r="H43" s="53"/>
      <c r="I43" s="53"/>
      <c r="J43" s="53"/>
    </row>
    <row r="44" spans="2:10" s="61" customFormat="1" x14ac:dyDescent="0.25">
      <c r="B44" s="62"/>
    </row>
    <row r="45" spans="2:10" s="61" customFormat="1" x14ac:dyDescent="0.25">
      <c r="B45" s="62"/>
    </row>
    <row r="46" spans="2:10" s="61" customFormat="1" x14ac:dyDescent="0.25">
      <c r="B46" s="62"/>
    </row>
    <row r="47" spans="2:10" s="61" customFormat="1" x14ac:dyDescent="0.25">
      <c r="B47" s="62"/>
    </row>
    <row r="48" spans="2:10" s="61" customFormat="1" x14ac:dyDescent="0.25">
      <c r="B48" s="62"/>
    </row>
    <row r="49" spans="2:2" s="61" customFormat="1" x14ac:dyDescent="0.25">
      <c r="B49" s="62"/>
    </row>
    <row r="50" spans="2:2" s="61" customFormat="1" x14ac:dyDescent="0.25">
      <c r="B50" s="62"/>
    </row>
    <row r="51" spans="2:2" s="61" customFormat="1" x14ac:dyDescent="0.25">
      <c r="B51" s="62"/>
    </row>
    <row r="52" spans="2:2" s="61" customFormat="1" x14ac:dyDescent="0.25">
      <c r="B52" s="62"/>
    </row>
    <row r="53" spans="2:2" s="61" customFormat="1" x14ac:dyDescent="0.25">
      <c r="B53" s="62"/>
    </row>
    <row r="54" spans="2:2" s="61" customFormat="1" x14ac:dyDescent="0.25">
      <c r="B54" s="62"/>
    </row>
    <row r="55" spans="2:2" s="61" customFormat="1" x14ac:dyDescent="0.25">
      <c r="B55" s="62"/>
    </row>
    <row r="56" spans="2:2" s="61" customFormat="1" x14ac:dyDescent="0.25">
      <c r="B56" s="62"/>
    </row>
    <row r="57" spans="2:2" s="61" customFormat="1" x14ac:dyDescent="0.25">
      <c r="B57" s="62"/>
    </row>
    <row r="58" spans="2:2" s="61" customFormat="1" x14ac:dyDescent="0.25">
      <c r="B58" s="62"/>
    </row>
    <row r="59" spans="2:2" s="61" customFormat="1" x14ac:dyDescent="0.25">
      <c r="B59" s="62"/>
    </row>
    <row r="60" spans="2:2" s="61" customFormat="1" x14ac:dyDescent="0.25">
      <c r="B60" s="62"/>
    </row>
  </sheetData>
  <mergeCells count="3">
    <mergeCell ref="A1:A2"/>
    <mergeCell ref="B1:G1"/>
    <mergeCell ref="J1:J2"/>
  </mergeCells>
  <pageMargins left="0.7" right="0.7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 стоимости</vt:lpstr>
      <vt:lpstr>Расчет стоимости корректир.</vt:lpstr>
      <vt:lpstr>Сендвич-панели</vt:lpstr>
      <vt:lpstr>Плита</vt:lpstr>
      <vt:lpstr>Плита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cp:lastPrinted>2023-07-28T11:06:56Z</cp:lastPrinted>
  <dcterms:created xsi:type="dcterms:W3CDTF">2023-06-06T06:04:06Z</dcterms:created>
  <dcterms:modified xsi:type="dcterms:W3CDTF">2023-07-31T12:22:10Z</dcterms:modified>
</cp:coreProperties>
</file>