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Ангар\"/>
    </mc:Choice>
  </mc:AlternateContent>
  <xr:revisionPtr revIDLastSave="0" documentId="13_ncr:1_{E8804657-46E9-4322-B6B5-5DA350524EAC}" xr6:coauthVersionLast="47" xr6:coauthVersionMax="47" xr10:uidLastSave="{00000000-0000-0000-0000-000000000000}"/>
  <bookViews>
    <workbookView xWindow="-120" yWindow="-120" windowWidth="29040" windowHeight="15720" activeTab="3" xr2:uid="{7DB87960-ABDD-4C13-B092-1AA1708C64D4}"/>
  </bookViews>
  <sheets>
    <sheet name="Плита" sheetId="1" r:id="rId1"/>
    <sheet name="Плита х 1,27" sheetId="2" r:id="rId2"/>
    <sheet name="Плита +-" sheetId="3" r:id="rId3"/>
    <sheet name="Плита +- кратко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4" l="1"/>
  <c r="G25" i="4"/>
  <c r="G24" i="4" s="1"/>
  <c r="G23" i="4"/>
  <c r="G22" i="4" s="1"/>
  <c r="C22" i="4"/>
  <c r="I22" i="4" s="1"/>
  <c r="D21" i="4"/>
  <c r="E21" i="4" s="1"/>
  <c r="G21" i="4" s="1"/>
  <c r="G17" i="4"/>
  <c r="J8" i="4"/>
  <c r="J9" i="4" s="1"/>
  <c r="D20" i="4"/>
  <c r="C20" i="4"/>
  <c r="D19" i="4"/>
  <c r="G16" i="4"/>
  <c r="E15" i="4"/>
  <c r="G15" i="4" s="1"/>
  <c r="K10" i="3"/>
  <c r="T5" i="3"/>
  <c r="G13" i="4"/>
  <c r="G12" i="4"/>
  <c r="I11" i="4"/>
  <c r="J33" i="1"/>
  <c r="J32" i="1"/>
  <c r="O30" i="3"/>
  <c r="I26" i="4" l="1"/>
  <c r="J24" i="4"/>
  <c r="J22" i="4"/>
  <c r="E19" i="4"/>
  <c r="G19" i="4" s="1"/>
  <c r="J17" i="4"/>
  <c r="E20" i="4"/>
  <c r="G20" i="4" s="1"/>
  <c r="G14" i="4"/>
  <c r="J14" i="4" s="1"/>
  <c r="G11" i="4"/>
  <c r="K26" i="3"/>
  <c r="O31" i="3"/>
  <c r="L26" i="3"/>
  <c r="D26" i="3"/>
  <c r="C26" i="3"/>
  <c r="M26" i="3" s="1"/>
  <c r="O26" i="3" s="1"/>
  <c r="J11" i="4" l="1"/>
  <c r="G18" i="4"/>
  <c r="J18" i="4" s="1"/>
  <c r="E26" i="3"/>
  <c r="G26" i="3" s="1"/>
  <c r="G26" i="4" l="1"/>
  <c r="G27" i="4" s="1"/>
  <c r="G28" i="4" s="1"/>
  <c r="J26" i="4"/>
  <c r="O23" i="3"/>
  <c r="G23" i="3"/>
  <c r="O35" i="3"/>
  <c r="O34" i="3" s="1"/>
  <c r="K34" i="3"/>
  <c r="Q34" i="3" s="1"/>
  <c r="O21" i="3"/>
  <c r="O20" i="3"/>
  <c r="Q19" i="3"/>
  <c r="K32" i="3"/>
  <c r="Q32" i="3" s="1"/>
  <c r="K18" i="3"/>
  <c r="O18" i="3" s="1"/>
  <c r="O17" i="3" s="1"/>
  <c r="K17" i="3"/>
  <c r="Q17" i="3" s="1"/>
  <c r="O16" i="3"/>
  <c r="O15" i="3"/>
  <c r="K15" i="3"/>
  <c r="K14" i="3"/>
  <c r="O14" i="3" s="1"/>
  <c r="K13" i="3"/>
  <c r="Q13" i="3" s="1"/>
  <c r="O29" i="3"/>
  <c r="K28" i="3"/>
  <c r="O28" i="3" s="1"/>
  <c r="O24" i="3"/>
  <c r="K22" i="3"/>
  <c r="Q22" i="3" s="1"/>
  <c r="O12" i="3"/>
  <c r="K11" i="3"/>
  <c r="M11" i="3" s="1"/>
  <c r="O11" i="3" s="1"/>
  <c r="Q10" i="3"/>
  <c r="O9" i="3"/>
  <c r="K8" i="3"/>
  <c r="M8" i="3" s="1"/>
  <c r="O8" i="3" s="1"/>
  <c r="K7" i="3"/>
  <c r="Q7" i="3" s="1"/>
  <c r="O6" i="3"/>
  <c r="M5" i="3"/>
  <c r="O5" i="3" s="1"/>
  <c r="K4" i="3"/>
  <c r="Q4" i="3" s="1"/>
  <c r="O32" i="3"/>
  <c r="L27" i="3"/>
  <c r="L25" i="3"/>
  <c r="I32" i="3"/>
  <c r="G32" i="3"/>
  <c r="G28" i="3"/>
  <c r="D25" i="3"/>
  <c r="C25" i="3"/>
  <c r="I22" i="3"/>
  <c r="G18" i="3"/>
  <c r="G17" i="3" s="1"/>
  <c r="I17" i="3"/>
  <c r="G14" i="3"/>
  <c r="G13" i="3" s="1"/>
  <c r="I13" i="3"/>
  <c r="G12" i="3"/>
  <c r="E11" i="3"/>
  <c r="G11" i="3" s="1"/>
  <c r="I10" i="3"/>
  <c r="G9" i="3"/>
  <c r="E8" i="3"/>
  <c r="G8" i="3" s="1"/>
  <c r="I7" i="3"/>
  <c r="G6" i="3"/>
  <c r="E5" i="3"/>
  <c r="G5" i="3" s="1"/>
  <c r="I4" i="3"/>
  <c r="O25" i="2"/>
  <c r="O21" i="2"/>
  <c r="O18" i="2"/>
  <c r="O17" i="2"/>
  <c r="O22" i="2"/>
  <c r="K22" i="2"/>
  <c r="Q22" i="2" s="1"/>
  <c r="O20" i="2"/>
  <c r="Q16" i="2"/>
  <c r="O15" i="2"/>
  <c r="O14" i="2"/>
  <c r="K13" i="2"/>
  <c r="Q13" i="2" s="1"/>
  <c r="O12" i="2"/>
  <c r="K11" i="2"/>
  <c r="M11" i="2" s="1"/>
  <c r="O11" i="2" s="1"/>
  <c r="K10" i="2"/>
  <c r="O9" i="2"/>
  <c r="K8" i="2"/>
  <c r="M8" i="2" s="1"/>
  <c r="O8" i="2" s="1"/>
  <c r="K7" i="2"/>
  <c r="Q7" i="2" s="1"/>
  <c r="O6" i="2"/>
  <c r="M5" i="2"/>
  <c r="O5" i="2" s="1"/>
  <c r="K4" i="2"/>
  <c r="Q4" i="2" s="1"/>
  <c r="G23" i="2"/>
  <c r="C22" i="2"/>
  <c r="G21" i="2"/>
  <c r="C20" i="2"/>
  <c r="C19" i="2"/>
  <c r="C18" i="2"/>
  <c r="O16" i="2" l="1"/>
  <c r="O19" i="3"/>
  <c r="M27" i="3"/>
  <c r="O27" i="3" s="1"/>
  <c r="R34" i="3"/>
  <c r="M25" i="3"/>
  <c r="O25" i="3" s="1"/>
  <c r="R19" i="3"/>
  <c r="J17" i="3"/>
  <c r="R32" i="3"/>
  <c r="R17" i="3"/>
  <c r="O13" i="3"/>
  <c r="R13" i="3" s="1"/>
  <c r="Q36" i="3"/>
  <c r="Q38" i="3" s="1"/>
  <c r="O10" i="3"/>
  <c r="R10" i="3" s="1"/>
  <c r="O7" i="3"/>
  <c r="R7" i="3" s="1"/>
  <c r="O4" i="3"/>
  <c r="G7" i="3"/>
  <c r="J7" i="3" s="1"/>
  <c r="E25" i="3"/>
  <c r="G25" i="3" s="1"/>
  <c r="J13" i="3"/>
  <c r="J32" i="3"/>
  <c r="I36" i="3"/>
  <c r="I38" i="3" s="1"/>
  <c r="G4" i="3"/>
  <c r="J4" i="3" s="1"/>
  <c r="G10" i="3"/>
  <c r="J10" i="3" s="1"/>
  <c r="Q24" i="2"/>
  <c r="Q26" i="2" s="1"/>
  <c r="R22" i="2"/>
  <c r="O7" i="2"/>
  <c r="R7" i="2" s="1"/>
  <c r="O4" i="2"/>
  <c r="R4" i="2" s="1"/>
  <c r="O13" i="2"/>
  <c r="R13" i="2" s="1"/>
  <c r="O10" i="2"/>
  <c r="R10" i="2" s="1"/>
  <c r="R16" i="2"/>
  <c r="C17" i="2"/>
  <c r="G17" i="2" s="1"/>
  <c r="C16" i="2"/>
  <c r="I16" i="2" s="1"/>
  <c r="C15" i="2"/>
  <c r="G15" i="2" s="1"/>
  <c r="C14" i="2"/>
  <c r="G14" i="2" s="1"/>
  <c r="C13" i="2"/>
  <c r="I13" i="2" s="1"/>
  <c r="C12" i="2"/>
  <c r="G12" i="2" s="1"/>
  <c r="C11" i="2"/>
  <c r="E11" i="2" s="1"/>
  <c r="G11" i="2" s="1"/>
  <c r="C10" i="2"/>
  <c r="I10" i="2" s="1"/>
  <c r="C9" i="2"/>
  <c r="G9" i="2" s="1"/>
  <c r="C8" i="2"/>
  <c r="E8" i="2" s="1"/>
  <c r="G8" i="2" s="1"/>
  <c r="C7" i="2"/>
  <c r="I7" i="2" s="1"/>
  <c r="C6" i="2"/>
  <c r="G6" i="2" s="1"/>
  <c r="C5" i="2"/>
  <c r="E5" i="2" s="1"/>
  <c r="G5" i="2" s="1"/>
  <c r="C4" i="2"/>
  <c r="I4" i="2" s="1"/>
  <c r="I22" i="2"/>
  <c r="G22" i="2"/>
  <c r="G20" i="2"/>
  <c r="D19" i="2"/>
  <c r="E19" i="2"/>
  <c r="G19" i="2" s="1"/>
  <c r="D18" i="2"/>
  <c r="E18" i="2" s="1"/>
  <c r="G18" i="2" s="1"/>
  <c r="I24" i="1"/>
  <c r="J24" i="1" s="1"/>
  <c r="G24" i="1"/>
  <c r="G22" i="1"/>
  <c r="D21" i="1"/>
  <c r="C21" i="1"/>
  <c r="E21" i="1" s="1"/>
  <c r="G21" i="1" s="1"/>
  <c r="D20" i="1"/>
  <c r="C20" i="1"/>
  <c r="E20" i="1" s="1"/>
  <c r="G20" i="1" s="1"/>
  <c r="G19" i="1"/>
  <c r="I18" i="1"/>
  <c r="G17" i="1"/>
  <c r="G16" i="1" s="1"/>
  <c r="J16" i="1" s="1"/>
  <c r="I16" i="1"/>
  <c r="G13" i="1"/>
  <c r="G12" i="1" s="1"/>
  <c r="I12" i="1"/>
  <c r="G11" i="1"/>
  <c r="E10" i="1"/>
  <c r="G10" i="1" s="1"/>
  <c r="G9" i="1" s="1"/>
  <c r="I9" i="1"/>
  <c r="G8" i="1"/>
  <c r="E7" i="1"/>
  <c r="G7" i="1" s="1"/>
  <c r="G6" i="1" s="1"/>
  <c r="I6" i="1"/>
  <c r="G5" i="1"/>
  <c r="E4" i="1"/>
  <c r="G4" i="1" s="1"/>
  <c r="G3" i="1" s="1"/>
  <c r="I3" i="1"/>
  <c r="I26" i="1" s="1"/>
  <c r="I28" i="1" s="1"/>
  <c r="J6" i="1" l="1"/>
  <c r="O22" i="3"/>
  <c r="J9" i="1"/>
  <c r="J12" i="1"/>
  <c r="S13" i="2"/>
  <c r="O36" i="3"/>
  <c r="R22" i="3"/>
  <c r="R4" i="3"/>
  <c r="G22" i="3"/>
  <c r="J22" i="3" s="1"/>
  <c r="J36" i="3" s="1"/>
  <c r="O24" i="2"/>
  <c r="O26" i="2" s="1"/>
  <c r="R26" i="2" s="1"/>
  <c r="R24" i="2"/>
  <c r="J22" i="2"/>
  <c r="S22" i="2" s="1"/>
  <c r="G13" i="2"/>
  <c r="J13" i="2"/>
  <c r="G10" i="2"/>
  <c r="J10" i="2" s="1"/>
  <c r="S10" i="2" s="1"/>
  <c r="G7" i="2"/>
  <c r="J7" i="2" s="1"/>
  <c r="S7" i="2" s="1"/>
  <c r="I24" i="2"/>
  <c r="I26" i="2" s="1"/>
  <c r="G4" i="2"/>
  <c r="G16" i="2"/>
  <c r="J16" i="2" s="1"/>
  <c r="S16" i="2" s="1"/>
  <c r="J3" i="1"/>
  <c r="G18" i="1"/>
  <c r="J18" i="1" s="1"/>
  <c r="O37" i="3" l="1"/>
  <c r="O38" i="3" s="1"/>
  <c r="R38" i="3" s="1"/>
  <c r="R39" i="3" s="1"/>
  <c r="R36" i="3"/>
  <c r="G36" i="3"/>
  <c r="G37" i="3" s="1"/>
  <c r="G38" i="3" s="1"/>
  <c r="J38" i="3" s="1"/>
  <c r="J39" i="3" s="1"/>
  <c r="J40" i="3" s="1"/>
  <c r="J4" i="2"/>
  <c r="G24" i="2"/>
  <c r="G26" i="1"/>
  <c r="J26" i="1"/>
  <c r="J24" i="2" l="1"/>
  <c r="S24" i="2" s="1"/>
  <c r="S4" i="2"/>
  <c r="R40" i="3"/>
  <c r="G25" i="2"/>
  <c r="G26" i="2" s="1"/>
  <c r="J26" i="2" s="1"/>
  <c r="S26" i="2" s="1"/>
  <c r="G27" i="1"/>
  <c r="G28" i="1" s="1"/>
  <c r="J28" i="1" s="1"/>
  <c r="J27" i="2" l="1"/>
  <c r="J30" i="1"/>
  <c r="J29" i="1"/>
  <c r="J31" i="1" s="1"/>
  <c r="J28" i="2" l="1"/>
  <c r="I28" i="4" l="1"/>
  <c r="J28" i="4" s="1"/>
  <c r="J29" i="4" s="1"/>
  <c r="J30" i="4" l="1"/>
  <c r="J31" i="4" s="1"/>
</calcChain>
</file>

<file path=xl/sharedStrings.xml><?xml version="1.0" encoding="utf-8"?>
<sst xmlns="http://schemas.openxmlformats.org/spreadsheetml/2006/main" count="269" uniqueCount="65">
  <si>
    <t>Наименование</t>
  </si>
  <si>
    <t>Материалы, техника</t>
  </si>
  <si>
    <t>Заработная плата</t>
  </si>
  <si>
    <t>ВСЕГО</t>
  </si>
  <si>
    <t>Ед.изм.</t>
  </si>
  <si>
    <t>Кол-во</t>
  </si>
  <si>
    <t>Тонн в метре</t>
  </si>
  <si>
    <t>Кол-во в тоннах</t>
  </si>
  <si>
    <t>Цена</t>
  </si>
  <si>
    <t>Стоимость</t>
  </si>
  <si>
    <t>За единицу</t>
  </si>
  <si>
    <t>За объем</t>
  </si>
  <si>
    <t>Планировка участка экскаватором-погрузчиком с добавлением песка для заполнения ям и послойным уплотнением</t>
  </si>
  <si>
    <t>м2</t>
  </si>
  <si>
    <t>Песок</t>
  </si>
  <si>
    <t>м3</t>
  </si>
  <si>
    <t>Экскаватор-погрузчик</t>
  </si>
  <si>
    <t>маш-ч</t>
  </si>
  <si>
    <t>Устройство подстилающего слоя щебня 100 мм с уплотнением трамбовкой</t>
  </si>
  <si>
    <t>Щебень</t>
  </si>
  <si>
    <t>Устройство подстилающего слоя песка 100 мм с уплотнением трамбовкой</t>
  </si>
  <si>
    <t>Устройство бетонной подготовки толщиной 100мм</t>
  </si>
  <si>
    <t>Бетон В7,5</t>
  </si>
  <si>
    <t>Опалубка -  доска 50мм</t>
  </si>
  <si>
    <t>Бетононасос</t>
  </si>
  <si>
    <t>Устройство гидроизоляции из пленки ПВХ</t>
  </si>
  <si>
    <t>Пленка ПВХ</t>
  </si>
  <si>
    <t>Устройство армированных бетонных полов толщиной 300мм</t>
  </si>
  <si>
    <t>Бетон В25</t>
  </si>
  <si>
    <r>
      <t xml:space="preserve">Арматура </t>
    </r>
    <r>
      <rPr>
        <sz val="11"/>
        <color theme="1"/>
        <rFont val="Calibri"/>
        <family val="2"/>
        <charset val="204"/>
      </rPr>
      <t>Ø12 А400</t>
    </r>
  </si>
  <si>
    <t>м</t>
  </si>
  <si>
    <t>Затирка полов</t>
  </si>
  <si>
    <t>Доставка оборудования манипулятором (туда и обратно)</t>
  </si>
  <si>
    <t>ИТОГО</t>
  </si>
  <si>
    <t>Прочие материалы</t>
  </si>
  <si>
    <t>Накладные расходы</t>
  </si>
  <si>
    <t>Плановые накопления</t>
  </si>
  <si>
    <t>ВСЕГО ПО СМЕТЕ</t>
  </si>
  <si>
    <t>Устройство гидроизоляции из Planter</t>
  </si>
  <si>
    <t>Planter Standart</t>
  </si>
  <si>
    <t>Planterband 10м</t>
  </si>
  <si>
    <t>шт.</t>
  </si>
  <si>
    <r>
      <t xml:space="preserve">Арматура </t>
    </r>
    <r>
      <rPr>
        <sz val="11"/>
        <color theme="1"/>
        <rFont val="Calibri"/>
        <family val="2"/>
        <charset val="204"/>
      </rPr>
      <t>Ø10 А400</t>
    </r>
  </si>
  <si>
    <t>План</t>
  </si>
  <si>
    <t>Факт</t>
  </si>
  <si>
    <t>Разница</t>
  </si>
  <si>
    <t>По первоначальному расчету</t>
  </si>
  <si>
    <t>+ -</t>
  </si>
  <si>
    <t>Устройство гидроизоляции из мембраны Planter</t>
  </si>
  <si>
    <t>Нарезка швов в полах</t>
  </si>
  <si>
    <t>Диск алмазный</t>
  </si>
  <si>
    <t>Доставка арматуры длинномером</t>
  </si>
  <si>
    <t>Закладные под колонны</t>
  </si>
  <si>
    <t>Старый рассчет плиты (себестоимость)</t>
  </si>
  <si>
    <t>Итого</t>
  </si>
  <si>
    <t>Увеличение объема подсыпки песком</t>
  </si>
  <si>
    <t>С учетом увеличения объемов к=1,34</t>
  </si>
  <si>
    <t>Стоимость бетона</t>
  </si>
  <si>
    <t>Стоимость арматуры</t>
  </si>
  <si>
    <t>Заполнение швов герметиком</t>
  </si>
  <si>
    <t>Полиуретановый герметик</t>
  </si>
  <si>
    <t>туба</t>
  </si>
  <si>
    <t>Допработы</t>
  </si>
  <si>
    <t>ИТОГО ПО ДОПРАБОТАМ</t>
  </si>
  <si>
    <t>ИТОГО 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</si>
</sst>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3" fontId="0" fillId="0" borderId="2" xfId="0" applyNumberFormat="1" applyBorder="1" applyAlignment="1">
      <alignment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vertical="top"/>
    </xf>
    <xf numFmtId="3" fontId="1" fillId="0" borderId="0" xfId="0" applyNumberFormat="1" applyFont="1" applyBorder="1" applyAlignment="1">
      <alignment vertical="top"/>
    </xf>
    <xf numFmtId="3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E283-88F3-44EA-9BE9-239D658B2A75}">
  <sheetPr>
    <pageSetUpPr fitToPage="1"/>
  </sheetPr>
  <dimension ref="A1:J43"/>
  <sheetViews>
    <sheetView topLeftCell="A13" zoomScaleNormal="100" workbookViewId="0">
      <selection activeCell="N40" sqref="N40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6384" width="9.140625" style="4"/>
  </cols>
  <sheetData>
    <row r="1" spans="1:10" x14ac:dyDescent="0.25">
      <c r="A1" s="35" t="s">
        <v>0</v>
      </c>
      <c r="B1" s="36" t="s">
        <v>1</v>
      </c>
      <c r="C1" s="36"/>
      <c r="D1" s="36"/>
      <c r="E1" s="36"/>
      <c r="F1" s="36"/>
      <c r="G1" s="36"/>
      <c r="H1" s="38" t="s">
        <v>2</v>
      </c>
      <c r="I1" s="39"/>
      <c r="J1" s="37" t="s">
        <v>3</v>
      </c>
    </row>
    <row r="2" spans="1:10" s="5" customFormat="1" ht="30" x14ac:dyDescent="0.25">
      <c r="A2" s="35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7"/>
    </row>
    <row r="3" spans="1:10" s="8" customFormat="1" ht="60" x14ac:dyDescent="0.25">
      <c r="A3" s="6" t="s">
        <v>12</v>
      </c>
      <c r="B3" s="2" t="s">
        <v>13</v>
      </c>
      <c r="C3" s="3">
        <v>365</v>
      </c>
      <c r="D3" s="3"/>
      <c r="E3" s="3"/>
      <c r="F3" s="7"/>
      <c r="G3" s="7">
        <f>G4+G5</f>
        <v>70400</v>
      </c>
      <c r="H3" s="3">
        <v>100</v>
      </c>
      <c r="I3" s="7">
        <f>C3*H3</f>
        <v>36500</v>
      </c>
      <c r="J3" s="7">
        <f>G3+I3</f>
        <v>106900</v>
      </c>
    </row>
    <row r="4" spans="1:10" x14ac:dyDescent="0.25">
      <c r="A4" s="9" t="s">
        <v>14</v>
      </c>
      <c r="B4" s="10" t="s">
        <v>15</v>
      </c>
      <c r="C4" s="11">
        <v>80</v>
      </c>
      <c r="D4" s="11">
        <v>1.5</v>
      </c>
      <c r="E4" s="11">
        <f>C4*D4</f>
        <v>120</v>
      </c>
      <c r="F4" s="12">
        <v>420</v>
      </c>
      <c r="G4" s="12">
        <f>E4*F4</f>
        <v>50400</v>
      </c>
      <c r="H4" s="12"/>
      <c r="I4" s="12"/>
      <c r="J4" s="12"/>
    </row>
    <row r="5" spans="1:10" x14ac:dyDescent="0.25">
      <c r="A5" s="9" t="s">
        <v>16</v>
      </c>
      <c r="B5" s="10" t="s">
        <v>17</v>
      </c>
      <c r="C5" s="11">
        <v>8</v>
      </c>
      <c r="D5" s="11"/>
      <c r="E5" s="11"/>
      <c r="F5" s="12">
        <v>2500</v>
      </c>
      <c r="G5" s="12">
        <f>C5*F5</f>
        <v>20000</v>
      </c>
      <c r="H5" s="12"/>
      <c r="I5" s="12"/>
      <c r="J5" s="12"/>
    </row>
    <row r="6" spans="1:10" s="8" customFormat="1" ht="45" x14ac:dyDescent="0.25">
      <c r="A6" s="6" t="s">
        <v>18</v>
      </c>
      <c r="B6" s="2" t="s">
        <v>15</v>
      </c>
      <c r="C6" s="3">
        <v>40</v>
      </c>
      <c r="D6" s="3"/>
      <c r="E6" s="3"/>
      <c r="F6" s="7"/>
      <c r="G6" s="7">
        <f>G7+G8</f>
        <v>121500</v>
      </c>
      <c r="H6" s="7">
        <v>2000</v>
      </c>
      <c r="I6" s="7">
        <f>C6*H6</f>
        <v>80000</v>
      </c>
      <c r="J6" s="7">
        <f>G6+I6</f>
        <v>201500</v>
      </c>
    </row>
    <row r="7" spans="1:10" x14ac:dyDescent="0.25">
      <c r="A7" s="9" t="s">
        <v>19</v>
      </c>
      <c r="B7" s="10"/>
      <c r="C7" s="11">
        <v>40</v>
      </c>
      <c r="D7" s="11">
        <v>1.45</v>
      </c>
      <c r="E7" s="11">
        <f>C7*D7</f>
        <v>58</v>
      </c>
      <c r="F7" s="12">
        <v>1750</v>
      </c>
      <c r="G7" s="12">
        <f>E7*F7</f>
        <v>101500</v>
      </c>
      <c r="H7" s="12"/>
      <c r="I7" s="12"/>
      <c r="J7" s="12"/>
    </row>
    <row r="8" spans="1:10" x14ac:dyDescent="0.25">
      <c r="A8" s="9" t="s">
        <v>16</v>
      </c>
      <c r="B8" s="10" t="s">
        <v>17</v>
      </c>
      <c r="C8" s="11">
        <v>8</v>
      </c>
      <c r="D8" s="11"/>
      <c r="E8" s="11"/>
      <c r="F8" s="12">
        <v>2500</v>
      </c>
      <c r="G8" s="12">
        <f>C8*F8</f>
        <v>20000</v>
      </c>
      <c r="H8" s="12"/>
      <c r="I8" s="12"/>
      <c r="J8" s="12"/>
    </row>
    <row r="9" spans="1:10" s="8" customFormat="1" ht="45" x14ac:dyDescent="0.25">
      <c r="A9" s="6" t="s">
        <v>20</v>
      </c>
      <c r="B9" s="2" t="s">
        <v>15</v>
      </c>
      <c r="C9" s="3">
        <v>40</v>
      </c>
      <c r="D9" s="3"/>
      <c r="E9" s="3"/>
      <c r="F9" s="7"/>
      <c r="G9" s="7">
        <f>G10+G11</f>
        <v>45200</v>
      </c>
      <c r="H9" s="7">
        <v>2000</v>
      </c>
      <c r="I9" s="7">
        <f>H9*C9</f>
        <v>80000</v>
      </c>
      <c r="J9" s="7">
        <f>G9+I9</f>
        <v>125200</v>
      </c>
    </row>
    <row r="10" spans="1:10" x14ac:dyDescent="0.25">
      <c r="A10" s="9" t="s">
        <v>14</v>
      </c>
      <c r="B10" s="10" t="s">
        <v>15</v>
      </c>
      <c r="C10" s="11">
        <v>40</v>
      </c>
      <c r="D10" s="11">
        <v>1.5</v>
      </c>
      <c r="E10" s="11">
        <f>C10*D10</f>
        <v>60</v>
      </c>
      <c r="F10" s="12">
        <v>420</v>
      </c>
      <c r="G10" s="12">
        <f>E10*F10</f>
        <v>25200</v>
      </c>
      <c r="H10" s="12"/>
      <c r="I10" s="12"/>
      <c r="J10" s="12"/>
    </row>
    <row r="11" spans="1:10" x14ac:dyDescent="0.25">
      <c r="A11" s="9" t="s">
        <v>16</v>
      </c>
      <c r="B11" s="10" t="s">
        <v>17</v>
      </c>
      <c r="C11" s="11">
        <v>8</v>
      </c>
      <c r="D11" s="11"/>
      <c r="E11" s="11"/>
      <c r="F11" s="12">
        <v>2500</v>
      </c>
      <c r="G11" s="12">
        <f>C11*F11</f>
        <v>20000</v>
      </c>
      <c r="H11" s="12"/>
      <c r="I11" s="12"/>
      <c r="J11" s="12"/>
    </row>
    <row r="12" spans="1:10" s="8" customFormat="1" ht="30" x14ac:dyDescent="0.25">
      <c r="A12" s="6" t="s">
        <v>21</v>
      </c>
      <c r="B12" s="2" t="s">
        <v>15</v>
      </c>
      <c r="C12" s="3">
        <v>36.5</v>
      </c>
      <c r="D12" s="3"/>
      <c r="E12" s="3"/>
      <c r="F12" s="3"/>
      <c r="G12" s="7">
        <f>SUM(G13:G15)</f>
        <v>273050</v>
      </c>
      <c r="H12" s="7">
        <v>2000</v>
      </c>
      <c r="I12" s="7">
        <f>C12*H12</f>
        <v>73000</v>
      </c>
      <c r="J12" s="7">
        <f>G12+I12</f>
        <v>346050</v>
      </c>
    </row>
    <row r="13" spans="1:10" x14ac:dyDescent="0.25">
      <c r="A13" s="9" t="s">
        <v>22</v>
      </c>
      <c r="B13" s="10" t="s">
        <v>15</v>
      </c>
      <c r="C13" s="11">
        <v>40</v>
      </c>
      <c r="D13" s="11"/>
      <c r="E13" s="11"/>
      <c r="F13" s="12">
        <v>5800</v>
      </c>
      <c r="G13" s="12">
        <f>C13*F13</f>
        <v>232000</v>
      </c>
      <c r="H13" s="12"/>
      <c r="I13" s="12"/>
      <c r="J13" s="12"/>
    </row>
    <row r="14" spans="1:10" x14ac:dyDescent="0.25">
      <c r="A14" s="9" t="s">
        <v>23</v>
      </c>
      <c r="B14" s="10" t="s">
        <v>15</v>
      </c>
      <c r="C14" s="11">
        <v>0.5</v>
      </c>
      <c r="D14" s="11"/>
      <c r="E14" s="11"/>
      <c r="F14" s="12"/>
      <c r="G14" s="12">
        <v>15000</v>
      </c>
      <c r="H14" s="12"/>
      <c r="I14" s="12"/>
      <c r="J14" s="12"/>
    </row>
    <row r="15" spans="1:10" x14ac:dyDescent="0.25">
      <c r="A15" s="9" t="s">
        <v>24</v>
      </c>
      <c r="B15" s="10"/>
      <c r="C15" s="11"/>
      <c r="D15" s="11"/>
      <c r="E15" s="11"/>
      <c r="F15" s="12"/>
      <c r="G15" s="12">
        <v>26050</v>
      </c>
      <c r="H15" s="12"/>
      <c r="I15" s="12"/>
      <c r="J15" s="12"/>
    </row>
    <row r="16" spans="1:10" s="8" customFormat="1" ht="30" x14ac:dyDescent="0.25">
      <c r="A16" s="6" t="s">
        <v>25</v>
      </c>
      <c r="B16" s="2" t="s">
        <v>13</v>
      </c>
      <c r="C16" s="3">
        <v>365</v>
      </c>
      <c r="D16" s="3"/>
      <c r="E16" s="3"/>
      <c r="F16" s="7"/>
      <c r="G16" s="7">
        <f>G17</f>
        <v>63000</v>
      </c>
      <c r="H16" s="7">
        <v>50</v>
      </c>
      <c r="I16" s="7">
        <f>C16*H16</f>
        <v>18250</v>
      </c>
      <c r="J16" s="7">
        <f>G16+I16</f>
        <v>81250</v>
      </c>
    </row>
    <row r="17" spans="1:10" x14ac:dyDescent="0.25">
      <c r="A17" s="9" t="s">
        <v>26</v>
      </c>
      <c r="B17" s="10" t="s">
        <v>13</v>
      </c>
      <c r="C17" s="11">
        <v>700</v>
      </c>
      <c r="D17" s="11"/>
      <c r="E17" s="11"/>
      <c r="F17" s="12">
        <v>90</v>
      </c>
      <c r="G17" s="12">
        <f>C17*F17</f>
        <v>63000</v>
      </c>
      <c r="H17" s="12"/>
      <c r="I17" s="12"/>
      <c r="J17" s="12"/>
    </row>
    <row r="18" spans="1:10" s="8" customFormat="1" ht="30" x14ac:dyDescent="0.25">
      <c r="A18" s="6" t="s">
        <v>27</v>
      </c>
      <c r="B18" s="2" t="s">
        <v>15</v>
      </c>
      <c r="C18" s="3">
        <v>110</v>
      </c>
      <c r="D18" s="3"/>
      <c r="E18" s="3"/>
      <c r="F18" s="7"/>
      <c r="G18" s="7">
        <f>SUM(G19:G23)</f>
        <v>1228382</v>
      </c>
      <c r="H18" s="7">
        <v>5000</v>
      </c>
      <c r="I18" s="7">
        <f>C18*H18</f>
        <v>550000</v>
      </c>
      <c r="J18" s="7">
        <f>G18+I18</f>
        <v>1778382</v>
      </c>
    </row>
    <row r="19" spans="1:10" x14ac:dyDescent="0.25">
      <c r="A19" s="9" t="s">
        <v>28</v>
      </c>
      <c r="B19" s="10" t="s">
        <v>15</v>
      </c>
      <c r="C19" s="11">
        <v>120</v>
      </c>
      <c r="D19" s="11"/>
      <c r="E19" s="11"/>
      <c r="F19" s="12">
        <v>6700</v>
      </c>
      <c r="G19" s="12">
        <f>C19*F19</f>
        <v>804000</v>
      </c>
      <c r="H19" s="12"/>
      <c r="I19" s="12"/>
      <c r="J19" s="12"/>
    </row>
    <row r="20" spans="1:10" x14ac:dyDescent="0.25">
      <c r="A20" s="9" t="s">
        <v>29</v>
      </c>
      <c r="B20" s="10" t="s">
        <v>30</v>
      </c>
      <c r="C20" s="11">
        <f>ROUNDUP((160+16+107)*1.05/12, 0)*12</f>
        <v>300</v>
      </c>
      <c r="D20" s="11">
        <f>0.888*1.04</f>
        <v>0.92352000000000001</v>
      </c>
      <c r="E20" s="11">
        <f>ROUND(C20*D20/1000,3)</f>
        <v>0.27700000000000002</v>
      </c>
      <c r="F20" s="12">
        <v>57000</v>
      </c>
      <c r="G20" s="12">
        <f>E20*F20</f>
        <v>15789.000000000002</v>
      </c>
      <c r="H20" s="12"/>
      <c r="I20" s="12"/>
      <c r="J20" s="12"/>
    </row>
    <row r="21" spans="1:10" x14ac:dyDescent="0.25">
      <c r="A21" s="9" t="s">
        <v>42</v>
      </c>
      <c r="B21" s="10" t="s">
        <v>30</v>
      </c>
      <c r="C21" s="11">
        <f>ROUNDUP(3985*1.1/12,0)*12*2</f>
        <v>8784</v>
      </c>
      <c r="D21" s="11">
        <f>0.616*1.04</f>
        <v>0.64063999999999999</v>
      </c>
      <c r="E21" s="11">
        <f t="shared" ref="E21" si="0">ROUND(C21*D21/1000,3)</f>
        <v>5.6269999999999998</v>
      </c>
      <c r="F21" s="12">
        <v>59000</v>
      </c>
      <c r="G21" s="12">
        <f t="shared" ref="G21" si="1">E21*F21</f>
        <v>331993</v>
      </c>
      <c r="H21" s="12"/>
      <c r="I21" s="12"/>
      <c r="J21" s="12"/>
    </row>
    <row r="22" spans="1:10" x14ac:dyDescent="0.25">
      <c r="A22" s="9" t="s">
        <v>23</v>
      </c>
      <c r="B22" s="10" t="s">
        <v>15</v>
      </c>
      <c r="C22" s="11">
        <v>1.5</v>
      </c>
      <c r="D22" s="11"/>
      <c r="E22" s="11"/>
      <c r="F22" s="12">
        <v>15000</v>
      </c>
      <c r="G22" s="12">
        <f>C22*F22</f>
        <v>22500</v>
      </c>
      <c r="H22" s="12"/>
      <c r="I22" s="12"/>
      <c r="J22" s="12"/>
    </row>
    <row r="23" spans="1:10" x14ac:dyDescent="0.25">
      <c r="A23" s="9" t="s">
        <v>24</v>
      </c>
      <c r="B23" s="10"/>
      <c r="C23" s="11"/>
      <c r="D23" s="11"/>
      <c r="E23" s="11"/>
      <c r="F23" s="12"/>
      <c r="G23" s="12">
        <v>54100</v>
      </c>
      <c r="H23" s="12"/>
      <c r="I23" s="12"/>
      <c r="J23" s="12"/>
    </row>
    <row r="24" spans="1:10" s="8" customFormat="1" x14ac:dyDescent="0.25">
      <c r="A24" s="6" t="s">
        <v>31</v>
      </c>
      <c r="B24" s="2" t="s">
        <v>13</v>
      </c>
      <c r="C24" s="3">
        <v>365</v>
      </c>
      <c r="D24" s="3"/>
      <c r="E24" s="3"/>
      <c r="F24" s="7"/>
      <c r="G24" s="7">
        <f>G25</f>
        <v>16000</v>
      </c>
      <c r="H24" s="7">
        <v>300</v>
      </c>
      <c r="I24" s="7">
        <f>C24*H24</f>
        <v>109500</v>
      </c>
      <c r="J24" s="7">
        <f>I24+G24</f>
        <v>125500</v>
      </c>
    </row>
    <row r="25" spans="1:10" s="8" customFormat="1" ht="30" x14ac:dyDescent="0.25">
      <c r="A25" s="9" t="s">
        <v>32</v>
      </c>
      <c r="B25" s="2"/>
      <c r="C25" s="3"/>
      <c r="D25" s="3"/>
      <c r="E25" s="3"/>
      <c r="F25" s="7"/>
      <c r="G25" s="12">
        <v>16000</v>
      </c>
      <c r="H25" s="7"/>
      <c r="I25" s="7"/>
      <c r="J25" s="7"/>
    </row>
    <row r="26" spans="1:10" s="8" customFormat="1" x14ac:dyDescent="0.25">
      <c r="A26" s="3" t="s">
        <v>33</v>
      </c>
      <c r="B26" s="2"/>
      <c r="C26" s="3"/>
      <c r="D26" s="3"/>
      <c r="E26" s="3"/>
      <c r="F26" s="3"/>
      <c r="G26" s="7">
        <f>G3+G6+G9+G12+G16+G18+G24</f>
        <v>1817532</v>
      </c>
      <c r="H26" s="7"/>
      <c r="I26" s="7">
        <f>SUM(I3:I24)</f>
        <v>947250</v>
      </c>
      <c r="J26" s="7">
        <f>SUM(J3:J24)</f>
        <v>2764782</v>
      </c>
    </row>
    <row r="27" spans="1:10" x14ac:dyDescent="0.25">
      <c r="A27" s="11" t="s">
        <v>34</v>
      </c>
      <c r="B27" s="13">
        <v>0.05</v>
      </c>
      <c r="C27" s="11"/>
      <c r="D27" s="11"/>
      <c r="E27" s="11"/>
      <c r="F27" s="11"/>
      <c r="G27" s="12">
        <f>G26*B27</f>
        <v>90876.6</v>
      </c>
      <c r="H27" s="12"/>
      <c r="I27" s="12"/>
      <c r="J27" s="12"/>
    </row>
    <row r="28" spans="1:10" s="8" customFormat="1" x14ac:dyDescent="0.25">
      <c r="A28" s="3" t="s">
        <v>33</v>
      </c>
      <c r="B28" s="2"/>
      <c r="C28" s="3"/>
      <c r="D28" s="3"/>
      <c r="E28" s="3"/>
      <c r="F28" s="3"/>
      <c r="G28" s="7">
        <f>G26+G27</f>
        <v>1908408.6</v>
      </c>
      <c r="H28" s="7"/>
      <c r="I28" s="7">
        <f>I26</f>
        <v>947250</v>
      </c>
      <c r="J28" s="7">
        <f>G28+I28</f>
        <v>2855658.6</v>
      </c>
    </row>
    <row r="29" spans="1:10" x14ac:dyDescent="0.25">
      <c r="A29" s="11" t="s">
        <v>35</v>
      </c>
      <c r="B29" s="13">
        <v>0.08</v>
      </c>
      <c r="C29" s="11"/>
      <c r="D29" s="11"/>
      <c r="E29" s="11"/>
      <c r="F29" s="11"/>
      <c r="G29" s="11"/>
      <c r="H29" s="12"/>
      <c r="I29" s="12"/>
      <c r="J29" s="12">
        <f>J28*B29</f>
        <v>228452.68800000002</v>
      </c>
    </row>
    <row r="30" spans="1:10" x14ac:dyDescent="0.25">
      <c r="A30" s="14" t="s">
        <v>36</v>
      </c>
      <c r="B30" s="15">
        <v>0.2</v>
      </c>
      <c r="C30" s="14"/>
      <c r="D30" s="14"/>
      <c r="E30" s="14"/>
      <c r="F30" s="14"/>
      <c r="G30" s="14"/>
      <c r="H30" s="16"/>
      <c r="I30" s="16"/>
      <c r="J30" s="12">
        <f>J28*B30</f>
        <v>571131.72000000009</v>
      </c>
    </row>
    <row r="31" spans="1:10" s="8" customFormat="1" x14ac:dyDescent="0.25">
      <c r="A31" s="3" t="s">
        <v>37</v>
      </c>
      <c r="B31" s="2"/>
      <c r="C31" s="3"/>
      <c r="D31" s="3"/>
      <c r="E31" s="3"/>
      <c r="F31" s="3"/>
      <c r="G31" s="3"/>
      <c r="H31" s="7"/>
      <c r="I31" s="7"/>
      <c r="J31" s="7">
        <f>SUM(J28:J30)</f>
        <v>3655243.0080000004</v>
      </c>
    </row>
    <row r="32" spans="1:10" x14ac:dyDescent="0.25">
      <c r="B32" s="25">
        <v>0.1</v>
      </c>
      <c r="H32" s="18"/>
      <c r="I32" s="18"/>
      <c r="J32" s="18">
        <f>J28*B32</f>
        <v>285565.86000000004</v>
      </c>
    </row>
    <row r="33" spans="8:10" x14ac:dyDescent="0.25">
      <c r="H33" s="18"/>
      <c r="I33" s="18"/>
      <c r="J33" s="18">
        <f>J28+J32</f>
        <v>3141224.46</v>
      </c>
    </row>
    <row r="34" spans="8:10" x14ac:dyDescent="0.25">
      <c r="H34" s="18"/>
      <c r="I34" s="18"/>
      <c r="J34" s="18"/>
    </row>
    <row r="35" spans="8:10" x14ac:dyDescent="0.25">
      <c r="H35" s="18"/>
      <c r="I35" s="18"/>
      <c r="J35" s="18"/>
    </row>
    <row r="36" spans="8:10" x14ac:dyDescent="0.25">
      <c r="H36" s="18"/>
      <c r="I36" s="18"/>
      <c r="J36" s="18"/>
    </row>
    <row r="37" spans="8:10" x14ac:dyDescent="0.25">
      <c r="H37" s="18"/>
      <c r="I37" s="18"/>
      <c r="J37" s="18"/>
    </row>
    <row r="38" spans="8:10" x14ac:dyDescent="0.25">
      <c r="H38" s="18"/>
      <c r="I38" s="18"/>
      <c r="J38" s="18"/>
    </row>
    <row r="39" spans="8:10" x14ac:dyDescent="0.25">
      <c r="H39" s="18"/>
      <c r="I39" s="18"/>
      <c r="J39" s="18"/>
    </row>
    <row r="40" spans="8:10" x14ac:dyDescent="0.25">
      <c r="H40" s="18"/>
      <c r="I40" s="18"/>
      <c r="J40" s="18"/>
    </row>
    <row r="41" spans="8:10" x14ac:dyDescent="0.25">
      <c r="H41" s="18"/>
      <c r="I41" s="18"/>
      <c r="J41" s="18"/>
    </row>
    <row r="42" spans="8:10" x14ac:dyDescent="0.25">
      <c r="H42" s="18"/>
      <c r="I42" s="18"/>
      <c r="J42" s="18"/>
    </row>
    <row r="43" spans="8:10" x14ac:dyDescent="0.25">
      <c r="H43" s="18"/>
      <c r="I43" s="18"/>
      <c r="J43" s="18"/>
    </row>
  </sheetData>
  <mergeCells count="4">
    <mergeCell ref="A1:A2"/>
    <mergeCell ref="B1:G1"/>
    <mergeCell ref="J1:J2"/>
    <mergeCell ref="H1:I1"/>
  </mergeCells>
  <pageMargins left="0.7" right="0.7" top="0.75" bottom="0.75" header="0.3" footer="0.3"/>
  <pageSetup paperSize="9" scale="7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B598-B3B6-4F9F-8535-D6B5C812B688}">
  <sheetPr>
    <pageSetUpPr fitToPage="1"/>
  </sheetPr>
  <dimension ref="A1:S40"/>
  <sheetViews>
    <sheetView topLeftCell="A7" zoomScaleNormal="100" workbookViewId="0">
      <selection activeCell="O25" sqref="O25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9" width="16.28515625" style="4" customWidth="1"/>
    <col min="20" max="16384" width="9.140625" style="4"/>
  </cols>
  <sheetData>
    <row r="1" spans="1:19" x14ac:dyDescent="0.25">
      <c r="A1" s="40" t="s">
        <v>0</v>
      </c>
      <c r="B1" s="40" t="s">
        <v>4</v>
      </c>
      <c r="C1" s="36" t="s">
        <v>43</v>
      </c>
      <c r="D1" s="36"/>
      <c r="E1" s="36"/>
      <c r="F1" s="36"/>
      <c r="G1" s="36"/>
      <c r="H1" s="36"/>
      <c r="I1" s="36"/>
      <c r="J1" s="36"/>
      <c r="K1" s="36" t="s">
        <v>44</v>
      </c>
      <c r="L1" s="36"/>
      <c r="M1" s="36"/>
      <c r="N1" s="36"/>
      <c r="O1" s="36"/>
      <c r="P1" s="36"/>
      <c r="Q1" s="36"/>
      <c r="R1" s="36"/>
      <c r="S1" s="41" t="s">
        <v>45</v>
      </c>
    </row>
    <row r="2" spans="1:19" s="20" customFormat="1" x14ac:dyDescent="0.25">
      <c r="A2" s="40"/>
      <c r="B2" s="40"/>
      <c r="C2" s="41" t="s">
        <v>1</v>
      </c>
      <c r="D2" s="41"/>
      <c r="E2" s="41"/>
      <c r="F2" s="41"/>
      <c r="G2" s="41"/>
      <c r="H2" s="41" t="s">
        <v>2</v>
      </c>
      <c r="I2" s="41"/>
      <c r="J2" s="37" t="s">
        <v>3</v>
      </c>
      <c r="K2" s="41" t="s">
        <v>1</v>
      </c>
      <c r="L2" s="41"/>
      <c r="M2" s="41"/>
      <c r="N2" s="41"/>
      <c r="O2" s="41"/>
      <c r="P2" s="41" t="s">
        <v>2</v>
      </c>
      <c r="Q2" s="41"/>
      <c r="R2" s="37" t="s">
        <v>3</v>
      </c>
      <c r="S2" s="41"/>
    </row>
    <row r="3" spans="1:19" s="21" customFormat="1" ht="30" x14ac:dyDescent="0.25">
      <c r="A3" s="40"/>
      <c r="B3" s="40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37"/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37"/>
      <c r="S3" s="41"/>
    </row>
    <row r="4" spans="1:19" s="8" customFormat="1" ht="60" x14ac:dyDescent="0.25">
      <c r="A4" s="6" t="s">
        <v>12</v>
      </c>
      <c r="B4" s="2" t="s">
        <v>13</v>
      </c>
      <c r="C4" s="3">
        <f>ROUND(365*1.27,0)</f>
        <v>464</v>
      </c>
      <c r="D4" s="3"/>
      <c r="E4" s="3"/>
      <c r="F4" s="7"/>
      <c r="G4" s="7">
        <f>G5+G6</f>
        <v>89260</v>
      </c>
      <c r="H4" s="3">
        <v>100</v>
      </c>
      <c r="I4" s="7">
        <f>C4*H4</f>
        <v>46400</v>
      </c>
      <c r="J4" s="7">
        <f>G4+I4</f>
        <v>135660</v>
      </c>
      <c r="K4" s="3">
        <f>ROUND(365*1.27,0)</f>
        <v>464</v>
      </c>
      <c r="L4" s="3"/>
      <c r="M4" s="3"/>
      <c r="N4" s="7"/>
      <c r="O4" s="7">
        <f>O5+O6</f>
        <v>158219.5</v>
      </c>
      <c r="P4" s="3">
        <v>250</v>
      </c>
      <c r="Q4" s="7">
        <f>K4*P4</f>
        <v>116000</v>
      </c>
      <c r="R4" s="7">
        <f>O4+Q4</f>
        <v>274219.5</v>
      </c>
      <c r="S4" s="7">
        <f>J4-R4</f>
        <v>-138559.5</v>
      </c>
    </row>
    <row r="5" spans="1:19" x14ac:dyDescent="0.25">
      <c r="A5" s="9" t="s">
        <v>14</v>
      </c>
      <c r="B5" s="10" t="s">
        <v>15</v>
      </c>
      <c r="C5" s="11">
        <f>ROUND(80*1.27,0)</f>
        <v>102</v>
      </c>
      <c r="D5" s="11">
        <v>1.5</v>
      </c>
      <c r="E5" s="11">
        <f>C5*D5</f>
        <v>153</v>
      </c>
      <c r="F5" s="12">
        <v>420</v>
      </c>
      <c r="G5" s="12">
        <f>E5*F5</f>
        <v>64260</v>
      </c>
      <c r="H5" s="12"/>
      <c r="I5" s="12"/>
      <c r="J5" s="12"/>
      <c r="K5" s="11">
        <v>189</v>
      </c>
      <c r="L5" s="11">
        <v>1.5</v>
      </c>
      <c r="M5" s="11">
        <f>K5*L5</f>
        <v>283.5</v>
      </c>
      <c r="N5" s="12">
        <v>417</v>
      </c>
      <c r="O5" s="12">
        <f>M5*N5</f>
        <v>118219.5</v>
      </c>
      <c r="P5" s="12"/>
      <c r="Q5" s="12"/>
      <c r="R5" s="12"/>
      <c r="S5" s="11"/>
    </row>
    <row r="6" spans="1:19" x14ac:dyDescent="0.25">
      <c r="A6" s="9" t="s">
        <v>16</v>
      </c>
      <c r="B6" s="10" t="s">
        <v>17</v>
      </c>
      <c r="C6" s="11">
        <f>ROUND(8*1.27,0)</f>
        <v>10</v>
      </c>
      <c r="D6" s="11"/>
      <c r="E6" s="11"/>
      <c r="F6" s="12">
        <v>2500</v>
      </c>
      <c r="G6" s="12">
        <f>C6*F6</f>
        <v>25000</v>
      </c>
      <c r="H6" s="12"/>
      <c r="I6" s="12"/>
      <c r="J6" s="12"/>
      <c r="K6" s="11">
        <v>16</v>
      </c>
      <c r="L6" s="11"/>
      <c r="M6" s="11"/>
      <c r="N6" s="12">
        <v>2500</v>
      </c>
      <c r="O6" s="12">
        <f>K6*N6</f>
        <v>40000</v>
      </c>
      <c r="P6" s="12"/>
      <c r="Q6" s="12"/>
      <c r="R6" s="12"/>
      <c r="S6" s="11"/>
    </row>
    <row r="7" spans="1:19" s="8" customFormat="1" ht="45" x14ac:dyDescent="0.25">
      <c r="A7" s="6" t="s">
        <v>18</v>
      </c>
      <c r="B7" s="2" t="s">
        <v>15</v>
      </c>
      <c r="C7" s="3">
        <f>ROUND(40*1.27,0)</f>
        <v>51</v>
      </c>
      <c r="D7" s="3"/>
      <c r="E7" s="3"/>
      <c r="F7" s="7"/>
      <c r="G7" s="7">
        <f>G8+G9</f>
        <v>154412.5</v>
      </c>
      <c r="H7" s="7">
        <v>2000</v>
      </c>
      <c r="I7" s="7">
        <f>C7*H7</f>
        <v>102000</v>
      </c>
      <c r="J7" s="7">
        <f>G7+I7</f>
        <v>256412.5</v>
      </c>
      <c r="K7" s="3">
        <f>ROUND(40*1.27,0)</f>
        <v>51</v>
      </c>
      <c r="L7" s="3"/>
      <c r="M7" s="3"/>
      <c r="N7" s="7"/>
      <c r="O7" s="7">
        <f>O8+O9</f>
        <v>139412.5</v>
      </c>
      <c r="P7" s="7"/>
      <c r="Q7" s="7">
        <f>K7*P7</f>
        <v>0</v>
      </c>
      <c r="R7" s="7">
        <f>O7+Q7</f>
        <v>139412.5</v>
      </c>
      <c r="S7" s="7">
        <f>J7-R7</f>
        <v>117000</v>
      </c>
    </row>
    <row r="8" spans="1:19" x14ac:dyDescent="0.25">
      <c r="A8" s="9" t="s">
        <v>19</v>
      </c>
      <c r="B8" s="10"/>
      <c r="C8" s="11">
        <f>ROUND(40*1.27,0)</f>
        <v>51</v>
      </c>
      <c r="D8" s="11">
        <v>1.45</v>
      </c>
      <c r="E8" s="11">
        <f>C8*D8</f>
        <v>73.95</v>
      </c>
      <c r="F8" s="12">
        <v>1750</v>
      </c>
      <c r="G8" s="12">
        <f>E8*F8</f>
        <v>129412.5</v>
      </c>
      <c r="H8" s="12"/>
      <c r="I8" s="12"/>
      <c r="J8" s="12"/>
      <c r="K8" s="11">
        <f>ROUND(40*1.27,0)</f>
        <v>51</v>
      </c>
      <c r="L8" s="11">
        <v>1.45</v>
      </c>
      <c r="M8" s="11">
        <f>K8*L8</f>
        <v>73.95</v>
      </c>
      <c r="N8" s="12">
        <v>1750</v>
      </c>
      <c r="O8" s="12">
        <f>M8*N8</f>
        <v>129412.5</v>
      </c>
      <c r="P8" s="12"/>
      <c r="Q8" s="12"/>
      <c r="R8" s="12"/>
      <c r="S8" s="11"/>
    </row>
    <row r="9" spans="1:19" x14ac:dyDescent="0.25">
      <c r="A9" s="9" t="s">
        <v>16</v>
      </c>
      <c r="B9" s="10" t="s">
        <v>17</v>
      </c>
      <c r="C9" s="11">
        <f>ROUND(8*1.27,0)</f>
        <v>10</v>
      </c>
      <c r="D9" s="11"/>
      <c r="E9" s="11"/>
      <c r="F9" s="12">
        <v>2500</v>
      </c>
      <c r="G9" s="12">
        <f>C9*F9</f>
        <v>25000</v>
      </c>
      <c r="H9" s="12"/>
      <c r="I9" s="12"/>
      <c r="J9" s="12"/>
      <c r="K9" s="11">
        <v>4</v>
      </c>
      <c r="L9" s="11"/>
      <c r="M9" s="11"/>
      <c r="N9" s="12">
        <v>2500</v>
      </c>
      <c r="O9" s="12">
        <f>K9*N9</f>
        <v>10000</v>
      </c>
      <c r="P9" s="12"/>
      <c r="Q9" s="12"/>
      <c r="R9" s="12"/>
      <c r="S9" s="11"/>
    </row>
    <row r="10" spans="1:19" s="8" customFormat="1" ht="45" x14ac:dyDescent="0.25">
      <c r="A10" s="6" t="s">
        <v>20</v>
      </c>
      <c r="B10" s="2" t="s">
        <v>15</v>
      </c>
      <c r="C10" s="3">
        <f>ROUND(40*1.27,0)</f>
        <v>51</v>
      </c>
      <c r="D10" s="3"/>
      <c r="E10" s="3"/>
      <c r="F10" s="7"/>
      <c r="G10" s="7">
        <f>G11+G12</f>
        <v>57130</v>
      </c>
      <c r="H10" s="7">
        <v>2000</v>
      </c>
      <c r="I10" s="7">
        <f>H10*C10</f>
        <v>102000</v>
      </c>
      <c r="J10" s="7">
        <f>G10+I10</f>
        <v>159130</v>
      </c>
      <c r="K10" s="3">
        <f>ROUND(40*1.27,0)</f>
        <v>51</v>
      </c>
      <c r="L10" s="3"/>
      <c r="M10" s="3"/>
      <c r="N10" s="7"/>
      <c r="O10" s="7">
        <f>O11+O12</f>
        <v>42130</v>
      </c>
      <c r="P10" s="7"/>
      <c r="Q10" s="7">
        <v>10000</v>
      </c>
      <c r="R10" s="7">
        <f>O10+Q10</f>
        <v>52130</v>
      </c>
      <c r="S10" s="7">
        <f>J10-R10</f>
        <v>107000</v>
      </c>
    </row>
    <row r="11" spans="1:19" x14ac:dyDescent="0.25">
      <c r="A11" s="9" t="s">
        <v>14</v>
      </c>
      <c r="B11" s="10" t="s">
        <v>15</v>
      </c>
      <c r="C11" s="11">
        <f>ROUND(40*1.27,0)</f>
        <v>51</v>
      </c>
      <c r="D11" s="11">
        <v>1.5</v>
      </c>
      <c r="E11" s="11">
        <f>C11*D11</f>
        <v>76.5</v>
      </c>
      <c r="F11" s="12">
        <v>420</v>
      </c>
      <c r="G11" s="12">
        <f>E11*F11</f>
        <v>32130</v>
      </c>
      <c r="H11" s="12"/>
      <c r="I11" s="12"/>
      <c r="J11" s="12"/>
      <c r="K11" s="11">
        <f>ROUND(40*1.27,0)</f>
        <v>51</v>
      </c>
      <c r="L11" s="11">
        <v>1.5</v>
      </c>
      <c r="M11" s="11">
        <f>K11*L11</f>
        <v>76.5</v>
      </c>
      <c r="N11" s="12">
        <v>420</v>
      </c>
      <c r="O11" s="12">
        <f>M11*N11</f>
        <v>32130</v>
      </c>
      <c r="P11" s="12"/>
      <c r="Q11" s="12"/>
      <c r="R11" s="12"/>
      <c r="S11" s="11"/>
    </row>
    <row r="12" spans="1:19" x14ac:dyDescent="0.25">
      <c r="A12" s="9" t="s">
        <v>16</v>
      </c>
      <c r="B12" s="10" t="s">
        <v>17</v>
      </c>
      <c r="C12" s="11">
        <f>ROUND(8*1.27,0)</f>
        <v>10</v>
      </c>
      <c r="D12" s="11"/>
      <c r="E12" s="11"/>
      <c r="F12" s="12">
        <v>2500</v>
      </c>
      <c r="G12" s="12">
        <f>C12*F12</f>
        <v>25000</v>
      </c>
      <c r="H12" s="12"/>
      <c r="I12" s="12"/>
      <c r="J12" s="12"/>
      <c r="K12" s="11">
        <v>4</v>
      </c>
      <c r="L12" s="11"/>
      <c r="M12" s="11"/>
      <c r="N12" s="12">
        <v>2500</v>
      </c>
      <c r="O12" s="12">
        <f>K12*N12</f>
        <v>10000</v>
      </c>
      <c r="P12" s="12"/>
      <c r="Q12" s="12"/>
      <c r="R12" s="12"/>
      <c r="S12" s="11"/>
    </row>
    <row r="13" spans="1:19" s="8" customFormat="1" ht="30" x14ac:dyDescent="0.25">
      <c r="A13" s="6" t="s">
        <v>38</v>
      </c>
      <c r="B13" s="2" t="s">
        <v>13</v>
      </c>
      <c r="C13" s="3">
        <f>ROUND(365*1.27,0)</f>
        <v>464</v>
      </c>
      <c r="D13" s="3"/>
      <c r="E13" s="3"/>
      <c r="F13" s="7"/>
      <c r="G13" s="7">
        <f>G15+G14</f>
        <v>101230</v>
      </c>
      <c r="H13" s="7">
        <v>100</v>
      </c>
      <c r="I13" s="7">
        <f>C13*H13</f>
        <v>46400</v>
      </c>
      <c r="J13" s="7">
        <f>G13+I13</f>
        <v>147630</v>
      </c>
      <c r="K13" s="3">
        <f>ROUND(365*1.27,0)</f>
        <v>464</v>
      </c>
      <c r="L13" s="3"/>
      <c r="M13" s="3"/>
      <c r="N13" s="7"/>
      <c r="O13" s="7">
        <f>O15+O14</f>
        <v>112775</v>
      </c>
      <c r="P13" s="7">
        <v>50</v>
      </c>
      <c r="Q13" s="7">
        <f>K13*P13</f>
        <v>23200</v>
      </c>
      <c r="R13" s="7">
        <f>O13+Q13</f>
        <v>135975</v>
      </c>
      <c r="S13" s="7">
        <f>J13-R13</f>
        <v>11655</v>
      </c>
    </row>
    <row r="14" spans="1:19" x14ac:dyDescent="0.25">
      <c r="A14" s="9" t="s">
        <v>39</v>
      </c>
      <c r="B14" s="10" t="s">
        <v>13</v>
      </c>
      <c r="C14" s="11">
        <f>ROUND(400*1.27,0)</f>
        <v>508</v>
      </c>
      <c r="D14" s="11"/>
      <c r="E14" s="11"/>
      <c r="F14" s="12">
        <v>130</v>
      </c>
      <c r="G14" s="12">
        <f>C14*F14</f>
        <v>66040</v>
      </c>
      <c r="H14" s="12"/>
      <c r="I14" s="12"/>
      <c r="J14" s="12"/>
      <c r="K14" s="11">
        <v>560</v>
      </c>
      <c r="L14" s="11"/>
      <c r="M14" s="11"/>
      <c r="N14" s="12">
        <v>151</v>
      </c>
      <c r="O14" s="12">
        <f>K14*N14</f>
        <v>84560</v>
      </c>
      <c r="P14" s="12"/>
      <c r="Q14" s="12"/>
      <c r="R14" s="12"/>
      <c r="S14" s="11"/>
    </row>
    <row r="15" spans="1:19" x14ac:dyDescent="0.25">
      <c r="A15" s="9" t="s">
        <v>40</v>
      </c>
      <c r="B15" s="10" t="s">
        <v>41</v>
      </c>
      <c r="C15" s="11">
        <f>ROUND(40*1.27,0)</f>
        <v>51</v>
      </c>
      <c r="D15" s="11"/>
      <c r="E15" s="11"/>
      <c r="F15" s="12">
        <v>690</v>
      </c>
      <c r="G15" s="12">
        <f>C15*F15</f>
        <v>35190</v>
      </c>
      <c r="H15" s="12"/>
      <c r="I15" s="12"/>
      <c r="J15" s="12"/>
      <c r="K15" s="11">
        <v>27</v>
      </c>
      <c r="L15" s="11"/>
      <c r="M15" s="11"/>
      <c r="N15" s="12">
        <v>1045</v>
      </c>
      <c r="O15" s="12">
        <f>K15*N15</f>
        <v>28215</v>
      </c>
      <c r="P15" s="12"/>
      <c r="Q15" s="12"/>
      <c r="R15" s="12"/>
      <c r="S15" s="11"/>
    </row>
    <row r="16" spans="1:19" s="8" customFormat="1" ht="30" x14ac:dyDescent="0.25">
      <c r="A16" s="6" t="s">
        <v>27</v>
      </c>
      <c r="B16" s="2" t="s">
        <v>15</v>
      </c>
      <c r="C16" s="3">
        <f>ROUND(110*1.27,0)</f>
        <v>140</v>
      </c>
      <c r="D16" s="3"/>
      <c r="E16" s="3"/>
      <c r="F16" s="7"/>
      <c r="G16" s="7">
        <f>SUM(G17:G21)</f>
        <v>1558844</v>
      </c>
      <c r="H16" s="7">
        <v>5000</v>
      </c>
      <c r="I16" s="7">
        <f>C16*H16</f>
        <v>700000</v>
      </c>
      <c r="J16" s="7">
        <f>G16+I16</f>
        <v>2258844</v>
      </c>
      <c r="K16" s="3">
        <v>143</v>
      </c>
      <c r="L16" s="3"/>
      <c r="M16" s="3"/>
      <c r="N16" s="7"/>
      <c r="O16" s="7">
        <f>SUM(O17:O21)</f>
        <v>1535807</v>
      </c>
      <c r="P16" s="7">
        <v>3200</v>
      </c>
      <c r="Q16" s="7">
        <f>K16*P16</f>
        <v>457600</v>
      </c>
      <c r="R16" s="7">
        <f>O16+Q16</f>
        <v>1993407</v>
      </c>
      <c r="S16" s="7">
        <f>J16-R16</f>
        <v>265437</v>
      </c>
    </row>
    <row r="17" spans="1:19" x14ac:dyDescent="0.25">
      <c r="A17" s="9" t="s">
        <v>28</v>
      </c>
      <c r="B17" s="10" t="s">
        <v>15</v>
      </c>
      <c r="C17" s="11">
        <f>ROUND(120*1.27,0)</f>
        <v>152</v>
      </c>
      <c r="D17" s="11"/>
      <c r="E17" s="11"/>
      <c r="F17" s="12">
        <v>6700</v>
      </c>
      <c r="G17" s="12">
        <f>C17*F17</f>
        <v>1018400</v>
      </c>
      <c r="H17" s="12"/>
      <c r="I17" s="12"/>
      <c r="J17" s="12"/>
      <c r="K17" s="11">
        <v>143</v>
      </c>
      <c r="L17" s="11"/>
      <c r="M17" s="11"/>
      <c r="N17" s="12">
        <v>6900</v>
      </c>
      <c r="O17" s="12">
        <f>K17*N17</f>
        <v>986700</v>
      </c>
      <c r="P17" s="12"/>
      <c r="Q17" s="12"/>
      <c r="R17" s="12"/>
      <c r="S17" s="11"/>
    </row>
    <row r="18" spans="1:19" x14ac:dyDescent="0.25">
      <c r="A18" s="9" t="s">
        <v>29</v>
      </c>
      <c r="B18" s="10" t="s">
        <v>30</v>
      </c>
      <c r="C18" s="11">
        <f>ROUND(300*1.27,0)</f>
        <v>381</v>
      </c>
      <c r="D18" s="11">
        <f>0.888*1.04</f>
        <v>0.92352000000000001</v>
      </c>
      <c r="E18" s="11">
        <f>ROUND(C18*D18/1000,3)</f>
        <v>0.35199999999999998</v>
      </c>
      <c r="F18" s="12">
        <v>57000</v>
      </c>
      <c r="G18" s="12">
        <f>E18*F18</f>
        <v>20064</v>
      </c>
      <c r="H18" s="12"/>
      <c r="I18" s="12"/>
      <c r="J18" s="12"/>
      <c r="K18" s="11"/>
      <c r="L18" s="11"/>
      <c r="M18" s="11"/>
      <c r="N18" s="12"/>
      <c r="O18" s="12">
        <f>ROUND(0.4*63750+0.85*57210+3.871*61290+2.5*58990+10000,0)</f>
        <v>468857</v>
      </c>
      <c r="P18" s="12"/>
      <c r="Q18" s="12"/>
      <c r="R18" s="12"/>
      <c r="S18" s="11"/>
    </row>
    <row r="19" spans="1:19" x14ac:dyDescent="0.25">
      <c r="A19" s="9" t="s">
        <v>42</v>
      </c>
      <c r="B19" s="10" t="s">
        <v>30</v>
      </c>
      <c r="C19" s="11">
        <f>ROUND(8784*1.27,0)</f>
        <v>11156</v>
      </c>
      <c r="D19" s="11">
        <f>0.616*1.04</f>
        <v>0.64063999999999999</v>
      </c>
      <c r="E19" s="11">
        <f t="shared" ref="E19" si="0">ROUND(C19*D19/1000,3)</f>
        <v>7.1470000000000002</v>
      </c>
      <c r="F19" s="12">
        <v>59000</v>
      </c>
      <c r="G19" s="12">
        <f t="shared" ref="G19" si="1">E19*F19</f>
        <v>421673</v>
      </c>
      <c r="H19" s="12"/>
      <c r="I19" s="12"/>
      <c r="J19" s="12"/>
      <c r="K19" s="11"/>
      <c r="L19" s="11"/>
      <c r="M19" s="11"/>
      <c r="N19" s="12"/>
      <c r="O19" s="12"/>
      <c r="P19" s="12"/>
      <c r="Q19" s="12"/>
      <c r="R19" s="12"/>
      <c r="S19" s="11"/>
    </row>
    <row r="20" spans="1:19" x14ac:dyDescent="0.25">
      <c r="A20" s="9" t="s">
        <v>23</v>
      </c>
      <c r="B20" s="10" t="s">
        <v>15</v>
      </c>
      <c r="C20" s="11">
        <f>ROUND(1.5*1.27,0)</f>
        <v>2</v>
      </c>
      <c r="D20" s="11"/>
      <c r="E20" s="11"/>
      <c r="F20" s="12">
        <v>15000</v>
      </c>
      <c r="G20" s="12">
        <f>C20*F20</f>
        <v>30000</v>
      </c>
      <c r="H20" s="12"/>
      <c r="I20" s="12"/>
      <c r="J20" s="12"/>
      <c r="K20" s="11">
        <v>1.5</v>
      </c>
      <c r="L20" s="11"/>
      <c r="M20" s="11"/>
      <c r="N20" s="12">
        <v>14000</v>
      </c>
      <c r="O20" s="12">
        <f>K20*N20</f>
        <v>21000</v>
      </c>
      <c r="P20" s="12"/>
      <c r="Q20" s="12"/>
      <c r="R20" s="12"/>
      <c r="S20" s="11"/>
    </row>
    <row r="21" spans="1:19" x14ac:dyDescent="0.25">
      <c r="A21" s="9" t="s">
        <v>24</v>
      </c>
      <c r="B21" s="10"/>
      <c r="C21" s="11"/>
      <c r="D21" s="11"/>
      <c r="E21" s="11"/>
      <c r="F21" s="12"/>
      <c r="G21" s="12">
        <f>ROUND(54100*1.27,0)</f>
        <v>68707</v>
      </c>
      <c r="H21" s="12"/>
      <c r="I21" s="12"/>
      <c r="J21" s="12"/>
      <c r="K21" s="11"/>
      <c r="L21" s="11"/>
      <c r="M21" s="11"/>
      <c r="N21" s="12"/>
      <c r="O21" s="12">
        <f>K17*400+2050</f>
        <v>59250</v>
      </c>
      <c r="P21" s="12"/>
      <c r="Q21" s="12"/>
      <c r="R21" s="12"/>
      <c r="S21" s="11"/>
    </row>
    <row r="22" spans="1:19" s="8" customFormat="1" x14ac:dyDescent="0.25">
      <c r="A22" s="6" t="s">
        <v>31</v>
      </c>
      <c r="B22" s="2" t="s">
        <v>13</v>
      </c>
      <c r="C22" s="3">
        <f>ROUND(365*1.27,0)</f>
        <v>464</v>
      </c>
      <c r="D22" s="3"/>
      <c r="E22" s="3"/>
      <c r="F22" s="7"/>
      <c r="G22" s="7">
        <f>G23</f>
        <v>20320</v>
      </c>
      <c r="H22" s="7">
        <v>300</v>
      </c>
      <c r="I22" s="7">
        <f>C22*H22</f>
        <v>139200</v>
      </c>
      <c r="J22" s="7">
        <f>I22+G22</f>
        <v>159520</v>
      </c>
      <c r="K22" s="3">
        <f>ROUND(365*1.27,0)</f>
        <v>464</v>
      </c>
      <c r="L22" s="3"/>
      <c r="M22" s="3"/>
      <c r="N22" s="7"/>
      <c r="O22" s="7">
        <f>O23</f>
        <v>10000</v>
      </c>
      <c r="P22" s="7">
        <v>300</v>
      </c>
      <c r="Q22" s="7">
        <f>K22*P22</f>
        <v>139200</v>
      </c>
      <c r="R22" s="7">
        <f>Q22+O22</f>
        <v>149200</v>
      </c>
      <c r="S22" s="7">
        <f>J22-R22</f>
        <v>10320</v>
      </c>
    </row>
    <row r="23" spans="1:19" s="8" customFormat="1" ht="30" x14ac:dyDescent="0.25">
      <c r="A23" s="9" t="s">
        <v>32</v>
      </c>
      <c r="B23" s="2"/>
      <c r="C23" s="3"/>
      <c r="D23" s="3"/>
      <c r="E23" s="3"/>
      <c r="F23" s="7"/>
      <c r="G23" s="12">
        <f>ROUND(16000*1.27,0)</f>
        <v>20320</v>
      </c>
      <c r="H23" s="7"/>
      <c r="I23" s="7"/>
      <c r="J23" s="7"/>
      <c r="K23" s="3"/>
      <c r="L23" s="3"/>
      <c r="M23" s="3"/>
      <c r="N23" s="7"/>
      <c r="O23" s="12">
        <v>10000</v>
      </c>
      <c r="P23" s="7"/>
      <c r="Q23" s="7"/>
      <c r="R23" s="7"/>
      <c r="S23" s="3"/>
    </row>
    <row r="24" spans="1:19" s="8" customFormat="1" x14ac:dyDescent="0.25">
      <c r="A24" s="3" t="s">
        <v>33</v>
      </c>
      <c r="B24" s="2"/>
      <c r="C24" s="3"/>
      <c r="D24" s="3"/>
      <c r="E24" s="3"/>
      <c r="F24" s="3"/>
      <c r="G24" s="7">
        <f>G4+G7+G10+G13+G16+G22</f>
        <v>1981196.5</v>
      </c>
      <c r="H24" s="7"/>
      <c r="I24" s="7">
        <f>SUM(I4:I22)</f>
        <v>1136000</v>
      </c>
      <c r="J24" s="7">
        <f>SUM(J4:J22)</f>
        <v>3117196.5</v>
      </c>
      <c r="K24" s="3"/>
      <c r="L24" s="3"/>
      <c r="M24" s="3"/>
      <c r="N24" s="3"/>
      <c r="O24" s="7">
        <f>O4+O7+O10+O13+O16+O22</f>
        <v>1998344</v>
      </c>
      <c r="P24" s="7"/>
      <c r="Q24" s="7">
        <f>SUM(Q4:Q22)</f>
        <v>746000</v>
      </c>
      <c r="R24" s="7">
        <f>SUM(R4:R22)</f>
        <v>2744344</v>
      </c>
      <c r="S24" s="7">
        <f>J24-R24</f>
        <v>372852.5</v>
      </c>
    </row>
    <row r="25" spans="1:19" x14ac:dyDescent="0.25">
      <c r="A25" s="11" t="s">
        <v>34</v>
      </c>
      <c r="B25" s="13">
        <v>0.05</v>
      </c>
      <c r="C25" s="11"/>
      <c r="D25" s="11"/>
      <c r="E25" s="11"/>
      <c r="F25" s="11"/>
      <c r="G25" s="12">
        <f>G24*B25</f>
        <v>99059.825000000012</v>
      </c>
      <c r="H25" s="12"/>
      <c r="I25" s="12"/>
      <c r="J25" s="12"/>
      <c r="K25" s="11"/>
      <c r="L25" s="11"/>
      <c r="M25" s="11"/>
      <c r="N25" s="11"/>
      <c r="O25" s="12">
        <f>31250+7862</f>
        <v>39112</v>
      </c>
      <c r="P25" s="12"/>
      <c r="Q25" s="12"/>
      <c r="R25" s="12"/>
      <c r="S25" s="11"/>
    </row>
    <row r="26" spans="1:19" s="8" customFormat="1" x14ac:dyDescent="0.25">
      <c r="A26" s="3" t="s">
        <v>33</v>
      </c>
      <c r="B26" s="2"/>
      <c r="C26" s="3"/>
      <c r="D26" s="3"/>
      <c r="E26" s="3"/>
      <c r="F26" s="3"/>
      <c r="G26" s="7">
        <f>G24+G25</f>
        <v>2080256.325</v>
      </c>
      <c r="H26" s="7"/>
      <c r="I26" s="7">
        <f>I24</f>
        <v>1136000</v>
      </c>
      <c r="J26" s="7">
        <f>G26+I26</f>
        <v>3216256.3250000002</v>
      </c>
      <c r="K26" s="3"/>
      <c r="L26" s="3"/>
      <c r="M26" s="3"/>
      <c r="N26" s="3"/>
      <c r="O26" s="7">
        <f>O24+O25</f>
        <v>2037456</v>
      </c>
      <c r="P26" s="7"/>
      <c r="Q26" s="7">
        <f>Q24</f>
        <v>746000</v>
      </c>
      <c r="R26" s="7">
        <f>O26+Q26</f>
        <v>2783456</v>
      </c>
      <c r="S26" s="7">
        <f>J26-R26</f>
        <v>432800.32500000019</v>
      </c>
    </row>
    <row r="27" spans="1:19" x14ac:dyDescent="0.25">
      <c r="A27" s="14" t="s">
        <v>36</v>
      </c>
      <c r="B27" s="15">
        <v>0.1</v>
      </c>
      <c r="C27" s="14"/>
      <c r="D27" s="14"/>
      <c r="E27" s="14"/>
      <c r="F27" s="14"/>
      <c r="G27" s="14"/>
      <c r="H27" s="16"/>
      <c r="I27" s="16"/>
      <c r="J27" s="12">
        <f>J26*B27</f>
        <v>321625.63250000007</v>
      </c>
      <c r="K27" s="14"/>
      <c r="L27" s="14"/>
      <c r="M27" s="14"/>
      <c r="N27" s="14"/>
      <c r="O27" s="14"/>
      <c r="P27" s="16"/>
      <c r="Q27" s="16"/>
      <c r="R27" s="12"/>
      <c r="S27" s="11"/>
    </row>
    <row r="28" spans="1:19" s="8" customFormat="1" x14ac:dyDescent="0.25">
      <c r="A28" s="3" t="s">
        <v>37</v>
      </c>
      <c r="B28" s="2"/>
      <c r="C28" s="3"/>
      <c r="D28" s="3"/>
      <c r="E28" s="3"/>
      <c r="F28" s="3"/>
      <c r="G28" s="3"/>
      <c r="H28" s="7"/>
      <c r="I28" s="7"/>
      <c r="J28" s="7">
        <f>SUM(J26:J27)</f>
        <v>3537881.9575000005</v>
      </c>
      <c r="K28" s="3"/>
      <c r="L28" s="3"/>
      <c r="M28" s="3"/>
      <c r="N28" s="3"/>
      <c r="O28" s="3"/>
      <c r="P28" s="7"/>
      <c r="Q28" s="7"/>
      <c r="R28" s="7"/>
      <c r="S28" s="3"/>
    </row>
    <row r="29" spans="1:19" x14ac:dyDescent="0.25">
      <c r="H29" s="18"/>
      <c r="I29" s="18"/>
      <c r="J29" s="18"/>
      <c r="P29" s="18"/>
      <c r="Q29" s="18"/>
      <c r="R29" s="18"/>
    </row>
    <row r="30" spans="1:19" x14ac:dyDescent="0.25">
      <c r="H30" s="18"/>
      <c r="I30" s="18"/>
      <c r="J30" s="18"/>
      <c r="P30" s="18"/>
      <c r="Q30" s="18"/>
      <c r="R30" s="18"/>
    </row>
    <row r="31" spans="1:19" x14ac:dyDescent="0.25">
      <c r="H31" s="18"/>
      <c r="I31" s="18"/>
      <c r="J31" s="18"/>
      <c r="P31" s="18"/>
      <c r="Q31" s="18"/>
      <c r="R31" s="18"/>
    </row>
    <row r="32" spans="1:19" x14ac:dyDescent="0.25">
      <c r="H32" s="18"/>
      <c r="I32" s="18"/>
      <c r="J32" s="18"/>
      <c r="P32" s="18"/>
      <c r="Q32" s="18"/>
      <c r="R32" s="18"/>
    </row>
    <row r="33" spans="8:18" x14ac:dyDescent="0.25">
      <c r="H33" s="18"/>
      <c r="I33" s="18"/>
      <c r="J33" s="18"/>
      <c r="P33" s="18"/>
      <c r="Q33" s="18"/>
      <c r="R33" s="18"/>
    </row>
    <row r="34" spans="8:18" x14ac:dyDescent="0.25">
      <c r="H34" s="18"/>
      <c r="I34" s="18"/>
      <c r="J34" s="18"/>
      <c r="P34" s="18"/>
      <c r="Q34" s="18"/>
      <c r="R34" s="18"/>
    </row>
    <row r="35" spans="8:18" x14ac:dyDescent="0.25">
      <c r="H35" s="18"/>
      <c r="I35" s="18"/>
      <c r="J35" s="18"/>
      <c r="P35" s="18"/>
      <c r="Q35" s="18"/>
      <c r="R35" s="18"/>
    </row>
    <row r="36" spans="8:18" x14ac:dyDescent="0.25">
      <c r="H36" s="18"/>
      <c r="I36" s="18"/>
      <c r="J36" s="18"/>
      <c r="P36" s="18"/>
      <c r="Q36" s="18"/>
      <c r="R36" s="18"/>
    </row>
    <row r="37" spans="8:18" x14ac:dyDescent="0.25">
      <c r="H37" s="18"/>
      <c r="I37" s="18"/>
      <c r="J37" s="18"/>
      <c r="P37" s="18"/>
      <c r="Q37" s="18"/>
      <c r="R37" s="18"/>
    </row>
    <row r="38" spans="8:18" x14ac:dyDescent="0.25">
      <c r="H38" s="18"/>
      <c r="I38" s="18"/>
      <c r="J38" s="18"/>
      <c r="P38" s="18"/>
      <c r="Q38" s="18"/>
      <c r="R38" s="18"/>
    </row>
    <row r="39" spans="8:18" x14ac:dyDescent="0.25">
      <c r="H39" s="18"/>
      <c r="I39" s="18"/>
      <c r="J39" s="18"/>
      <c r="P39" s="18"/>
      <c r="Q39" s="18"/>
      <c r="R39" s="18"/>
    </row>
    <row r="40" spans="8:18" x14ac:dyDescent="0.25">
      <c r="H40" s="18"/>
      <c r="I40" s="18"/>
      <c r="J40" s="18"/>
      <c r="P40" s="18"/>
      <c r="Q40" s="18"/>
      <c r="R40" s="18"/>
    </row>
  </sheetData>
  <mergeCells count="11">
    <mergeCell ref="K1:R1"/>
    <mergeCell ref="K2:O2"/>
    <mergeCell ref="P2:Q2"/>
    <mergeCell ref="R2:R3"/>
    <mergeCell ref="S1:S3"/>
    <mergeCell ref="A1:A3"/>
    <mergeCell ref="H2:I2"/>
    <mergeCell ref="J2:J3"/>
    <mergeCell ref="C2:G2"/>
    <mergeCell ref="B1:B3"/>
    <mergeCell ref="C1:J1"/>
  </mergeCells>
  <pageMargins left="0.7" right="0.7" top="0.75" bottom="0.75" header="0.3" footer="0.3"/>
  <pageSetup paperSize="9" scale="7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13A-288A-443F-9578-8BC57984BF16}">
  <sheetPr>
    <pageSetUpPr fitToPage="1"/>
  </sheetPr>
  <dimension ref="A1:T52"/>
  <sheetViews>
    <sheetView zoomScaleNormal="100" workbookViewId="0">
      <selection sqref="A1:J3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6384" width="9.140625" style="4"/>
  </cols>
  <sheetData>
    <row r="1" spans="1:20" s="22" customFormat="1" x14ac:dyDescent="0.25">
      <c r="A1" s="40" t="s">
        <v>0</v>
      </c>
      <c r="B1" s="40" t="s">
        <v>4</v>
      </c>
      <c r="C1" s="41" t="s">
        <v>46</v>
      </c>
      <c r="D1" s="41"/>
      <c r="E1" s="41"/>
      <c r="F1" s="41"/>
      <c r="G1" s="41"/>
      <c r="H1" s="41"/>
      <c r="I1" s="41"/>
      <c r="J1" s="41"/>
      <c r="K1" s="42" t="s">
        <v>47</v>
      </c>
      <c r="L1" s="41"/>
      <c r="M1" s="41"/>
      <c r="N1" s="41"/>
      <c r="O1" s="41"/>
      <c r="P1" s="41"/>
      <c r="Q1" s="41"/>
      <c r="R1" s="41"/>
    </row>
    <row r="2" spans="1:20" s="22" customFormat="1" x14ac:dyDescent="0.25">
      <c r="A2" s="40"/>
      <c r="B2" s="40"/>
      <c r="C2" s="41" t="s">
        <v>1</v>
      </c>
      <c r="D2" s="41"/>
      <c r="E2" s="41"/>
      <c r="F2" s="41"/>
      <c r="G2" s="41"/>
      <c r="H2" s="41" t="s">
        <v>2</v>
      </c>
      <c r="I2" s="41"/>
      <c r="J2" s="37" t="s">
        <v>3</v>
      </c>
      <c r="K2" s="41" t="s">
        <v>1</v>
      </c>
      <c r="L2" s="41"/>
      <c r="M2" s="41"/>
      <c r="N2" s="41"/>
      <c r="O2" s="41"/>
      <c r="P2" s="41" t="s">
        <v>2</v>
      </c>
      <c r="Q2" s="41"/>
      <c r="R2" s="37" t="s">
        <v>3</v>
      </c>
    </row>
    <row r="3" spans="1:20" s="21" customFormat="1" ht="30" x14ac:dyDescent="0.25">
      <c r="A3" s="40"/>
      <c r="B3" s="40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37"/>
      <c r="K3" s="19" t="s">
        <v>5</v>
      </c>
      <c r="L3" s="19" t="s">
        <v>6</v>
      </c>
      <c r="M3" s="19" t="s">
        <v>7</v>
      </c>
      <c r="N3" s="19" t="s">
        <v>8</v>
      </c>
      <c r="O3" s="19" t="s">
        <v>9</v>
      </c>
      <c r="P3" s="19" t="s">
        <v>10</v>
      </c>
      <c r="Q3" s="19" t="s">
        <v>11</v>
      </c>
      <c r="R3" s="37"/>
    </row>
    <row r="4" spans="1:20" s="8" customFormat="1" ht="60" x14ac:dyDescent="0.25">
      <c r="A4" s="6" t="s">
        <v>12</v>
      </c>
      <c r="B4" s="2" t="s">
        <v>13</v>
      </c>
      <c r="C4" s="3">
        <v>365</v>
      </c>
      <c r="D4" s="3"/>
      <c r="E4" s="3"/>
      <c r="F4" s="7"/>
      <c r="G4" s="7">
        <f>G5+G6</f>
        <v>70400</v>
      </c>
      <c r="H4" s="3">
        <v>100</v>
      </c>
      <c r="I4" s="7">
        <f>C4*H4</f>
        <v>36500</v>
      </c>
      <c r="J4" s="7">
        <f>G4+I4</f>
        <v>106900</v>
      </c>
      <c r="K4" s="3">
        <f>ROUND(C4*1.27,0)-C4</f>
        <v>99</v>
      </c>
      <c r="L4" s="3"/>
      <c r="M4" s="3"/>
      <c r="N4" s="7"/>
      <c r="O4" s="7">
        <f>O5+O6</f>
        <v>108670</v>
      </c>
      <c r="P4" s="3">
        <v>100</v>
      </c>
      <c r="Q4" s="7">
        <f>K4*P4</f>
        <v>9900</v>
      </c>
      <c r="R4" s="7">
        <f>O4+Q4</f>
        <v>118570</v>
      </c>
    </row>
    <row r="5" spans="1:20" x14ac:dyDescent="0.25">
      <c r="A5" s="9" t="s">
        <v>14</v>
      </c>
      <c r="B5" s="10" t="s">
        <v>15</v>
      </c>
      <c r="C5" s="11">
        <v>80</v>
      </c>
      <c r="D5" s="11">
        <v>1.5</v>
      </c>
      <c r="E5" s="11">
        <f>C5*D5</f>
        <v>120</v>
      </c>
      <c r="F5" s="12">
        <v>420</v>
      </c>
      <c r="G5" s="12">
        <f>E5*F5</f>
        <v>50400</v>
      </c>
      <c r="H5" s="12"/>
      <c r="I5" s="12"/>
      <c r="J5" s="12"/>
      <c r="K5" s="11">
        <v>109</v>
      </c>
      <c r="L5" s="11">
        <v>1.5</v>
      </c>
      <c r="M5" s="11">
        <f>K5*L5</f>
        <v>163.5</v>
      </c>
      <c r="N5" s="12">
        <v>420</v>
      </c>
      <c r="O5" s="12">
        <f>M5*N5</f>
        <v>68670</v>
      </c>
      <c r="P5" s="12"/>
      <c r="Q5" s="12"/>
      <c r="R5" s="12"/>
      <c r="T5" s="4">
        <f>C5+C11+K11+K5</f>
        <v>240</v>
      </c>
    </row>
    <row r="6" spans="1:20" x14ac:dyDescent="0.25">
      <c r="A6" s="9" t="s">
        <v>16</v>
      </c>
      <c r="B6" s="10" t="s">
        <v>17</v>
      </c>
      <c r="C6" s="11">
        <v>8</v>
      </c>
      <c r="D6" s="11"/>
      <c r="E6" s="11"/>
      <c r="F6" s="12">
        <v>2500</v>
      </c>
      <c r="G6" s="12">
        <f>C6*F6</f>
        <v>20000</v>
      </c>
      <c r="H6" s="12"/>
      <c r="I6" s="12"/>
      <c r="J6" s="12"/>
      <c r="K6" s="11">
        <v>16</v>
      </c>
      <c r="L6" s="11"/>
      <c r="M6" s="11"/>
      <c r="N6" s="12">
        <v>2500</v>
      </c>
      <c r="O6" s="12">
        <f>K6*N6</f>
        <v>40000</v>
      </c>
      <c r="P6" s="12"/>
      <c r="Q6" s="12"/>
      <c r="R6" s="12"/>
    </row>
    <row r="7" spans="1:20" s="8" customFormat="1" ht="45" x14ac:dyDescent="0.25">
      <c r="A7" s="6" t="s">
        <v>18</v>
      </c>
      <c r="B7" s="2" t="s">
        <v>15</v>
      </c>
      <c r="C7" s="3">
        <v>40</v>
      </c>
      <c r="D7" s="3"/>
      <c r="E7" s="3"/>
      <c r="F7" s="7"/>
      <c r="G7" s="7">
        <f>G8+G9</f>
        <v>121500</v>
      </c>
      <c r="H7" s="7">
        <v>2000</v>
      </c>
      <c r="I7" s="7">
        <f>C7*H7</f>
        <v>80000</v>
      </c>
      <c r="J7" s="7">
        <f>G7+I7</f>
        <v>201500</v>
      </c>
      <c r="K7" s="3">
        <f>ROUND(C7*1.27,0)-C7</f>
        <v>11</v>
      </c>
      <c r="L7" s="3"/>
      <c r="M7" s="3"/>
      <c r="N7" s="7"/>
      <c r="O7" s="7">
        <f>O8+O9</f>
        <v>27912.5</v>
      </c>
      <c r="P7" s="7">
        <v>2000</v>
      </c>
      <c r="Q7" s="7">
        <f>K7*P7</f>
        <v>22000</v>
      </c>
      <c r="R7" s="7">
        <f>O7+Q7</f>
        <v>49912.5</v>
      </c>
    </row>
    <row r="8" spans="1:20" x14ac:dyDescent="0.25">
      <c r="A8" s="9" t="s">
        <v>19</v>
      </c>
      <c r="B8" s="10"/>
      <c r="C8" s="11">
        <v>40</v>
      </c>
      <c r="D8" s="11">
        <v>1.45</v>
      </c>
      <c r="E8" s="11">
        <f>C8*D8</f>
        <v>58</v>
      </c>
      <c r="F8" s="12">
        <v>1750</v>
      </c>
      <c r="G8" s="12">
        <f>E8*F8</f>
        <v>101500</v>
      </c>
      <c r="H8" s="12"/>
      <c r="I8" s="12"/>
      <c r="J8" s="12"/>
      <c r="K8" s="11">
        <f t="shared" ref="K8:K11" si="0">ROUND(C8*1.27,0)-C8</f>
        <v>11</v>
      </c>
      <c r="L8" s="11">
        <v>1.45</v>
      </c>
      <c r="M8" s="11">
        <f>K8*L8</f>
        <v>15.95</v>
      </c>
      <c r="N8" s="12">
        <v>1750</v>
      </c>
      <c r="O8" s="12">
        <f>M8*N8</f>
        <v>27912.5</v>
      </c>
      <c r="P8" s="12"/>
      <c r="Q8" s="12"/>
      <c r="R8" s="12"/>
    </row>
    <row r="9" spans="1:20" x14ac:dyDescent="0.25">
      <c r="A9" s="9" t="s">
        <v>16</v>
      </c>
      <c r="B9" s="10" t="s">
        <v>17</v>
      </c>
      <c r="C9" s="11">
        <v>8</v>
      </c>
      <c r="D9" s="11"/>
      <c r="E9" s="11"/>
      <c r="F9" s="12">
        <v>2500</v>
      </c>
      <c r="G9" s="12">
        <f>C9*F9</f>
        <v>20000</v>
      </c>
      <c r="H9" s="12"/>
      <c r="I9" s="12"/>
      <c r="J9" s="12"/>
      <c r="K9" s="11">
        <v>0</v>
      </c>
      <c r="L9" s="11"/>
      <c r="M9" s="11"/>
      <c r="N9" s="12">
        <v>2500</v>
      </c>
      <c r="O9" s="12">
        <f>K9*N9</f>
        <v>0</v>
      </c>
      <c r="P9" s="12"/>
      <c r="Q9" s="12"/>
      <c r="R9" s="12"/>
    </row>
    <row r="10" spans="1:20" s="8" customFormat="1" ht="45" x14ac:dyDescent="0.25">
      <c r="A10" s="6" t="s">
        <v>20</v>
      </c>
      <c r="B10" s="2" t="s">
        <v>15</v>
      </c>
      <c r="C10" s="3">
        <v>40</v>
      </c>
      <c r="D10" s="3"/>
      <c r="E10" s="3"/>
      <c r="F10" s="7"/>
      <c r="G10" s="7">
        <f>G11+G12</f>
        <v>45200</v>
      </c>
      <c r="H10" s="7">
        <v>2000</v>
      </c>
      <c r="I10" s="7">
        <f>H10*C10</f>
        <v>80000</v>
      </c>
      <c r="J10" s="7">
        <f>G10+I10</f>
        <v>125200</v>
      </c>
      <c r="K10" s="3">
        <f>ROUND(C10*1.34,0)-C10</f>
        <v>14</v>
      </c>
      <c r="L10" s="3"/>
      <c r="M10" s="3"/>
      <c r="N10" s="7"/>
      <c r="O10" s="7">
        <f>O11+O12</f>
        <v>6930</v>
      </c>
      <c r="P10" s="7">
        <v>2000</v>
      </c>
      <c r="Q10" s="7">
        <f>P10*K10</f>
        <v>28000</v>
      </c>
      <c r="R10" s="7">
        <f>O10+Q10</f>
        <v>34930</v>
      </c>
    </row>
    <row r="11" spans="1:20" x14ac:dyDescent="0.25">
      <c r="A11" s="9" t="s">
        <v>14</v>
      </c>
      <c r="B11" s="10" t="s">
        <v>15</v>
      </c>
      <c r="C11" s="11">
        <v>40</v>
      </c>
      <c r="D11" s="11">
        <v>1.5</v>
      </c>
      <c r="E11" s="11">
        <f>C11*D11</f>
        <v>60</v>
      </c>
      <c r="F11" s="12">
        <v>420</v>
      </c>
      <c r="G11" s="12">
        <f>E11*F11</f>
        <v>25200</v>
      </c>
      <c r="H11" s="12"/>
      <c r="I11" s="12"/>
      <c r="J11" s="12"/>
      <c r="K11" s="11">
        <f t="shared" si="0"/>
        <v>11</v>
      </c>
      <c r="L11" s="11">
        <v>1.5</v>
      </c>
      <c r="M11" s="11">
        <f>K11*L11</f>
        <v>16.5</v>
      </c>
      <c r="N11" s="12">
        <v>420</v>
      </c>
      <c r="O11" s="12">
        <f>M11*N11</f>
        <v>6930</v>
      </c>
      <c r="P11" s="12"/>
      <c r="Q11" s="12"/>
      <c r="R11" s="12"/>
    </row>
    <row r="12" spans="1:20" x14ac:dyDescent="0.25">
      <c r="A12" s="9" t="s">
        <v>16</v>
      </c>
      <c r="B12" s="10" t="s">
        <v>17</v>
      </c>
      <c r="C12" s="11">
        <v>8</v>
      </c>
      <c r="D12" s="11"/>
      <c r="E12" s="11"/>
      <c r="F12" s="12">
        <v>2500</v>
      </c>
      <c r="G12" s="12">
        <f>C12*F12</f>
        <v>20000</v>
      </c>
      <c r="H12" s="12"/>
      <c r="I12" s="12"/>
      <c r="J12" s="12"/>
      <c r="K12" s="11">
        <v>0</v>
      </c>
      <c r="L12" s="11"/>
      <c r="M12" s="11"/>
      <c r="N12" s="12">
        <v>2500</v>
      </c>
      <c r="O12" s="12">
        <f>K12*N12</f>
        <v>0</v>
      </c>
      <c r="P12" s="12"/>
      <c r="Q12" s="12"/>
      <c r="R12" s="12"/>
    </row>
    <row r="13" spans="1:20" s="8" customFormat="1" ht="30" x14ac:dyDescent="0.25">
      <c r="A13" s="6" t="s">
        <v>21</v>
      </c>
      <c r="B13" s="2" t="s">
        <v>15</v>
      </c>
      <c r="C13" s="3">
        <v>36.5</v>
      </c>
      <c r="D13" s="3"/>
      <c r="E13" s="3"/>
      <c r="F13" s="3"/>
      <c r="G13" s="7">
        <f>SUM(G14:G16)</f>
        <v>273050</v>
      </c>
      <c r="H13" s="7">
        <v>2000</v>
      </c>
      <c r="I13" s="7">
        <f>C13*H13</f>
        <v>73000</v>
      </c>
      <c r="J13" s="7">
        <f>G13+I13</f>
        <v>346050</v>
      </c>
      <c r="K13" s="3">
        <f>-C13</f>
        <v>-36.5</v>
      </c>
      <c r="L13" s="3"/>
      <c r="M13" s="3"/>
      <c r="N13" s="3"/>
      <c r="O13" s="7">
        <f>SUM(O14:O16)</f>
        <v>-273050</v>
      </c>
      <c r="P13" s="7">
        <v>2000</v>
      </c>
      <c r="Q13" s="7">
        <f>K13*P13</f>
        <v>-73000</v>
      </c>
      <c r="R13" s="7">
        <f>O13+Q13</f>
        <v>-346050</v>
      </c>
    </row>
    <row r="14" spans="1:20" x14ac:dyDescent="0.25">
      <c r="A14" s="9" t="s">
        <v>22</v>
      </c>
      <c r="B14" s="10" t="s">
        <v>15</v>
      </c>
      <c r="C14" s="11">
        <v>40</v>
      </c>
      <c r="D14" s="11"/>
      <c r="E14" s="11"/>
      <c r="F14" s="12">
        <v>5800</v>
      </c>
      <c r="G14" s="12">
        <f>C14*F14</f>
        <v>232000</v>
      </c>
      <c r="H14" s="12"/>
      <c r="I14" s="12"/>
      <c r="J14" s="12"/>
      <c r="K14" s="11">
        <f>-C14</f>
        <v>-40</v>
      </c>
      <c r="L14" s="11"/>
      <c r="M14" s="11"/>
      <c r="N14" s="12">
        <v>5800</v>
      </c>
      <c r="O14" s="12">
        <f>K14*N14</f>
        <v>-232000</v>
      </c>
      <c r="P14" s="12"/>
      <c r="Q14" s="12"/>
      <c r="R14" s="12"/>
    </row>
    <row r="15" spans="1:20" x14ac:dyDescent="0.25">
      <c r="A15" s="9" t="s">
        <v>23</v>
      </c>
      <c r="B15" s="10" t="s">
        <v>15</v>
      </c>
      <c r="C15" s="11">
        <v>0.5</v>
      </c>
      <c r="D15" s="11"/>
      <c r="E15" s="11"/>
      <c r="F15" s="12"/>
      <c r="G15" s="12">
        <v>15000</v>
      </c>
      <c r="H15" s="12"/>
      <c r="I15" s="12"/>
      <c r="J15" s="12"/>
      <c r="K15" s="11">
        <f>-C15</f>
        <v>-0.5</v>
      </c>
      <c r="L15" s="11"/>
      <c r="M15" s="11"/>
      <c r="N15" s="12"/>
      <c r="O15" s="12">
        <f>-G15</f>
        <v>-15000</v>
      </c>
      <c r="P15" s="12"/>
      <c r="Q15" s="12"/>
      <c r="R15" s="12"/>
    </row>
    <row r="16" spans="1:20" x14ac:dyDescent="0.25">
      <c r="A16" s="9" t="s">
        <v>24</v>
      </c>
      <c r="B16" s="10"/>
      <c r="C16" s="11"/>
      <c r="D16" s="11"/>
      <c r="E16" s="11"/>
      <c r="F16" s="12"/>
      <c r="G16" s="12">
        <v>26050</v>
      </c>
      <c r="H16" s="12"/>
      <c r="I16" s="12"/>
      <c r="J16" s="12"/>
      <c r="K16" s="11"/>
      <c r="L16" s="11"/>
      <c r="M16" s="11"/>
      <c r="N16" s="12"/>
      <c r="O16" s="12">
        <f>-G16</f>
        <v>-26050</v>
      </c>
      <c r="P16" s="12"/>
      <c r="Q16" s="12"/>
      <c r="R16" s="12"/>
    </row>
    <row r="17" spans="1:18" s="8" customFormat="1" ht="30" x14ac:dyDescent="0.25">
      <c r="A17" s="6" t="s">
        <v>25</v>
      </c>
      <c r="B17" s="2" t="s">
        <v>13</v>
      </c>
      <c r="C17" s="3">
        <v>365</v>
      </c>
      <c r="D17" s="3"/>
      <c r="E17" s="3"/>
      <c r="F17" s="7"/>
      <c r="G17" s="7">
        <f>G18</f>
        <v>63000</v>
      </c>
      <c r="H17" s="7">
        <v>50</v>
      </c>
      <c r="I17" s="7">
        <f>C17*H17</f>
        <v>18250</v>
      </c>
      <c r="J17" s="7">
        <f>G17+I17</f>
        <v>81250</v>
      </c>
      <c r="K17" s="3">
        <f>-C17</f>
        <v>-365</v>
      </c>
      <c r="L17" s="3"/>
      <c r="M17" s="3"/>
      <c r="N17" s="7"/>
      <c r="O17" s="7">
        <f>O18</f>
        <v>-63000</v>
      </c>
      <c r="P17" s="7">
        <v>50</v>
      </c>
      <c r="Q17" s="7">
        <f>K17*P17</f>
        <v>-18250</v>
      </c>
      <c r="R17" s="7">
        <f>O17+Q17</f>
        <v>-81250</v>
      </c>
    </row>
    <row r="18" spans="1:18" x14ac:dyDescent="0.25">
      <c r="A18" s="9" t="s">
        <v>26</v>
      </c>
      <c r="B18" s="10" t="s">
        <v>13</v>
      </c>
      <c r="C18" s="11">
        <v>700</v>
      </c>
      <c r="D18" s="11"/>
      <c r="E18" s="11"/>
      <c r="F18" s="12">
        <v>90</v>
      </c>
      <c r="G18" s="12">
        <f>C18*F18</f>
        <v>63000</v>
      </c>
      <c r="H18" s="12"/>
      <c r="I18" s="12"/>
      <c r="J18" s="12"/>
      <c r="K18" s="11">
        <f>-C18</f>
        <v>-700</v>
      </c>
      <c r="L18" s="11"/>
      <c r="M18" s="11"/>
      <c r="N18" s="12">
        <v>90</v>
      </c>
      <c r="O18" s="12">
        <f>K18*N18</f>
        <v>-63000</v>
      </c>
      <c r="P18" s="12"/>
      <c r="Q18" s="12"/>
      <c r="R18" s="12"/>
    </row>
    <row r="19" spans="1:18" s="8" customFormat="1" ht="30" x14ac:dyDescent="0.25">
      <c r="A19" s="6" t="s">
        <v>48</v>
      </c>
      <c r="B19" s="2" t="s">
        <v>13</v>
      </c>
      <c r="C19" s="3"/>
      <c r="D19" s="3"/>
      <c r="E19" s="3"/>
      <c r="F19" s="7"/>
      <c r="G19" s="7"/>
      <c r="H19" s="7"/>
      <c r="I19" s="7"/>
      <c r="J19" s="7"/>
      <c r="K19" s="3">
        <v>464</v>
      </c>
      <c r="L19" s="3"/>
      <c r="M19" s="3"/>
      <c r="N19" s="7"/>
      <c r="O19" s="7">
        <f>SUM(O20:O21)</f>
        <v>112775</v>
      </c>
      <c r="P19" s="7">
        <v>100</v>
      </c>
      <c r="Q19" s="7">
        <f>K19*P19</f>
        <v>46400</v>
      </c>
      <c r="R19" s="7">
        <f>O19+Q19</f>
        <v>159175</v>
      </c>
    </row>
    <row r="20" spans="1:18" x14ac:dyDescent="0.25">
      <c r="A20" s="9" t="s">
        <v>39</v>
      </c>
      <c r="B20" s="10" t="s">
        <v>13</v>
      </c>
      <c r="C20" s="11"/>
      <c r="D20" s="11"/>
      <c r="E20" s="11"/>
      <c r="F20" s="12"/>
      <c r="G20" s="12"/>
      <c r="H20" s="12"/>
      <c r="I20" s="12"/>
      <c r="J20" s="12"/>
      <c r="K20" s="11">
        <v>560</v>
      </c>
      <c r="L20" s="11"/>
      <c r="M20" s="11"/>
      <c r="N20" s="12">
        <v>151</v>
      </c>
      <c r="O20" s="12">
        <f>K20*N20</f>
        <v>84560</v>
      </c>
      <c r="P20" s="12"/>
      <c r="Q20" s="12"/>
      <c r="R20" s="12"/>
    </row>
    <row r="21" spans="1:18" x14ac:dyDescent="0.25">
      <c r="A21" s="9" t="s">
        <v>40</v>
      </c>
      <c r="B21" s="10" t="s">
        <v>41</v>
      </c>
      <c r="C21" s="11"/>
      <c r="D21" s="11"/>
      <c r="E21" s="11"/>
      <c r="F21" s="12"/>
      <c r="G21" s="12"/>
      <c r="H21" s="12"/>
      <c r="I21" s="12"/>
      <c r="J21" s="12"/>
      <c r="K21" s="11">
        <v>27</v>
      </c>
      <c r="L21" s="11"/>
      <c r="M21" s="11"/>
      <c r="N21" s="12">
        <v>1045</v>
      </c>
      <c r="O21" s="12">
        <f>K21*N21</f>
        <v>28215</v>
      </c>
      <c r="P21" s="12"/>
      <c r="Q21" s="12"/>
      <c r="R21" s="12"/>
    </row>
    <row r="22" spans="1:18" s="8" customFormat="1" ht="30" x14ac:dyDescent="0.25">
      <c r="A22" s="6" t="s">
        <v>27</v>
      </c>
      <c r="B22" s="2" t="s">
        <v>15</v>
      </c>
      <c r="C22" s="3">
        <v>120</v>
      </c>
      <c r="D22" s="3"/>
      <c r="E22" s="3"/>
      <c r="F22" s="7"/>
      <c r="G22" s="7">
        <f>SUM(G24:G29)</f>
        <v>424382</v>
      </c>
      <c r="H22" s="7">
        <v>5000</v>
      </c>
      <c r="I22" s="7">
        <f>C22*H22</f>
        <v>600000</v>
      </c>
      <c r="J22" s="7">
        <f>G22+I22</f>
        <v>1024382</v>
      </c>
      <c r="K22" s="3">
        <f>ROUND(C22*1.27,0)-C22</f>
        <v>32</v>
      </c>
      <c r="L22" s="3"/>
      <c r="M22" s="3"/>
      <c r="N22" s="7"/>
      <c r="O22" s="7">
        <f>SUM(O23:O31)</f>
        <v>333446.5</v>
      </c>
      <c r="P22" s="7">
        <v>5000</v>
      </c>
      <c r="Q22" s="7">
        <f>K22*P22</f>
        <v>160000</v>
      </c>
      <c r="R22" s="7">
        <f>O22+Q22</f>
        <v>493446.5</v>
      </c>
    </row>
    <row r="23" spans="1:18" x14ac:dyDescent="0.25">
      <c r="A23" s="9" t="s">
        <v>28</v>
      </c>
      <c r="B23" s="10" t="s">
        <v>15</v>
      </c>
      <c r="C23" s="11">
        <v>120</v>
      </c>
      <c r="D23" s="11"/>
      <c r="E23" s="11"/>
      <c r="F23" s="12">
        <v>6700</v>
      </c>
      <c r="G23" s="12">
        <f>C23*F23</f>
        <v>804000</v>
      </c>
      <c r="H23" s="12"/>
      <c r="I23" s="12"/>
      <c r="J23" s="12"/>
      <c r="K23" s="11">
        <v>-120</v>
      </c>
      <c r="L23" s="11"/>
      <c r="M23" s="11"/>
      <c r="N23" s="12">
        <v>6700</v>
      </c>
      <c r="O23" s="12">
        <f>K23*N23</f>
        <v>-804000</v>
      </c>
      <c r="P23" s="12"/>
      <c r="Q23" s="12"/>
      <c r="R23" s="12"/>
    </row>
    <row r="24" spans="1:18" x14ac:dyDescent="0.25">
      <c r="A24" s="9" t="s">
        <v>28</v>
      </c>
      <c r="B24" s="10"/>
      <c r="C24" s="11"/>
      <c r="D24" s="11"/>
      <c r="E24" s="11"/>
      <c r="F24" s="12"/>
      <c r="G24" s="12"/>
      <c r="H24" s="12"/>
      <c r="I24" s="12"/>
      <c r="J24" s="12"/>
      <c r="K24" s="11">
        <v>143</v>
      </c>
      <c r="L24" s="11"/>
      <c r="M24" s="11"/>
      <c r="N24" s="12">
        <v>6900</v>
      </c>
      <c r="O24" s="12">
        <f>K24*N24</f>
        <v>986700</v>
      </c>
      <c r="P24" s="12"/>
      <c r="Q24" s="12"/>
      <c r="R24" s="12"/>
    </row>
    <row r="25" spans="1:18" x14ac:dyDescent="0.25">
      <c r="A25" s="9" t="s">
        <v>29</v>
      </c>
      <c r="B25" s="10" t="s">
        <v>30</v>
      </c>
      <c r="C25" s="11">
        <f>ROUNDUP((160+16+107)*1.05/12, 0)*12</f>
        <v>300</v>
      </c>
      <c r="D25" s="11">
        <f>0.888*1.04</f>
        <v>0.92352000000000001</v>
      </c>
      <c r="E25" s="11">
        <f>ROUND(C25*D25/1000,3)</f>
        <v>0.27700000000000002</v>
      </c>
      <c r="F25" s="12">
        <v>57000</v>
      </c>
      <c r="G25" s="12">
        <f>E25*F25</f>
        <v>15789.000000000002</v>
      </c>
      <c r="H25" s="12"/>
      <c r="I25" s="12"/>
      <c r="J25" s="12"/>
      <c r="K25" s="11">
        <v>519</v>
      </c>
      <c r="L25" s="11">
        <f>0.888*1.04</f>
        <v>0.92352000000000001</v>
      </c>
      <c r="M25" s="11">
        <f>ROUND(K25*L25/1000,3)</f>
        <v>0.47899999999999998</v>
      </c>
      <c r="N25" s="12">
        <v>57000</v>
      </c>
      <c r="O25" s="12">
        <f>M25*N25</f>
        <v>27303</v>
      </c>
      <c r="P25" s="12"/>
      <c r="Q25" s="12"/>
      <c r="R25" s="12"/>
    </row>
    <row r="26" spans="1:18" x14ac:dyDescent="0.25">
      <c r="A26" s="9" t="s">
        <v>42</v>
      </c>
      <c r="B26" s="10" t="s">
        <v>30</v>
      </c>
      <c r="C26" s="11">
        <f>ROUNDUP(3985*1.1/12,0)*12*2</f>
        <v>8784</v>
      </c>
      <c r="D26" s="11">
        <f>0.616*1.04</f>
        <v>0.64063999999999999</v>
      </c>
      <c r="E26" s="11">
        <f t="shared" ref="E26" si="1">ROUND(C26*D26/1000,3)</f>
        <v>5.6269999999999998</v>
      </c>
      <c r="F26" s="12">
        <v>59000</v>
      </c>
      <c r="G26" s="12">
        <f t="shared" ref="G26" si="2">E26*F26</f>
        <v>331993</v>
      </c>
      <c r="H26" s="12"/>
      <c r="I26" s="12"/>
      <c r="J26" s="12"/>
      <c r="K26" s="11">
        <f>-4882-144</f>
        <v>-5026</v>
      </c>
      <c r="L26" s="11">
        <f>0.616*1.04</f>
        <v>0.64063999999999999</v>
      </c>
      <c r="M26" s="11">
        <f t="shared" ref="M26" si="3">ROUND(K26*L26/1000,3)</f>
        <v>-3.22</v>
      </c>
      <c r="N26" s="12">
        <v>59000</v>
      </c>
      <c r="O26" s="12">
        <f t="shared" ref="O26" si="4">M26*N26</f>
        <v>-189980</v>
      </c>
      <c r="P26" s="12"/>
      <c r="Q26" s="12"/>
      <c r="R26" s="12"/>
    </row>
    <row r="27" spans="1:18" x14ac:dyDescent="0.25">
      <c r="A27" s="9" t="s">
        <v>42</v>
      </c>
      <c r="B27" s="10" t="s">
        <v>30</v>
      </c>
      <c r="C27" s="11"/>
      <c r="D27" s="11"/>
      <c r="E27" s="11"/>
      <c r="F27" s="12"/>
      <c r="G27" s="12"/>
      <c r="H27" s="12"/>
      <c r="I27" s="12"/>
      <c r="J27" s="12"/>
      <c r="K27" s="11">
        <v>6042</v>
      </c>
      <c r="L27" s="11">
        <f>0.616*1.04</f>
        <v>0.64063999999999999</v>
      </c>
      <c r="M27" s="11">
        <f t="shared" ref="M27" si="5">ROUND(K27*L27/1000,3)</f>
        <v>3.871</v>
      </c>
      <c r="N27" s="12">
        <v>61500</v>
      </c>
      <c r="O27" s="12">
        <f t="shared" ref="O27" si="6">M27*N27</f>
        <v>238066.5</v>
      </c>
      <c r="P27" s="12"/>
      <c r="Q27" s="12"/>
      <c r="R27" s="12"/>
    </row>
    <row r="28" spans="1:18" x14ac:dyDescent="0.25">
      <c r="A28" s="9" t="s">
        <v>23</v>
      </c>
      <c r="B28" s="10" t="s">
        <v>15</v>
      </c>
      <c r="C28" s="11">
        <v>1.5</v>
      </c>
      <c r="D28" s="11"/>
      <c r="E28" s="11"/>
      <c r="F28" s="12">
        <v>15000</v>
      </c>
      <c r="G28" s="12">
        <f>C28*F28</f>
        <v>22500</v>
      </c>
      <c r="H28" s="12"/>
      <c r="I28" s="12"/>
      <c r="J28" s="12"/>
      <c r="K28" s="11">
        <f t="shared" ref="K28" si="7">ROUND(C28*1.27,0)-C28</f>
        <v>0.5</v>
      </c>
      <c r="L28" s="11"/>
      <c r="M28" s="11"/>
      <c r="N28" s="12">
        <v>15000</v>
      </c>
      <c r="O28" s="12">
        <f>K28*N28</f>
        <v>7500</v>
      </c>
      <c r="P28" s="12"/>
      <c r="Q28" s="12"/>
      <c r="R28" s="12"/>
    </row>
    <row r="29" spans="1:18" x14ac:dyDescent="0.25">
      <c r="A29" s="9" t="s">
        <v>24</v>
      </c>
      <c r="B29" s="10"/>
      <c r="C29" s="11"/>
      <c r="D29" s="11"/>
      <c r="E29" s="11"/>
      <c r="F29" s="12"/>
      <c r="G29" s="12">
        <v>54100</v>
      </c>
      <c r="H29" s="12"/>
      <c r="I29" s="12"/>
      <c r="J29" s="12"/>
      <c r="K29" s="11"/>
      <c r="L29" s="11"/>
      <c r="M29" s="11"/>
      <c r="N29" s="12"/>
      <c r="O29" s="12">
        <f>ROUND(G29*1.27,0)-G29</f>
        <v>14607</v>
      </c>
      <c r="P29" s="12"/>
      <c r="Q29" s="12"/>
      <c r="R29" s="12"/>
    </row>
    <row r="30" spans="1:18" x14ac:dyDescent="0.25">
      <c r="A30" s="9" t="s">
        <v>52</v>
      </c>
      <c r="B30" s="10" t="s">
        <v>41</v>
      </c>
      <c r="C30" s="11"/>
      <c r="D30" s="11"/>
      <c r="E30" s="11"/>
      <c r="F30" s="12"/>
      <c r="G30" s="12"/>
      <c r="H30" s="12"/>
      <c r="I30" s="12"/>
      <c r="J30" s="12"/>
      <c r="K30" s="11">
        <v>25</v>
      </c>
      <c r="L30" s="11"/>
      <c r="M30" s="11"/>
      <c r="N30" s="12">
        <v>1330</v>
      </c>
      <c r="O30" s="12">
        <f>K30*N30</f>
        <v>33250</v>
      </c>
      <c r="P30" s="12"/>
      <c r="Q30" s="12"/>
      <c r="R30" s="12"/>
    </row>
    <row r="31" spans="1:18" x14ac:dyDescent="0.25">
      <c r="A31" s="9" t="s">
        <v>51</v>
      </c>
      <c r="B31" s="10" t="s">
        <v>41</v>
      </c>
      <c r="C31" s="11"/>
      <c r="D31" s="11"/>
      <c r="E31" s="11"/>
      <c r="F31" s="12"/>
      <c r="G31" s="12"/>
      <c r="H31" s="12"/>
      <c r="I31" s="12"/>
      <c r="J31" s="12"/>
      <c r="K31" s="11">
        <v>2</v>
      </c>
      <c r="L31" s="11"/>
      <c r="M31" s="11"/>
      <c r="N31" s="12">
        <v>10000</v>
      </c>
      <c r="O31" s="12">
        <f>K31*N31</f>
        <v>20000</v>
      </c>
      <c r="P31" s="12"/>
      <c r="Q31" s="12"/>
      <c r="R31" s="12"/>
    </row>
    <row r="32" spans="1:18" s="8" customFormat="1" x14ac:dyDescent="0.25">
      <c r="A32" s="6" t="s">
        <v>31</v>
      </c>
      <c r="B32" s="2" t="s">
        <v>13</v>
      </c>
      <c r="C32" s="3">
        <v>365</v>
      </c>
      <c r="D32" s="3"/>
      <c r="E32" s="3"/>
      <c r="F32" s="7"/>
      <c r="G32" s="7">
        <f>G33</f>
        <v>16000</v>
      </c>
      <c r="H32" s="7">
        <v>300</v>
      </c>
      <c r="I32" s="7">
        <f>C32*H32</f>
        <v>109500</v>
      </c>
      <c r="J32" s="7">
        <f>I32+G32</f>
        <v>125500</v>
      </c>
      <c r="K32" s="3">
        <f>ROUND(C32*1.27,0)-C32</f>
        <v>99</v>
      </c>
      <c r="L32" s="3"/>
      <c r="M32" s="3"/>
      <c r="N32" s="7"/>
      <c r="O32" s="7">
        <f>O33</f>
        <v>0</v>
      </c>
      <c r="P32" s="7">
        <v>300</v>
      </c>
      <c r="Q32" s="7">
        <f>K32*P32</f>
        <v>29700</v>
      </c>
      <c r="R32" s="7">
        <f>Q32+O32</f>
        <v>29700</v>
      </c>
    </row>
    <row r="33" spans="1:18" s="8" customFormat="1" ht="30" x14ac:dyDescent="0.25">
      <c r="A33" s="9" t="s">
        <v>32</v>
      </c>
      <c r="B33" s="2"/>
      <c r="C33" s="3"/>
      <c r="D33" s="3"/>
      <c r="E33" s="3"/>
      <c r="F33" s="7"/>
      <c r="G33" s="12">
        <v>16000</v>
      </c>
      <c r="H33" s="7"/>
      <c r="I33" s="7"/>
      <c r="J33" s="7"/>
      <c r="K33" s="3"/>
      <c r="L33" s="3"/>
      <c r="M33" s="3"/>
      <c r="N33" s="7"/>
      <c r="O33" s="12"/>
      <c r="P33" s="7"/>
      <c r="Q33" s="7"/>
      <c r="R33" s="7"/>
    </row>
    <row r="34" spans="1:18" s="8" customFormat="1" x14ac:dyDescent="0.25">
      <c r="A34" s="6" t="s">
        <v>49</v>
      </c>
      <c r="B34" s="2" t="s">
        <v>30</v>
      </c>
      <c r="C34" s="3"/>
      <c r="D34" s="3"/>
      <c r="E34" s="3"/>
      <c r="F34" s="7"/>
      <c r="G34" s="7"/>
      <c r="H34" s="7"/>
      <c r="I34" s="7"/>
      <c r="J34" s="7"/>
      <c r="K34" s="3">
        <f>24*3+20*2+2.9*25</f>
        <v>184.5</v>
      </c>
      <c r="L34" s="3"/>
      <c r="M34" s="3"/>
      <c r="N34" s="7"/>
      <c r="O34" s="7">
        <f>O35</f>
        <v>22000</v>
      </c>
      <c r="P34" s="7">
        <v>50</v>
      </c>
      <c r="Q34" s="7">
        <f>K34*P34</f>
        <v>9225</v>
      </c>
      <c r="R34" s="7">
        <f>O34+Q34</f>
        <v>31225</v>
      </c>
    </row>
    <row r="35" spans="1:18" x14ac:dyDescent="0.25">
      <c r="A35" s="9" t="s">
        <v>50</v>
      </c>
      <c r="B35" s="10" t="s">
        <v>41</v>
      </c>
      <c r="C35" s="11"/>
      <c r="D35" s="11"/>
      <c r="E35" s="11"/>
      <c r="F35" s="12"/>
      <c r="G35" s="12"/>
      <c r="H35" s="12"/>
      <c r="I35" s="12"/>
      <c r="J35" s="12"/>
      <c r="K35" s="11">
        <v>2</v>
      </c>
      <c r="L35" s="11"/>
      <c r="M35" s="11"/>
      <c r="N35" s="12">
        <v>11000</v>
      </c>
      <c r="O35" s="12">
        <f>K35*N35</f>
        <v>22000</v>
      </c>
      <c r="P35" s="12"/>
      <c r="Q35" s="12"/>
      <c r="R35" s="12"/>
    </row>
    <row r="36" spans="1:18" s="8" customFormat="1" x14ac:dyDescent="0.25">
      <c r="A36" s="3" t="s">
        <v>33</v>
      </c>
      <c r="B36" s="2"/>
      <c r="C36" s="3"/>
      <c r="D36" s="3"/>
      <c r="E36" s="3"/>
      <c r="F36" s="3"/>
      <c r="G36" s="7">
        <f>G4+G7+G10+G13+G17+G22+G32</f>
        <v>1013532</v>
      </c>
      <c r="H36" s="7"/>
      <c r="I36" s="7">
        <f>SUM(I4:I32)</f>
        <v>997250</v>
      </c>
      <c r="J36" s="7">
        <f>SUM(J4:J32)</f>
        <v>2010782</v>
      </c>
      <c r="K36" s="3"/>
      <c r="L36" s="3"/>
      <c r="M36" s="3"/>
      <c r="N36" s="3"/>
      <c r="O36" s="7">
        <f>O4+O7+O10+O13+O17+O22+O32+O34+O19</f>
        <v>275684</v>
      </c>
      <c r="P36" s="7"/>
      <c r="Q36" s="7">
        <f>SUM(Q4:Q32)</f>
        <v>204750</v>
      </c>
      <c r="R36" s="7">
        <f>SUM(R4:R32)</f>
        <v>458434</v>
      </c>
    </row>
    <row r="37" spans="1:18" x14ac:dyDescent="0.25">
      <c r="A37" s="11" t="s">
        <v>34</v>
      </c>
      <c r="B37" s="13">
        <v>0.05</v>
      </c>
      <c r="C37" s="11"/>
      <c r="D37" s="11"/>
      <c r="E37" s="11"/>
      <c r="F37" s="11"/>
      <c r="G37" s="12">
        <f>G36*B37</f>
        <v>50676.600000000006</v>
      </c>
      <c r="H37" s="12"/>
      <c r="I37" s="12"/>
      <c r="J37" s="12"/>
      <c r="K37" s="11"/>
      <c r="L37" s="11"/>
      <c r="M37" s="11"/>
      <c r="N37" s="11"/>
      <c r="O37" s="12">
        <f>O36*B37</f>
        <v>13784.2</v>
      </c>
      <c r="P37" s="12"/>
      <c r="Q37" s="12"/>
      <c r="R37" s="12"/>
    </row>
    <row r="38" spans="1:18" s="8" customFormat="1" x14ac:dyDescent="0.25">
      <c r="A38" s="3" t="s">
        <v>33</v>
      </c>
      <c r="B38" s="2"/>
      <c r="C38" s="3"/>
      <c r="D38" s="3"/>
      <c r="E38" s="3"/>
      <c r="F38" s="3"/>
      <c r="G38" s="7">
        <f>G36+G37</f>
        <v>1064208.6000000001</v>
      </c>
      <c r="H38" s="7"/>
      <c r="I38" s="7">
        <f>I36</f>
        <v>997250</v>
      </c>
      <c r="J38" s="7">
        <f>G38+I38</f>
        <v>2061458.6</v>
      </c>
      <c r="K38" s="3"/>
      <c r="L38" s="3"/>
      <c r="M38" s="3"/>
      <c r="N38" s="3"/>
      <c r="O38" s="7">
        <f>O36+O37</f>
        <v>289468.2</v>
      </c>
      <c r="P38" s="7"/>
      <c r="Q38" s="7">
        <f>Q36</f>
        <v>204750</v>
      </c>
      <c r="R38" s="7">
        <f>O38+Q38</f>
        <v>494218.2</v>
      </c>
    </row>
    <row r="39" spans="1:18" x14ac:dyDescent="0.25">
      <c r="A39" s="14" t="s">
        <v>36</v>
      </c>
      <c r="B39" s="15">
        <v>0.1</v>
      </c>
      <c r="C39" s="14"/>
      <c r="D39" s="14"/>
      <c r="E39" s="14"/>
      <c r="F39" s="14"/>
      <c r="G39" s="14"/>
      <c r="H39" s="16"/>
      <c r="I39" s="16"/>
      <c r="J39" s="12">
        <f>J38*B39</f>
        <v>206145.86000000002</v>
      </c>
      <c r="K39" s="14"/>
      <c r="L39" s="14"/>
      <c r="M39" s="14"/>
      <c r="N39" s="14"/>
      <c r="O39" s="14"/>
      <c r="P39" s="16"/>
      <c r="Q39" s="16"/>
      <c r="R39" s="12">
        <f>R38*B39</f>
        <v>49421.820000000007</v>
      </c>
    </row>
    <row r="40" spans="1:18" s="8" customFormat="1" x14ac:dyDescent="0.25">
      <c r="A40" s="3" t="s">
        <v>37</v>
      </c>
      <c r="B40" s="2"/>
      <c r="C40" s="3"/>
      <c r="D40" s="3"/>
      <c r="E40" s="3"/>
      <c r="F40" s="3"/>
      <c r="G40" s="3"/>
      <c r="H40" s="7"/>
      <c r="I40" s="7"/>
      <c r="J40" s="7">
        <f>SUM(J38:J39)</f>
        <v>2267604.46</v>
      </c>
      <c r="K40" s="3"/>
      <c r="L40" s="3"/>
      <c r="M40" s="3"/>
      <c r="N40" s="3"/>
      <c r="O40" s="3"/>
      <c r="P40" s="7"/>
      <c r="Q40" s="7"/>
      <c r="R40" s="7">
        <f>SUM(R38:R39)</f>
        <v>543640.02</v>
      </c>
    </row>
    <row r="41" spans="1:18" x14ac:dyDescent="0.25">
      <c r="H41" s="18"/>
      <c r="I41" s="18"/>
      <c r="J41" s="18"/>
      <c r="P41" s="18"/>
      <c r="Q41" s="18"/>
      <c r="R41" s="18"/>
    </row>
    <row r="42" spans="1:18" x14ac:dyDescent="0.25">
      <c r="H42" s="18"/>
      <c r="I42" s="18"/>
      <c r="J42" s="18"/>
      <c r="P42" s="18"/>
      <c r="Q42" s="18"/>
      <c r="R42" s="18"/>
    </row>
    <row r="43" spans="1:18" x14ac:dyDescent="0.25">
      <c r="H43" s="18"/>
      <c r="I43" s="18"/>
      <c r="J43" s="18"/>
      <c r="P43" s="18"/>
      <c r="Q43" s="18"/>
      <c r="R43" s="18"/>
    </row>
    <row r="44" spans="1:18" x14ac:dyDescent="0.25">
      <c r="H44" s="18"/>
      <c r="I44" s="18"/>
      <c r="J44" s="18"/>
      <c r="P44" s="18"/>
      <c r="Q44" s="18"/>
      <c r="R44" s="18"/>
    </row>
    <row r="45" spans="1:18" x14ac:dyDescent="0.25">
      <c r="H45" s="18"/>
      <c r="I45" s="18"/>
      <c r="J45" s="18"/>
      <c r="P45" s="18"/>
      <c r="Q45" s="18"/>
      <c r="R45" s="18"/>
    </row>
    <row r="46" spans="1:18" x14ac:dyDescent="0.25">
      <c r="H46" s="18"/>
      <c r="I46" s="18"/>
      <c r="J46" s="18"/>
      <c r="P46" s="18"/>
      <c r="Q46" s="18"/>
      <c r="R46" s="18"/>
    </row>
    <row r="47" spans="1:18" x14ac:dyDescent="0.25">
      <c r="H47" s="18"/>
      <c r="I47" s="18"/>
      <c r="J47" s="18"/>
      <c r="P47" s="18"/>
      <c r="Q47" s="18"/>
      <c r="R47" s="18"/>
    </row>
    <row r="48" spans="1:18" x14ac:dyDescent="0.25">
      <c r="H48" s="18"/>
      <c r="I48" s="18"/>
      <c r="J48" s="18"/>
      <c r="P48" s="18"/>
      <c r="Q48" s="18"/>
      <c r="R48" s="18"/>
    </row>
    <row r="49" spans="8:18" x14ac:dyDescent="0.25">
      <c r="H49" s="18"/>
      <c r="I49" s="18"/>
      <c r="J49" s="18"/>
      <c r="P49" s="18"/>
      <c r="Q49" s="18"/>
      <c r="R49" s="18"/>
    </row>
    <row r="50" spans="8:18" x14ac:dyDescent="0.25">
      <c r="H50" s="18"/>
      <c r="I50" s="18"/>
      <c r="J50" s="18"/>
      <c r="P50" s="18"/>
      <c r="Q50" s="18"/>
      <c r="R50" s="18"/>
    </row>
    <row r="51" spans="8:18" x14ac:dyDescent="0.25">
      <c r="H51" s="18"/>
      <c r="I51" s="18"/>
      <c r="J51" s="18"/>
      <c r="P51" s="18"/>
      <c r="Q51" s="18"/>
      <c r="R51" s="18"/>
    </row>
    <row r="52" spans="8:18" x14ac:dyDescent="0.25">
      <c r="H52" s="18"/>
      <c r="I52" s="18"/>
      <c r="J52" s="18"/>
      <c r="P52" s="18"/>
      <c r="Q52" s="18"/>
      <c r="R52" s="18"/>
    </row>
  </sheetData>
  <mergeCells count="10">
    <mergeCell ref="A1:A3"/>
    <mergeCell ref="B1:B3"/>
    <mergeCell ref="C2:G2"/>
    <mergeCell ref="C1:J1"/>
    <mergeCell ref="K1:R1"/>
    <mergeCell ref="K2:O2"/>
    <mergeCell ref="P2:Q2"/>
    <mergeCell ref="R2:R3"/>
    <mergeCell ref="H2:I2"/>
    <mergeCell ref="J2:J3"/>
  </mergeCells>
  <pageMargins left="0.7" right="0.7" top="0.75" bottom="0.75" header="0.3" footer="0.3"/>
  <pageSetup paperSize="9" scale="7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BEC2-8A7A-4F18-A1C1-31F2BB43A86F}">
  <sheetPr>
    <pageSetUpPr fitToPage="1"/>
  </sheetPr>
  <dimension ref="A1:T38"/>
  <sheetViews>
    <sheetView tabSelected="1" zoomScaleNormal="100" workbookViewId="0">
      <selection activeCell="U1" sqref="U1"/>
    </sheetView>
  </sheetViews>
  <sheetFormatPr defaultRowHeight="15" x14ac:dyDescent="0.25"/>
  <cols>
    <col min="1" max="1" width="34.5703125" style="4" customWidth="1"/>
    <col min="2" max="2" width="9.140625" style="17"/>
    <col min="3" max="6" width="9.140625" style="4"/>
    <col min="7" max="7" width="12.42578125" style="4" customWidth="1"/>
    <col min="8" max="8" width="9.140625" style="4"/>
    <col min="9" max="9" width="12.28515625" style="4" customWidth="1"/>
    <col min="10" max="10" width="13.7109375" style="4" customWidth="1"/>
    <col min="11" max="14" width="9.140625" style="4"/>
    <col min="15" max="15" width="12.42578125" style="4" customWidth="1"/>
    <col min="16" max="16" width="9.140625" style="4"/>
    <col min="17" max="17" width="12.28515625" style="4" customWidth="1"/>
    <col min="18" max="18" width="13.7109375" style="4" customWidth="1"/>
    <col min="19" max="16384" width="9.140625" style="4"/>
  </cols>
  <sheetData>
    <row r="1" spans="1:20" s="8" customFormat="1" x14ac:dyDescent="0.25">
      <c r="A1" s="46" t="s">
        <v>0</v>
      </c>
      <c r="B1" s="46" t="s">
        <v>4</v>
      </c>
      <c r="C1" s="41" t="s">
        <v>1</v>
      </c>
      <c r="D1" s="41"/>
      <c r="E1" s="41"/>
      <c r="F1" s="41"/>
      <c r="G1" s="41"/>
      <c r="H1" s="41" t="s">
        <v>2</v>
      </c>
      <c r="I1" s="41"/>
      <c r="J1" s="37" t="s">
        <v>3</v>
      </c>
    </row>
    <row r="2" spans="1:20" s="8" customFormat="1" ht="30" x14ac:dyDescent="0.2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  <c r="J2" s="37"/>
    </row>
    <row r="3" spans="1:20" s="8" customFormat="1" ht="30" x14ac:dyDescent="0.25">
      <c r="A3" s="6" t="s">
        <v>53</v>
      </c>
      <c r="B3" s="23"/>
      <c r="C3" s="6"/>
      <c r="D3" s="6"/>
      <c r="E3" s="6"/>
      <c r="F3" s="6"/>
      <c r="G3" s="6"/>
      <c r="H3" s="6"/>
      <c r="I3" s="6"/>
      <c r="J3" s="33">
        <v>2855659</v>
      </c>
    </row>
    <row r="4" spans="1:20" s="8" customFormat="1" ht="30" x14ac:dyDescent="0.25">
      <c r="A4" s="6" t="s">
        <v>21</v>
      </c>
      <c r="B4" s="24"/>
      <c r="C4" s="3"/>
      <c r="D4" s="3"/>
      <c r="E4" s="3"/>
      <c r="F4" s="3"/>
      <c r="G4" s="3"/>
      <c r="H4" s="3"/>
      <c r="I4" s="3"/>
      <c r="J4" s="33">
        <v>-346050</v>
      </c>
    </row>
    <row r="5" spans="1:20" s="8" customFormat="1" ht="30" x14ac:dyDescent="0.25">
      <c r="A5" s="6" t="s">
        <v>25</v>
      </c>
      <c r="B5" s="24"/>
      <c r="C5" s="3"/>
      <c r="D5" s="3"/>
      <c r="E5" s="3"/>
      <c r="F5" s="3"/>
      <c r="G5" s="3"/>
      <c r="H5" s="3"/>
      <c r="I5" s="3"/>
      <c r="J5" s="33">
        <v>-81250</v>
      </c>
    </row>
    <row r="6" spans="1:20" s="8" customFormat="1" x14ac:dyDescent="0.25">
      <c r="A6" s="6" t="s">
        <v>57</v>
      </c>
      <c r="B6" s="24"/>
      <c r="C6" s="3"/>
      <c r="D6" s="3"/>
      <c r="E6" s="3"/>
      <c r="F6" s="3"/>
      <c r="G6" s="3"/>
      <c r="H6" s="3"/>
      <c r="I6" s="3"/>
      <c r="J6" s="33">
        <v>-804000</v>
      </c>
    </row>
    <row r="7" spans="1:20" s="8" customFormat="1" x14ac:dyDescent="0.25">
      <c r="A7" s="6" t="s">
        <v>58</v>
      </c>
      <c r="B7" s="24"/>
      <c r="C7" s="3"/>
      <c r="D7" s="3"/>
      <c r="E7" s="3"/>
      <c r="F7" s="3"/>
      <c r="G7" s="3"/>
      <c r="H7" s="3"/>
      <c r="I7" s="3"/>
      <c r="J7" s="33">
        <v>-347782</v>
      </c>
    </row>
    <row r="8" spans="1:20" x14ac:dyDescent="0.25">
      <c r="A8" s="6" t="s">
        <v>54</v>
      </c>
      <c r="B8" s="24"/>
      <c r="C8" s="3"/>
      <c r="D8" s="3"/>
      <c r="E8" s="3"/>
      <c r="F8" s="3"/>
      <c r="G8" s="3"/>
      <c r="H8" s="3"/>
      <c r="I8" s="3"/>
      <c r="J8" s="33">
        <f>SUM(J3:J7)</f>
        <v>1276577</v>
      </c>
    </row>
    <row r="9" spans="1:20" ht="30" x14ac:dyDescent="0.25">
      <c r="A9" s="6" t="s">
        <v>56</v>
      </c>
      <c r="B9" s="24"/>
      <c r="C9" s="3"/>
      <c r="D9" s="3"/>
      <c r="E9" s="3"/>
      <c r="F9" s="3"/>
      <c r="G9" s="3"/>
      <c r="H9" s="3"/>
      <c r="I9" s="3"/>
      <c r="J9" s="33">
        <f>J8*1.34</f>
        <v>1710613.1800000002</v>
      </c>
    </row>
    <row r="10" spans="1:20" x14ac:dyDescent="0.25">
      <c r="A10" s="43" t="s">
        <v>62</v>
      </c>
      <c r="B10" s="44"/>
      <c r="C10" s="44"/>
      <c r="D10" s="44"/>
      <c r="E10" s="44"/>
      <c r="F10" s="44"/>
      <c r="G10" s="44"/>
      <c r="H10" s="44"/>
      <c r="I10" s="44"/>
      <c r="J10" s="45"/>
    </row>
    <row r="11" spans="1:20" s="26" customFormat="1" ht="30" x14ac:dyDescent="0.25">
      <c r="A11" s="6" t="s">
        <v>48</v>
      </c>
      <c r="B11" s="24" t="s">
        <v>13</v>
      </c>
      <c r="C11" s="3">
        <v>464</v>
      </c>
      <c r="D11" s="3"/>
      <c r="E11" s="3"/>
      <c r="F11" s="7"/>
      <c r="G11" s="7">
        <f>SUM(G12:G13)</f>
        <v>112775</v>
      </c>
      <c r="H11" s="7">
        <v>100</v>
      </c>
      <c r="I11" s="7">
        <f>C11*H11</f>
        <v>46400</v>
      </c>
      <c r="J11" s="7">
        <f>G11+I11</f>
        <v>159175</v>
      </c>
    </row>
    <row r="12" spans="1:20" x14ac:dyDescent="0.25">
      <c r="A12" s="9" t="s">
        <v>39</v>
      </c>
      <c r="B12" s="10" t="s">
        <v>13</v>
      </c>
      <c r="C12" s="11">
        <v>560</v>
      </c>
      <c r="D12" s="11"/>
      <c r="E12" s="11"/>
      <c r="F12" s="12">
        <v>151</v>
      </c>
      <c r="G12" s="12">
        <f>C12*F12</f>
        <v>84560</v>
      </c>
      <c r="H12" s="12"/>
      <c r="I12" s="12"/>
      <c r="J12" s="12"/>
    </row>
    <row r="13" spans="1:20" x14ac:dyDescent="0.25">
      <c r="A13" s="9" t="s">
        <v>40</v>
      </c>
      <c r="B13" s="10" t="s">
        <v>41</v>
      </c>
      <c r="C13" s="11">
        <v>27</v>
      </c>
      <c r="D13" s="11"/>
      <c r="E13" s="11"/>
      <c r="F13" s="12">
        <v>1045</v>
      </c>
      <c r="G13" s="12">
        <f>C13*F13</f>
        <v>28215</v>
      </c>
      <c r="H13" s="12"/>
      <c r="I13" s="12"/>
      <c r="J13" s="12"/>
    </row>
    <row r="14" spans="1:20" s="8" customFormat="1" ht="30" x14ac:dyDescent="0.25">
      <c r="A14" s="6" t="s">
        <v>55</v>
      </c>
      <c r="B14" s="23"/>
      <c r="C14" s="7"/>
      <c r="D14" s="7"/>
      <c r="E14" s="7"/>
      <c r="F14" s="7"/>
      <c r="G14" s="7">
        <f>SUM(G15:G16)</f>
        <v>69770</v>
      </c>
      <c r="H14" s="7"/>
      <c r="I14" s="7"/>
      <c r="J14" s="7">
        <f>G14</f>
        <v>69770</v>
      </c>
    </row>
    <row r="15" spans="1:20" s="8" customFormat="1" x14ac:dyDescent="0.25">
      <c r="A15" s="9" t="s">
        <v>14</v>
      </c>
      <c r="B15" s="10" t="s">
        <v>15</v>
      </c>
      <c r="C15" s="12">
        <v>79</v>
      </c>
      <c r="D15" s="28">
        <v>1.5</v>
      </c>
      <c r="E15" s="12">
        <f>C15*D15</f>
        <v>118.5</v>
      </c>
      <c r="F15" s="12">
        <v>420</v>
      </c>
      <c r="G15" s="12">
        <f>E15*F15</f>
        <v>49770</v>
      </c>
      <c r="H15" s="12"/>
      <c r="I15" s="12"/>
      <c r="J15" s="12"/>
    </row>
    <row r="16" spans="1:20" x14ac:dyDescent="0.25">
      <c r="A16" s="9" t="s">
        <v>16</v>
      </c>
      <c r="B16" s="10" t="s">
        <v>17</v>
      </c>
      <c r="C16" s="12">
        <v>8</v>
      </c>
      <c r="D16" s="12"/>
      <c r="E16" s="12"/>
      <c r="F16" s="12">
        <v>2500</v>
      </c>
      <c r="G16" s="12">
        <f>C16*F16</f>
        <v>20000</v>
      </c>
      <c r="H16" s="12"/>
      <c r="I16" s="12"/>
      <c r="J16" s="12"/>
      <c r="K16" s="29"/>
      <c r="L16" s="29"/>
      <c r="M16" s="29"/>
      <c r="N16" s="30"/>
      <c r="O16" s="30"/>
      <c r="P16" s="30"/>
      <c r="Q16" s="30"/>
      <c r="R16" s="30"/>
      <c r="S16" s="29"/>
      <c r="T16" s="29"/>
    </row>
    <row r="17" spans="1:20" x14ac:dyDescent="0.25">
      <c r="A17" s="3" t="s">
        <v>57</v>
      </c>
      <c r="B17" s="24" t="s">
        <v>15</v>
      </c>
      <c r="C17" s="3">
        <v>147</v>
      </c>
      <c r="D17" s="3"/>
      <c r="E17" s="3"/>
      <c r="F17" s="3">
        <v>7100</v>
      </c>
      <c r="G17" s="7">
        <f>C17*F17</f>
        <v>1043700</v>
      </c>
      <c r="H17" s="3"/>
      <c r="I17" s="3"/>
      <c r="J17" s="7">
        <f>G17</f>
        <v>1043700</v>
      </c>
      <c r="K17" s="29"/>
      <c r="L17" s="29"/>
      <c r="M17" s="29"/>
      <c r="N17" s="30"/>
      <c r="O17" s="30"/>
      <c r="P17" s="30"/>
      <c r="Q17" s="30"/>
      <c r="R17" s="30"/>
      <c r="S17" s="29"/>
      <c r="T17" s="29"/>
    </row>
    <row r="18" spans="1:20" x14ac:dyDescent="0.25">
      <c r="A18" s="3" t="s">
        <v>58</v>
      </c>
      <c r="B18" s="24"/>
      <c r="C18" s="3"/>
      <c r="D18" s="3"/>
      <c r="E18" s="3"/>
      <c r="F18" s="3"/>
      <c r="G18" s="7">
        <f>SUM(G19:G21)</f>
        <v>597362.5</v>
      </c>
      <c r="H18" s="3"/>
      <c r="I18" s="3"/>
      <c r="J18" s="7">
        <f>G18</f>
        <v>597362.5</v>
      </c>
      <c r="K18" s="29"/>
      <c r="L18" s="29"/>
      <c r="M18" s="29"/>
      <c r="N18" s="30"/>
      <c r="O18" s="30"/>
      <c r="P18" s="30"/>
      <c r="Q18" s="30"/>
      <c r="R18" s="30"/>
      <c r="S18" s="29"/>
      <c r="T18" s="29"/>
    </row>
    <row r="19" spans="1:20" x14ac:dyDescent="0.25">
      <c r="A19" s="9" t="s">
        <v>29</v>
      </c>
      <c r="B19" s="10" t="s">
        <v>30</v>
      </c>
      <c r="C19" s="11">
        <v>519</v>
      </c>
      <c r="D19" s="11">
        <f>0.888*1.04</f>
        <v>0.92352000000000001</v>
      </c>
      <c r="E19" s="11">
        <f>ROUND(C19*D19/1000,3)</f>
        <v>0.47899999999999998</v>
      </c>
      <c r="F19" s="12">
        <v>57000</v>
      </c>
      <c r="G19" s="12">
        <f>E19*F19</f>
        <v>27303</v>
      </c>
      <c r="H19" s="12"/>
      <c r="I19" s="12"/>
      <c r="J19" s="12"/>
      <c r="K19" s="31"/>
      <c r="L19" s="31"/>
      <c r="M19" s="31"/>
      <c r="N19" s="32"/>
      <c r="O19" s="32"/>
      <c r="P19" s="32"/>
      <c r="Q19" s="32"/>
      <c r="R19" s="32"/>
    </row>
    <row r="20" spans="1:20" x14ac:dyDescent="0.25">
      <c r="A20" s="9" t="s">
        <v>42</v>
      </c>
      <c r="B20" s="10" t="s">
        <v>30</v>
      </c>
      <c r="C20" s="11">
        <f>ROUNDUP(3985*1.1/12,0)*12*2</f>
        <v>8784</v>
      </c>
      <c r="D20" s="11">
        <f>0.616*1.04</f>
        <v>0.64063999999999999</v>
      </c>
      <c r="E20" s="11">
        <f t="shared" ref="E20" si="0">ROUND(C20*D20/1000,3)</f>
        <v>5.6269999999999998</v>
      </c>
      <c r="F20" s="12">
        <v>59000</v>
      </c>
      <c r="G20" s="12">
        <f t="shared" ref="G20" si="1">E20*F20</f>
        <v>331993</v>
      </c>
      <c r="H20" s="12"/>
      <c r="I20" s="12"/>
      <c r="J20" s="12"/>
      <c r="K20" s="29"/>
      <c r="L20" s="29"/>
      <c r="M20" s="29"/>
      <c r="N20" s="30"/>
      <c r="O20" s="30"/>
      <c r="P20" s="30"/>
      <c r="Q20" s="30"/>
      <c r="R20" s="30"/>
    </row>
    <row r="21" spans="1:20" s="8" customFormat="1" x14ac:dyDescent="0.25">
      <c r="A21" s="9" t="s">
        <v>42</v>
      </c>
      <c r="B21" s="10" t="s">
        <v>30</v>
      </c>
      <c r="C21" s="11">
        <v>6042</v>
      </c>
      <c r="D21" s="11">
        <f>0.616*1.04</f>
        <v>0.64063999999999999</v>
      </c>
      <c r="E21" s="11">
        <f t="shared" ref="E21" si="2">ROUND(C21*D21/1000,3)</f>
        <v>3.871</v>
      </c>
      <c r="F21" s="12">
        <v>61500</v>
      </c>
      <c r="G21" s="12">
        <f t="shared" ref="G21" si="3">E21*F21</f>
        <v>238066.5</v>
      </c>
      <c r="H21" s="12"/>
      <c r="I21" s="12"/>
      <c r="J21" s="12"/>
    </row>
    <row r="22" spans="1:20" x14ac:dyDescent="0.25">
      <c r="A22" s="6" t="s">
        <v>49</v>
      </c>
      <c r="B22" s="24" t="s">
        <v>30</v>
      </c>
      <c r="C22" s="3">
        <f>24*3+20*2+2.9*25</f>
        <v>184.5</v>
      </c>
      <c r="D22" s="3"/>
      <c r="E22" s="3"/>
      <c r="F22" s="7"/>
      <c r="G22" s="7">
        <f>G23</f>
        <v>22000</v>
      </c>
      <c r="H22" s="7">
        <v>140</v>
      </c>
      <c r="I22" s="7">
        <f>C22*H22</f>
        <v>25830</v>
      </c>
      <c r="J22" s="7">
        <f>G22+I22</f>
        <v>47830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20" s="8" customFormat="1" x14ac:dyDescent="0.25">
      <c r="A23" s="9" t="s">
        <v>50</v>
      </c>
      <c r="B23" s="10" t="s">
        <v>41</v>
      </c>
      <c r="C23" s="11">
        <v>2</v>
      </c>
      <c r="D23" s="11"/>
      <c r="E23" s="11"/>
      <c r="F23" s="12">
        <v>11000</v>
      </c>
      <c r="G23" s="12">
        <f>C23*F23</f>
        <v>22000</v>
      </c>
      <c r="H23" s="12"/>
      <c r="I23" s="12"/>
      <c r="J23" s="12"/>
      <c r="K23" s="31"/>
      <c r="L23" s="31"/>
      <c r="M23" s="31"/>
      <c r="N23" s="31"/>
      <c r="O23" s="32"/>
      <c r="P23" s="32"/>
      <c r="Q23" s="32"/>
      <c r="R23" s="32"/>
      <c r="S23" s="31"/>
    </row>
    <row r="24" spans="1:20" x14ac:dyDescent="0.25">
      <c r="A24" s="3" t="s">
        <v>59</v>
      </c>
      <c r="B24" s="24" t="s">
        <v>30</v>
      </c>
      <c r="C24" s="3">
        <v>184.5</v>
      </c>
      <c r="D24" s="3"/>
      <c r="E24" s="3"/>
      <c r="F24" s="3"/>
      <c r="G24" s="3">
        <f>G25</f>
        <v>15000</v>
      </c>
      <c r="H24" s="3">
        <v>80</v>
      </c>
      <c r="I24" s="3">
        <f>C24*H24</f>
        <v>14760</v>
      </c>
      <c r="J24" s="3">
        <f>G24+I24</f>
        <v>29760</v>
      </c>
      <c r="K24" s="29"/>
      <c r="L24" s="29"/>
      <c r="M24" s="29"/>
      <c r="N24" s="29"/>
      <c r="O24" s="30"/>
      <c r="P24" s="30"/>
      <c r="Q24" s="30"/>
      <c r="R24" s="30"/>
      <c r="S24" s="29"/>
    </row>
    <row r="25" spans="1:20" s="8" customFormat="1" x14ac:dyDescent="0.25">
      <c r="A25" s="34" t="s">
        <v>60</v>
      </c>
      <c r="B25" s="10" t="s">
        <v>61</v>
      </c>
      <c r="C25" s="11">
        <v>25</v>
      </c>
      <c r="D25" s="11"/>
      <c r="E25" s="11"/>
      <c r="F25" s="11">
        <v>600</v>
      </c>
      <c r="G25" s="11">
        <f>C25*F25</f>
        <v>15000</v>
      </c>
      <c r="H25" s="11"/>
      <c r="I25" s="11"/>
      <c r="J25" s="11"/>
      <c r="K25" s="31"/>
      <c r="L25" s="31"/>
      <c r="M25" s="31"/>
      <c r="N25" s="31"/>
      <c r="O25" s="32"/>
      <c r="P25" s="32"/>
      <c r="Q25" s="32"/>
      <c r="R25" s="32"/>
      <c r="S25" s="31"/>
    </row>
    <row r="26" spans="1:20" s="8" customFormat="1" x14ac:dyDescent="0.25">
      <c r="A26" s="3" t="s">
        <v>33</v>
      </c>
      <c r="B26" s="24"/>
      <c r="C26" s="3"/>
      <c r="D26" s="3"/>
      <c r="E26" s="3"/>
      <c r="F26" s="3"/>
      <c r="G26" s="7">
        <f>G11+G14+G17+G18+G22+G24</f>
        <v>1860607.5</v>
      </c>
      <c r="H26" s="7"/>
      <c r="I26" s="7">
        <f>SUM(I11:I25)</f>
        <v>86990</v>
      </c>
      <c r="J26" s="7">
        <f>SUM(J11:J25)</f>
        <v>1947597.5</v>
      </c>
      <c r="K26" s="31"/>
      <c r="L26" s="31"/>
      <c r="M26" s="31"/>
      <c r="N26" s="31"/>
      <c r="O26" s="32"/>
      <c r="P26" s="32"/>
      <c r="Q26" s="32"/>
      <c r="R26" s="32"/>
      <c r="S26" s="31"/>
    </row>
    <row r="27" spans="1:20" x14ac:dyDescent="0.25">
      <c r="A27" s="11" t="s">
        <v>34</v>
      </c>
      <c r="B27" s="13">
        <v>0.05</v>
      </c>
      <c r="C27" s="11"/>
      <c r="D27" s="11"/>
      <c r="E27" s="11"/>
      <c r="F27" s="11"/>
      <c r="G27" s="12">
        <f>G26*B27</f>
        <v>93030.375</v>
      </c>
      <c r="H27" s="12"/>
      <c r="I27" s="12"/>
      <c r="J27" s="12"/>
      <c r="K27" s="29"/>
      <c r="L27" s="29"/>
      <c r="M27" s="29"/>
      <c r="N27" s="29"/>
      <c r="O27" s="29"/>
      <c r="P27" s="30"/>
      <c r="Q27" s="30"/>
      <c r="R27" s="30"/>
      <c r="S27" s="29"/>
    </row>
    <row r="28" spans="1:20" s="8" customFormat="1" x14ac:dyDescent="0.25">
      <c r="A28" s="3" t="s">
        <v>63</v>
      </c>
      <c r="B28" s="24"/>
      <c r="C28" s="3"/>
      <c r="D28" s="3"/>
      <c r="E28" s="3"/>
      <c r="F28" s="3"/>
      <c r="G28" s="7">
        <f>G26+G27</f>
        <v>1953637.875</v>
      </c>
      <c r="H28" s="7"/>
      <c r="I28" s="7">
        <f>I26</f>
        <v>86990</v>
      </c>
      <c r="J28" s="7">
        <f>G28+I28</f>
        <v>2040627.875</v>
      </c>
      <c r="K28" s="31"/>
      <c r="L28" s="31"/>
      <c r="M28" s="31"/>
      <c r="N28" s="31"/>
      <c r="O28" s="31"/>
      <c r="P28" s="32"/>
      <c r="Q28" s="32"/>
      <c r="R28" s="32"/>
      <c r="S28" s="31"/>
    </row>
    <row r="29" spans="1:20" x14ac:dyDescent="0.25">
      <c r="A29" s="3" t="s">
        <v>64</v>
      </c>
      <c r="B29" s="24"/>
      <c r="C29" s="3"/>
      <c r="D29" s="3"/>
      <c r="E29" s="3"/>
      <c r="F29" s="3"/>
      <c r="G29" s="7"/>
      <c r="H29" s="7"/>
      <c r="I29" s="7"/>
      <c r="J29" s="7">
        <f>J9+J28</f>
        <v>3751241.0550000002</v>
      </c>
      <c r="K29" s="29"/>
      <c r="L29" s="29"/>
      <c r="M29" s="29"/>
      <c r="N29" s="29"/>
      <c r="O29" s="29"/>
      <c r="P29" s="29"/>
      <c r="Q29" s="29"/>
      <c r="R29" s="29"/>
      <c r="S29" s="29"/>
    </row>
    <row r="30" spans="1:20" x14ac:dyDescent="0.25">
      <c r="A30" s="11" t="s">
        <v>36</v>
      </c>
      <c r="B30" s="13">
        <v>0.1</v>
      </c>
      <c r="C30" s="11"/>
      <c r="D30" s="11"/>
      <c r="E30" s="11"/>
      <c r="F30" s="11"/>
      <c r="G30" s="11"/>
      <c r="H30" s="12"/>
      <c r="I30" s="12"/>
      <c r="J30" s="12">
        <f>J28*B30</f>
        <v>204062.78750000001</v>
      </c>
      <c r="K30" s="29"/>
      <c r="L30" s="29"/>
      <c r="M30" s="29"/>
      <c r="N30" s="29"/>
      <c r="O30" s="29"/>
      <c r="P30" s="30"/>
      <c r="Q30" s="30"/>
      <c r="R30" s="30"/>
      <c r="S30" s="29"/>
    </row>
    <row r="31" spans="1:20" x14ac:dyDescent="0.25">
      <c r="A31" s="3" t="s">
        <v>37</v>
      </c>
      <c r="B31" s="24"/>
      <c r="C31" s="3"/>
      <c r="D31" s="3"/>
      <c r="E31" s="3"/>
      <c r="F31" s="3"/>
      <c r="G31" s="3"/>
      <c r="H31" s="7"/>
      <c r="I31" s="7"/>
      <c r="J31" s="7">
        <f>SUM(J29:J30)</f>
        <v>3955303.8425000003</v>
      </c>
      <c r="K31" s="29"/>
      <c r="L31" s="29"/>
      <c r="M31" s="29"/>
      <c r="N31" s="29"/>
      <c r="O31" s="29"/>
      <c r="P31" s="30"/>
      <c r="Q31" s="30"/>
      <c r="R31" s="30"/>
      <c r="S31" s="29"/>
    </row>
    <row r="32" spans="1:20" x14ac:dyDescent="0.25">
      <c r="P32" s="18"/>
      <c r="Q32" s="18"/>
      <c r="R32" s="18"/>
    </row>
    <row r="33" spans="8:18" x14ac:dyDescent="0.25">
      <c r="H33" s="18"/>
      <c r="I33" s="18"/>
      <c r="J33" s="18"/>
      <c r="P33" s="18"/>
      <c r="Q33" s="18"/>
      <c r="R33" s="18"/>
    </row>
    <row r="34" spans="8:18" x14ac:dyDescent="0.25">
      <c r="H34" s="18"/>
      <c r="I34" s="18"/>
      <c r="J34" s="18"/>
      <c r="P34" s="18"/>
      <c r="Q34" s="18"/>
      <c r="R34" s="18"/>
    </row>
    <row r="35" spans="8:18" x14ac:dyDescent="0.25">
      <c r="H35" s="18"/>
      <c r="I35" s="18"/>
      <c r="J35" s="18"/>
      <c r="P35" s="18"/>
      <c r="Q35" s="18"/>
      <c r="R35" s="18"/>
    </row>
    <row r="36" spans="8:18" x14ac:dyDescent="0.25">
      <c r="H36" s="18"/>
      <c r="I36" s="18"/>
      <c r="J36" s="18"/>
    </row>
    <row r="37" spans="8:18" x14ac:dyDescent="0.25">
      <c r="H37" s="18"/>
      <c r="I37" s="18"/>
      <c r="J37" s="18"/>
    </row>
    <row r="38" spans="8:18" x14ac:dyDescent="0.25">
      <c r="H38" s="18"/>
      <c r="I38" s="18"/>
      <c r="J38" s="18"/>
    </row>
  </sheetData>
  <mergeCells count="6">
    <mergeCell ref="A10:J10"/>
    <mergeCell ref="C1:G1"/>
    <mergeCell ref="H1:I1"/>
    <mergeCell ref="J1:J2"/>
    <mergeCell ref="A1:A2"/>
    <mergeCell ref="B1:B2"/>
  </mergeCells>
  <pageMargins left="0.7" right="0.7" top="0.75" bottom="0.75" header="0.3" footer="0.3"/>
  <pageSetup paperSize="9" scale="8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Плита</vt:lpstr>
      <vt:lpstr>Плита х 1,27</vt:lpstr>
      <vt:lpstr>Плита +-</vt:lpstr>
      <vt:lpstr>Плита +- кратко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2023-08-01T08:59:57Z</cp:lastPrinted>
  <dcterms:created xsi:type="dcterms:W3CDTF">2023-06-29T16:39:30Z</dcterms:created>
  <dcterms:modified xsi:type="dcterms:W3CDTF">2023-08-01T09:18:51Z</dcterms:modified>
</cp:coreProperties>
</file>