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7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8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urusov/Documents/вега/"/>
    </mc:Choice>
  </mc:AlternateContent>
  <xr:revisionPtr revIDLastSave="0" documentId="13_ncr:1_{28B30353-77F1-B44B-A2FD-9F224CA5384F}" xr6:coauthVersionLast="47" xr6:coauthVersionMax="47" xr10:uidLastSave="{00000000-0000-0000-0000-000000000000}"/>
  <bookViews>
    <workbookView xWindow="0" yWindow="600" windowWidth="28800" windowHeight="16520" activeTab="1" xr2:uid="{7BFF67FA-A1E8-6247-B600-550B50FB36DE}"/>
  </bookViews>
  <sheets>
    <sheet name="Лист1 (4)" sheetId="4" state="hidden" r:id="rId1"/>
    <sheet name="Ex_0_(no_costs)" sheetId="27" r:id="rId2"/>
    <sheet name="Ex_1" sheetId="16" r:id="rId3"/>
    <sheet name="Ex_2" sheetId="15" r:id="rId4"/>
    <sheet name="tst0" sheetId="7" state="hidden" r:id="rId5"/>
    <sheet name="Лист1 (3)" sheetId="3" state="hidden" r:id="rId6"/>
    <sheet name="Лист1 (5)" sheetId="5" state="hidden" r:id="rId7"/>
    <sheet name="Лист1 (2)" sheetId="2" state="hidden" r:id="rId8"/>
    <sheet name="Лист1" sheetId="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6" l="1"/>
  <c r="B28" i="27"/>
  <c r="B31" i="27"/>
  <c r="N31" i="27"/>
  <c r="D85" i="27"/>
  <c r="H80" i="27"/>
  <c r="G80" i="27"/>
  <c r="H79" i="27"/>
  <c r="G79" i="27"/>
  <c r="A76" i="27"/>
  <c r="G82" i="27" s="1"/>
  <c r="G68" i="27"/>
  <c r="F68" i="27"/>
  <c r="H66" i="27"/>
  <c r="G66" i="27"/>
  <c r="D66" i="27"/>
  <c r="D80" i="27" s="1"/>
  <c r="H65" i="27"/>
  <c r="G65" i="27"/>
  <c r="J64" i="27"/>
  <c r="J78" i="27" s="1"/>
  <c r="D62" i="27"/>
  <c r="D76" i="27" s="1"/>
  <c r="A62" i="27"/>
  <c r="J52" i="27"/>
  <c r="J66" i="27" s="1"/>
  <c r="J80" i="27" s="1"/>
  <c r="H52" i="27"/>
  <c r="G52" i="27"/>
  <c r="K52" i="27" s="1"/>
  <c r="D52" i="27"/>
  <c r="J51" i="27"/>
  <c r="J65" i="27" s="1"/>
  <c r="J79" i="27" s="1"/>
  <c r="H51" i="27"/>
  <c r="G51" i="27"/>
  <c r="K51" i="27" s="1"/>
  <c r="K65" i="27" s="1"/>
  <c r="D51" i="27"/>
  <c r="D65" i="27" s="1"/>
  <c r="D79" i="27" s="1"/>
  <c r="J50" i="27"/>
  <c r="D50" i="27"/>
  <c r="D64" i="27" s="1"/>
  <c r="D78" i="27" s="1"/>
  <c r="D49" i="27"/>
  <c r="D63" i="27" s="1"/>
  <c r="D77" i="27" s="1"/>
  <c r="K48" i="27"/>
  <c r="D48" i="27"/>
  <c r="A48" i="27"/>
  <c r="G54" i="27" s="1"/>
  <c r="G40" i="27"/>
  <c r="F40" i="27"/>
  <c r="T38" i="27"/>
  <c r="S38" i="27"/>
  <c r="T37" i="27"/>
  <c r="S37" i="27"/>
  <c r="M34" i="27"/>
  <c r="R40" i="27" s="1"/>
  <c r="K34" i="27"/>
  <c r="A34" i="27"/>
  <c r="G26" i="27"/>
  <c r="F26" i="27"/>
  <c r="J24" i="27"/>
  <c r="J38" i="27" s="1"/>
  <c r="K21" i="27"/>
  <c r="K35" i="27" s="1"/>
  <c r="K20" i="27"/>
  <c r="A20" i="27"/>
  <c r="E10" i="27"/>
  <c r="E24" i="27" s="1"/>
  <c r="E38" i="27" s="1"/>
  <c r="A6" i="27"/>
  <c r="G12" i="27" s="1"/>
  <c r="B4" i="27"/>
  <c r="E7" i="27" s="1"/>
  <c r="F48" i="16"/>
  <c r="K79" i="27" l="1"/>
  <c r="E21" i="27"/>
  <c r="E35" i="27" s="1"/>
  <c r="F7" i="27"/>
  <c r="H7" i="27" s="1"/>
  <c r="H21" i="27" s="1"/>
  <c r="K66" i="27"/>
  <c r="K80" i="27" s="1"/>
  <c r="E8" i="27"/>
  <c r="F82" i="27"/>
  <c r="G10" i="27"/>
  <c r="H10" i="27" s="1"/>
  <c r="H24" i="27" s="1"/>
  <c r="F12" i="27"/>
  <c r="E9" i="27"/>
  <c r="S40" i="27"/>
  <c r="F54" i="27"/>
  <c r="E6" i="27"/>
  <c r="E23" i="27" l="1"/>
  <c r="E37" i="27" s="1"/>
  <c r="F9" i="27"/>
  <c r="F6" i="27"/>
  <c r="H6" i="27" s="1"/>
  <c r="H20" i="27" s="1"/>
  <c r="E20" i="27"/>
  <c r="E34" i="27" s="1"/>
  <c r="F21" i="27"/>
  <c r="J21" i="27" s="1"/>
  <c r="H35" i="27"/>
  <c r="F35" i="27" s="1"/>
  <c r="G9" i="27"/>
  <c r="H38" i="27"/>
  <c r="G38" i="27" s="1"/>
  <c r="K38" i="27" s="1"/>
  <c r="G24" i="27"/>
  <c r="K24" i="27" s="1"/>
  <c r="E22" i="27"/>
  <c r="E36" i="27" s="1"/>
  <c r="F8" i="27"/>
  <c r="H8" i="27" s="1"/>
  <c r="H22" i="27" s="1"/>
  <c r="J35" i="27" l="1"/>
  <c r="H36" i="27"/>
  <c r="G36" i="27" s="1"/>
  <c r="G22" i="27"/>
  <c r="K22" i="27" s="1"/>
  <c r="F22" i="27"/>
  <c r="F20" i="27"/>
  <c r="H34" i="27"/>
  <c r="F34" i="27" s="1"/>
  <c r="H9" i="27"/>
  <c r="H23" i="27" s="1"/>
  <c r="J23" i="27"/>
  <c r="J37" i="27" s="1"/>
  <c r="H37" i="27" l="1"/>
  <c r="G37" i="27" s="1"/>
  <c r="G23" i="27"/>
  <c r="K23" i="27" s="1"/>
  <c r="B17" i="27"/>
  <c r="J20" i="27"/>
  <c r="J34" i="27" s="1"/>
  <c r="J22" i="27"/>
  <c r="J36" i="27"/>
  <c r="K25" i="27"/>
  <c r="K26" i="27" s="1"/>
  <c r="K36" i="27"/>
  <c r="J39" i="27" l="1"/>
  <c r="J40" i="27" s="1"/>
  <c r="K37" i="27"/>
  <c r="K39" i="27" s="1"/>
  <c r="K40" i="27" s="1"/>
  <c r="K41" i="27" s="1"/>
  <c r="B42" i="27" s="1"/>
  <c r="C42" i="27" s="1"/>
  <c r="J25" i="27"/>
  <c r="J26" i="27" s="1"/>
  <c r="K27" i="27"/>
  <c r="Q35" i="27" l="1"/>
  <c r="Q37" i="27"/>
  <c r="E51" i="27" s="1"/>
  <c r="E65" i="27" s="1"/>
  <c r="E79" i="27" s="1"/>
  <c r="Q36" i="27"/>
  <c r="Q34" i="27"/>
  <c r="Q38" i="27"/>
  <c r="E52" i="27" s="1"/>
  <c r="E66" i="27" s="1"/>
  <c r="E80" i="27" s="1"/>
  <c r="E48" i="27" l="1"/>
  <c r="E62" i="27" s="1"/>
  <c r="E76" i="27" s="1"/>
  <c r="R34" i="27"/>
  <c r="T34" i="27" s="1"/>
  <c r="H48" i="27" s="1"/>
  <c r="S36" i="27"/>
  <c r="T36" i="27" s="1"/>
  <c r="H50" i="27" s="1"/>
  <c r="E50" i="27"/>
  <c r="E64" i="27" s="1"/>
  <c r="E78" i="27" s="1"/>
  <c r="E49" i="27"/>
  <c r="E63" i="27" s="1"/>
  <c r="E77" i="27" s="1"/>
  <c r="S35" i="27"/>
  <c r="T35" i="27" s="1"/>
  <c r="H49" i="27" s="1"/>
  <c r="H63" i="27" l="1"/>
  <c r="F49" i="27"/>
  <c r="G49" i="27"/>
  <c r="K49" i="27" s="1"/>
  <c r="K53" i="27" s="1"/>
  <c r="K54" i="27" s="1"/>
  <c r="G50" i="27"/>
  <c r="H64" i="27"/>
  <c r="F48" i="27"/>
  <c r="H62" i="27"/>
  <c r="H76" i="27" l="1"/>
  <c r="F76" i="27" s="1"/>
  <c r="F62" i="27"/>
  <c r="G62" i="27"/>
  <c r="J48" i="27"/>
  <c r="J53" i="27" s="1"/>
  <c r="J54" i="27" s="1"/>
  <c r="B45" i="27"/>
  <c r="G64" i="27"/>
  <c r="K64" i="27" s="1"/>
  <c r="H78" i="27"/>
  <c r="G78" i="27" s="1"/>
  <c r="K55" i="27"/>
  <c r="B56" i="27" s="1"/>
  <c r="C56" i="27" s="1"/>
  <c r="J49" i="27"/>
  <c r="J63" i="27" s="1"/>
  <c r="H77" i="27"/>
  <c r="G63" i="27"/>
  <c r="K63" i="27" s="1"/>
  <c r="K78" i="27" l="1"/>
  <c r="K62" i="27"/>
  <c r="K67" i="27" s="1"/>
  <c r="K68" i="27" s="1"/>
  <c r="K76" i="27"/>
  <c r="G77" i="27"/>
  <c r="K77" i="27" s="1"/>
  <c r="F77" i="27"/>
  <c r="J77" i="27" s="1"/>
  <c r="J62" i="27"/>
  <c r="J67" i="27" s="1"/>
  <c r="J68" i="27" s="1"/>
  <c r="B59" i="27"/>
  <c r="J76" i="27"/>
  <c r="J81" i="27" s="1"/>
  <c r="J82" i="27" s="1"/>
  <c r="B73" i="27" l="1"/>
  <c r="K81" i="27"/>
  <c r="K82" i="27" s="1"/>
  <c r="K83" i="27"/>
  <c r="B84" i="27" s="1"/>
  <c r="C84" i="27" s="1"/>
  <c r="C85" i="27" s="1"/>
  <c r="K69" i="27"/>
  <c r="B70" i="27" s="1"/>
  <c r="C70" i="27" s="1"/>
  <c r="B85" i="27" l="1"/>
  <c r="G22" i="15" l="1"/>
  <c r="G23" i="15"/>
  <c r="D85" i="15"/>
  <c r="K22" i="15"/>
  <c r="B13" i="15"/>
  <c r="N41" i="16" l="1"/>
  <c r="B13" i="16"/>
  <c r="B83" i="15"/>
  <c r="N41" i="15"/>
  <c r="H80" i="16" l="1"/>
  <c r="G80" i="16"/>
  <c r="H79" i="16"/>
  <c r="G79" i="16" s="1"/>
  <c r="A76" i="16"/>
  <c r="F82" i="16" s="1"/>
  <c r="G68" i="16"/>
  <c r="F68" i="16"/>
  <c r="H66" i="16"/>
  <c r="G66" i="16"/>
  <c r="D66" i="16"/>
  <c r="D80" i="16" s="1"/>
  <c r="H65" i="16"/>
  <c r="G65" i="16" s="1"/>
  <c r="D65" i="16"/>
  <c r="D79" i="16" s="1"/>
  <c r="J64" i="16"/>
  <c r="J78" i="16" s="1"/>
  <c r="A62" i="16"/>
  <c r="F54" i="16"/>
  <c r="J52" i="16"/>
  <c r="J66" i="16" s="1"/>
  <c r="J80" i="16" s="1"/>
  <c r="D52" i="16"/>
  <c r="J51" i="16"/>
  <c r="J65" i="16" s="1"/>
  <c r="J79" i="16" s="1"/>
  <c r="H51" i="16"/>
  <c r="G51" i="16"/>
  <c r="D51" i="16"/>
  <c r="J50" i="16"/>
  <c r="D50" i="16"/>
  <c r="D64" i="16" s="1"/>
  <c r="D78" i="16" s="1"/>
  <c r="D49" i="16"/>
  <c r="D63" i="16" s="1"/>
  <c r="D77" i="16" s="1"/>
  <c r="K48" i="16"/>
  <c r="D48" i="16"/>
  <c r="D62" i="16" s="1"/>
  <c r="D76" i="16" s="1"/>
  <c r="A48" i="16"/>
  <c r="G54" i="16" s="1"/>
  <c r="G40" i="16"/>
  <c r="T38" i="16"/>
  <c r="S38" i="16" s="1"/>
  <c r="J38" i="16"/>
  <c r="T37" i="16"/>
  <c r="S37" i="16" s="1"/>
  <c r="K35" i="16"/>
  <c r="M34" i="16"/>
  <c r="S40" i="16" s="1"/>
  <c r="K34" i="16"/>
  <c r="A34" i="16"/>
  <c r="F40" i="16" s="1"/>
  <c r="G26" i="16"/>
  <c r="F26" i="16"/>
  <c r="J24" i="16"/>
  <c r="K21" i="16"/>
  <c r="K20" i="16"/>
  <c r="A20" i="16"/>
  <c r="A6" i="16"/>
  <c r="F12" i="16" s="1"/>
  <c r="K3" i="16"/>
  <c r="K2" i="16"/>
  <c r="H80" i="15"/>
  <c r="G80" i="15" s="1"/>
  <c r="H79" i="15"/>
  <c r="G79" i="15"/>
  <c r="A76" i="15"/>
  <c r="G82" i="15" s="1"/>
  <c r="H66" i="15"/>
  <c r="G66" i="15"/>
  <c r="H65" i="15"/>
  <c r="G65" i="15"/>
  <c r="D63" i="15"/>
  <c r="D77" i="15" s="1"/>
  <c r="A62" i="15"/>
  <c r="Q52" i="15"/>
  <c r="R52" i="15" s="1"/>
  <c r="R53" i="15" s="1"/>
  <c r="J52" i="15"/>
  <c r="J66" i="15" s="1"/>
  <c r="J80" i="15" s="1"/>
  <c r="D52" i="15"/>
  <c r="D66" i="15" s="1"/>
  <c r="D80" i="15" s="1"/>
  <c r="Q51" i="15"/>
  <c r="R51" i="15" s="1"/>
  <c r="J51" i="15"/>
  <c r="J65" i="15" s="1"/>
  <c r="J79" i="15" s="1"/>
  <c r="D51" i="15"/>
  <c r="D65" i="15" s="1"/>
  <c r="D79" i="15" s="1"/>
  <c r="J50" i="15"/>
  <c r="J64" i="15" s="1"/>
  <c r="J78" i="15" s="1"/>
  <c r="D50" i="15"/>
  <c r="D64" i="15" s="1"/>
  <c r="D78" i="15" s="1"/>
  <c r="D49" i="15"/>
  <c r="K48" i="15"/>
  <c r="D48" i="15"/>
  <c r="D62" i="15" s="1"/>
  <c r="D76" i="15" s="1"/>
  <c r="A48" i="15"/>
  <c r="G54" i="15" s="1"/>
  <c r="G40" i="15"/>
  <c r="T38" i="15"/>
  <c r="H52" i="15" s="1"/>
  <c r="G52" i="15" s="1"/>
  <c r="J38" i="15"/>
  <c r="T37" i="15"/>
  <c r="H51" i="15" s="1"/>
  <c r="G51" i="15" s="1"/>
  <c r="S37" i="15"/>
  <c r="M34" i="15"/>
  <c r="S40" i="15" s="1"/>
  <c r="K34" i="15"/>
  <c r="A34" i="15"/>
  <c r="F40" i="15" s="1"/>
  <c r="G26" i="15"/>
  <c r="J24" i="15"/>
  <c r="K21" i="15"/>
  <c r="K35" i="15" s="1"/>
  <c r="K20" i="15"/>
  <c r="A20" i="15"/>
  <c r="F26" i="15" s="1"/>
  <c r="D16" i="15"/>
  <c r="A6" i="15"/>
  <c r="K3" i="15"/>
  <c r="K2" i="15"/>
  <c r="K51" i="16" l="1"/>
  <c r="K65" i="16"/>
  <c r="K79" i="16" s="1"/>
  <c r="H52" i="16"/>
  <c r="G52" i="16" s="1"/>
  <c r="K52" i="16" s="1"/>
  <c r="G12" i="16"/>
  <c r="R40" i="16"/>
  <c r="G82" i="16"/>
  <c r="B4" i="16"/>
  <c r="B4" i="15"/>
  <c r="E9" i="15" s="1"/>
  <c r="K65" i="15"/>
  <c r="K79" i="15" s="1"/>
  <c r="K51" i="15"/>
  <c r="F68" i="15"/>
  <c r="S38" i="15"/>
  <c r="K52" i="15" s="1"/>
  <c r="K66" i="15" s="1"/>
  <c r="K80" i="15" s="1"/>
  <c r="G68" i="15"/>
  <c r="F82" i="15"/>
  <c r="F12" i="15"/>
  <c r="G12" i="15"/>
  <c r="R40" i="15"/>
  <c r="F54" i="15"/>
  <c r="E8" i="16" l="1"/>
  <c r="E10" i="16"/>
  <c r="E7" i="16"/>
  <c r="E9" i="16"/>
  <c r="E6" i="16"/>
  <c r="K66" i="16"/>
  <c r="K80" i="16" s="1"/>
  <c r="E8" i="15"/>
  <c r="E22" i="15" s="1"/>
  <c r="E36" i="15" s="1"/>
  <c r="W36" i="15" s="1"/>
  <c r="E10" i="15"/>
  <c r="G10" i="15" s="1"/>
  <c r="H10" i="15" s="1"/>
  <c r="H24" i="15" s="1"/>
  <c r="E7" i="15"/>
  <c r="E21" i="15" s="1"/>
  <c r="E35" i="15" s="1"/>
  <c r="W35" i="15" s="1"/>
  <c r="E6" i="15"/>
  <c r="E20" i="15" s="1"/>
  <c r="E34" i="15" s="1"/>
  <c r="W34" i="15" s="1"/>
  <c r="F9" i="15"/>
  <c r="G9" i="15" s="1"/>
  <c r="E23" i="15"/>
  <c r="E37" i="15" s="1"/>
  <c r="W37" i="15" s="1"/>
  <c r="F8" i="15"/>
  <c r="F6" i="15" l="1"/>
  <c r="H6" i="15" s="1"/>
  <c r="H20" i="15" s="1"/>
  <c r="F7" i="15"/>
  <c r="H7" i="15" s="1"/>
  <c r="H21" i="15" s="1"/>
  <c r="H8" i="15"/>
  <c r="H22" i="15" s="1"/>
  <c r="E24" i="15"/>
  <c r="E38" i="15" s="1"/>
  <c r="W38" i="15" s="1"/>
  <c r="E20" i="16"/>
  <c r="E34" i="16" s="1"/>
  <c r="W34" i="16" s="1"/>
  <c r="F6" i="16"/>
  <c r="H6" i="16" s="1"/>
  <c r="H20" i="16" s="1"/>
  <c r="E23" i="16"/>
  <c r="E37" i="16" s="1"/>
  <c r="W37" i="16" s="1"/>
  <c r="F9" i="16"/>
  <c r="F7" i="16"/>
  <c r="H7" i="16" s="1"/>
  <c r="H21" i="16" s="1"/>
  <c r="E21" i="16"/>
  <c r="E35" i="16" s="1"/>
  <c r="W35" i="16" s="1"/>
  <c r="G10" i="16"/>
  <c r="H10" i="16" s="1"/>
  <c r="H24" i="16" s="1"/>
  <c r="E24" i="16"/>
  <c r="E38" i="16" s="1"/>
  <c r="W38" i="16" s="1"/>
  <c r="E22" i="16"/>
  <c r="E36" i="16" s="1"/>
  <c r="W36" i="16" s="1"/>
  <c r="F8" i="16"/>
  <c r="H8" i="16" s="1"/>
  <c r="H22" i="16" s="1"/>
  <c r="G4" i="15"/>
  <c r="J23" i="15"/>
  <c r="J37" i="15" s="1"/>
  <c r="H9" i="15"/>
  <c r="H23" i="15" s="1"/>
  <c r="H38" i="15"/>
  <c r="G38" i="15" s="1"/>
  <c r="G24" i="15"/>
  <c r="K24" i="15" s="1"/>
  <c r="H35" i="15"/>
  <c r="F35" i="15" s="1"/>
  <c r="F21" i="15"/>
  <c r="J21" i="15" s="1"/>
  <c r="H36" i="15" l="1"/>
  <c r="G36" i="15" s="1"/>
  <c r="K36" i="15" s="1"/>
  <c r="F22" i="15"/>
  <c r="F4" i="15"/>
  <c r="H32" i="15" s="1"/>
  <c r="F21" i="16"/>
  <c r="J21" i="16" s="1"/>
  <c r="H35" i="16"/>
  <c r="F35" i="16" s="1"/>
  <c r="J35" i="16" s="1"/>
  <c r="J23" i="16"/>
  <c r="J37" i="16" s="1"/>
  <c r="G9" i="16"/>
  <c r="H9" i="16" s="1"/>
  <c r="H23" i="16" s="1"/>
  <c r="G24" i="16"/>
  <c r="K24" i="16" s="1"/>
  <c r="H38" i="16"/>
  <c r="G38" i="16" s="1"/>
  <c r="G22" i="16"/>
  <c r="K22" i="16" s="1"/>
  <c r="H36" i="16"/>
  <c r="G36" i="16" s="1"/>
  <c r="F22" i="16"/>
  <c r="F20" i="16"/>
  <c r="H34" i="16"/>
  <c r="F34" i="16" s="1"/>
  <c r="K23" i="15"/>
  <c r="K25" i="15" s="1"/>
  <c r="K26" i="15" s="1"/>
  <c r="H37" i="15"/>
  <c r="G37" i="15" s="1"/>
  <c r="F20" i="15"/>
  <c r="H34" i="15"/>
  <c r="F34" i="15" s="1"/>
  <c r="J35" i="15"/>
  <c r="J22" i="15"/>
  <c r="J36" i="15" s="1"/>
  <c r="K38" i="15"/>
  <c r="H4" i="15" l="1"/>
  <c r="F32" i="15" s="1"/>
  <c r="K38" i="16"/>
  <c r="G23" i="16"/>
  <c r="K23" i="16" s="1"/>
  <c r="K25" i="16" s="1"/>
  <c r="K26" i="16" s="1"/>
  <c r="H37" i="16"/>
  <c r="G37" i="16" s="1"/>
  <c r="B31" i="16"/>
  <c r="J20" i="16"/>
  <c r="J22" i="16"/>
  <c r="J36" i="16" s="1"/>
  <c r="K36" i="16"/>
  <c r="K37" i="15"/>
  <c r="K39" i="15" s="1"/>
  <c r="K40" i="15" s="1"/>
  <c r="B31" i="15"/>
  <c r="J20" i="15"/>
  <c r="J25" i="15" s="1"/>
  <c r="J26" i="15" s="1"/>
  <c r="B17" i="15"/>
  <c r="G32" i="15"/>
  <c r="K27" i="15"/>
  <c r="B28" i="15" s="1"/>
  <c r="J25" i="16" l="1"/>
  <c r="J26" i="16" s="1"/>
  <c r="K27" i="16" s="1"/>
  <c r="B28" i="16" s="1"/>
  <c r="B17" i="16"/>
  <c r="K37" i="16"/>
  <c r="K39" i="16" s="1"/>
  <c r="K40" i="16" s="1"/>
  <c r="J34" i="16"/>
  <c r="J39" i="16" s="1"/>
  <c r="J40" i="16" s="1"/>
  <c r="J34" i="15"/>
  <c r="J39" i="15" s="1"/>
  <c r="J40" i="15" s="1"/>
  <c r="K41" i="15" s="1"/>
  <c r="B42" i="15" s="1"/>
  <c r="C42" i="15" s="1"/>
  <c r="V34" i="15" s="1"/>
  <c r="X34" i="15" s="1"/>
  <c r="K41" i="16" l="1"/>
  <c r="B42" i="16" s="1"/>
  <c r="C42" i="16" s="1"/>
  <c r="V38" i="16" s="1"/>
  <c r="X38" i="16" s="1"/>
  <c r="V37" i="15"/>
  <c r="X37" i="15" s="1"/>
  <c r="V36" i="15"/>
  <c r="X36" i="15" s="1"/>
  <c r="V38" i="15"/>
  <c r="X38" i="15" s="1"/>
  <c r="V35" i="15"/>
  <c r="X35" i="15" s="1"/>
  <c r="V36" i="16" l="1"/>
  <c r="X36" i="16" s="1"/>
  <c r="V34" i="16"/>
  <c r="X34" i="16" s="1"/>
  <c r="V37" i="16"/>
  <c r="X37" i="16" s="1"/>
  <c r="V35" i="16"/>
  <c r="X35" i="16" s="1"/>
  <c r="X39" i="16" s="1"/>
  <c r="N31" i="16" s="1"/>
  <c r="X39" i="15"/>
  <c r="N31" i="15" s="1"/>
  <c r="Q34" i="15" s="1"/>
  <c r="C85" i="7"/>
  <c r="B31" i="7"/>
  <c r="E35" i="7"/>
  <c r="E36" i="7"/>
  <c r="W36" i="7" s="1"/>
  <c r="E37" i="7"/>
  <c r="E38" i="7"/>
  <c r="E34" i="7"/>
  <c r="W34" i="7" s="1"/>
  <c r="E21" i="7"/>
  <c r="E22" i="7"/>
  <c r="E23" i="7"/>
  <c r="E24" i="7"/>
  <c r="E20" i="7"/>
  <c r="E7" i="7"/>
  <c r="E8" i="7"/>
  <c r="E9" i="7"/>
  <c r="E10" i="7"/>
  <c r="E6" i="7"/>
  <c r="B4" i="7"/>
  <c r="A76" i="7"/>
  <c r="G82" i="7" s="1"/>
  <c r="F82" i="7"/>
  <c r="J80" i="7"/>
  <c r="H80" i="7"/>
  <c r="G80" i="7" s="1"/>
  <c r="J79" i="7"/>
  <c r="H79" i="7"/>
  <c r="G79" i="7"/>
  <c r="J78" i="7"/>
  <c r="J64" i="7"/>
  <c r="J65" i="7"/>
  <c r="J66" i="7"/>
  <c r="J50" i="7"/>
  <c r="J51" i="7"/>
  <c r="J52" i="7"/>
  <c r="K48" i="7"/>
  <c r="D66" i="7"/>
  <c r="D80" i="7" s="1"/>
  <c r="D62" i="7"/>
  <c r="D76" i="7" s="1"/>
  <c r="D49" i="7"/>
  <c r="D63" i="7" s="1"/>
  <c r="D77" i="7" s="1"/>
  <c r="D50" i="7"/>
  <c r="D64" i="7" s="1"/>
  <c r="D78" i="7" s="1"/>
  <c r="D51" i="7"/>
  <c r="D65" i="7" s="1"/>
  <c r="D79" i="7" s="1"/>
  <c r="D52" i="7"/>
  <c r="D48" i="7"/>
  <c r="A62" i="7"/>
  <c r="G68" i="7" s="1"/>
  <c r="H66" i="7"/>
  <c r="G66" i="7"/>
  <c r="H65" i="7"/>
  <c r="G65" i="7" s="1"/>
  <c r="A48" i="7"/>
  <c r="G54" i="7" s="1"/>
  <c r="H52" i="7"/>
  <c r="G52" i="7" s="1"/>
  <c r="K52" i="7" s="1"/>
  <c r="F54" i="7"/>
  <c r="S40" i="7"/>
  <c r="R40" i="7"/>
  <c r="T38" i="7"/>
  <c r="S38" i="7"/>
  <c r="T37" i="7"/>
  <c r="S37" i="7" s="1"/>
  <c r="M34" i="7"/>
  <c r="A34" i="7"/>
  <c r="G40" i="7" s="1"/>
  <c r="J38" i="7"/>
  <c r="W38" i="7"/>
  <c r="J37" i="7"/>
  <c r="W37" i="7"/>
  <c r="K35" i="7"/>
  <c r="W35" i="7"/>
  <c r="K34" i="7"/>
  <c r="K21" i="7"/>
  <c r="J24" i="7"/>
  <c r="K20" i="7"/>
  <c r="A20" i="7"/>
  <c r="A6" i="7"/>
  <c r="G10" i="7"/>
  <c r="P47" i="5"/>
  <c r="P48" i="5"/>
  <c r="P49" i="5"/>
  <c r="P50" i="5"/>
  <c r="P46" i="5"/>
  <c r="L47" i="5"/>
  <c r="L48" i="5"/>
  <c r="L49" i="5"/>
  <c r="M49" i="5" s="1"/>
  <c r="O49" i="5" s="1"/>
  <c r="L50" i="5"/>
  <c r="M50" i="5" s="1"/>
  <c r="O50" i="5" s="1"/>
  <c r="L46" i="5"/>
  <c r="O79" i="5"/>
  <c r="O84" i="5" s="1"/>
  <c r="P75" i="5"/>
  <c r="O75" i="5"/>
  <c r="N75" i="5"/>
  <c r="M75" i="5"/>
  <c r="L75" i="5"/>
  <c r="K75" i="5"/>
  <c r="H79" i="5" s="1"/>
  <c r="J75" i="5"/>
  <c r="I75" i="5"/>
  <c r="H75" i="5"/>
  <c r="H78" i="5" s="1"/>
  <c r="G75" i="5"/>
  <c r="F75" i="5"/>
  <c r="E75" i="5"/>
  <c r="U70" i="5"/>
  <c r="T70" i="5"/>
  <c r="T69" i="5"/>
  <c r="U69" i="5" s="1"/>
  <c r="T68" i="5"/>
  <c r="U68" i="5" s="1"/>
  <c r="T67" i="5"/>
  <c r="U67" i="5" s="1"/>
  <c r="T66" i="5"/>
  <c r="U66" i="5" s="1"/>
  <c r="U65" i="5"/>
  <c r="T65" i="5"/>
  <c r="N65" i="5"/>
  <c r="T64" i="5"/>
  <c r="U64" i="5" s="1"/>
  <c r="T63" i="5"/>
  <c r="U63" i="5" s="1"/>
  <c r="T62" i="5"/>
  <c r="U62" i="5" s="1"/>
  <c r="E62" i="5"/>
  <c r="U61" i="5"/>
  <c r="T61" i="5"/>
  <c r="U60" i="5"/>
  <c r="T60" i="5"/>
  <c r="U59" i="5"/>
  <c r="T59" i="5"/>
  <c r="O58" i="5"/>
  <c r="N58" i="5"/>
  <c r="O52" i="5"/>
  <c r="N52" i="5"/>
  <c r="M48" i="5"/>
  <c r="N62" i="5" s="1"/>
  <c r="N48" i="5" s="1"/>
  <c r="M47" i="5"/>
  <c r="N47" i="5" s="1"/>
  <c r="T46" i="5"/>
  <c r="M46" i="5"/>
  <c r="I46" i="5" s="1"/>
  <c r="F46" i="5" s="1"/>
  <c r="V39" i="5"/>
  <c r="T39" i="5"/>
  <c r="W38" i="5"/>
  <c r="V38" i="5"/>
  <c r="U38" i="5"/>
  <c r="T38" i="5"/>
  <c r="C20" i="5"/>
  <c r="D20" i="5" s="1"/>
  <c r="C19" i="5"/>
  <c r="D19" i="5" s="1"/>
  <c r="C18" i="5"/>
  <c r="D18" i="5" s="1"/>
  <c r="D17" i="5"/>
  <c r="G17" i="5" s="1"/>
  <c r="H17" i="5" s="1"/>
  <c r="C17" i="5"/>
  <c r="C16" i="5"/>
  <c r="D16" i="5" s="1"/>
  <c r="F15" i="5"/>
  <c r="I15" i="5" s="1"/>
  <c r="D15" i="5"/>
  <c r="E15" i="5" s="1"/>
  <c r="C15" i="5"/>
  <c r="F14" i="5"/>
  <c r="D14" i="5"/>
  <c r="E14" i="5" s="1"/>
  <c r="C14" i="5"/>
  <c r="F13" i="5"/>
  <c r="D13" i="5"/>
  <c r="E13" i="5" s="1"/>
  <c r="C13" i="5"/>
  <c r="F12" i="5"/>
  <c r="D12" i="5"/>
  <c r="E12" i="5" s="1"/>
  <c r="C12" i="5"/>
  <c r="U6" i="5"/>
  <c r="T6" i="5" s="1"/>
  <c r="U7" i="5" s="1"/>
  <c r="T7" i="5" s="1"/>
  <c r="U8" i="5" s="1"/>
  <c r="T8" i="5" s="1"/>
  <c r="U9" i="5" s="1"/>
  <c r="T9" i="5" s="1"/>
  <c r="U10" i="5" s="1"/>
  <c r="T10" i="5" s="1"/>
  <c r="U11" i="5" s="1"/>
  <c r="T11" i="5" s="1"/>
  <c r="U12" i="5" s="1"/>
  <c r="T12" i="5" s="1"/>
  <c r="U13" i="5" s="1"/>
  <c r="T13" i="5" s="1"/>
  <c r="U14" i="5" s="1"/>
  <c r="T14" i="5" s="1"/>
  <c r="U15" i="5" s="1"/>
  <c r="T15" i="5" s="1"/>
  <c r="U16" i="5" s="1"/>
  <c r="T16" i="5" s="1"/>
  <c r="U17" i="5" s="1"/>
  <c r="T17" i="5" s="1"/>
  <c r="U18" i="5" s="1"/>
  <c r="T18" i="5" s="1"/>
  <c r="U19" i="5" s="1"/>
  <c r="T19" i="5" s="1"/>
  <c r="U20" i="5" s="1"/>
  <c r="T20" i="5" s="1"/>
  <c r="U21" i="5" s="1"/>
  <c r="T21" i="5" s="1"/>
  <c r="U22" i="5" s="1"/>
  <c r="T22" i="5" s="1"/>
  <c r="U23" i="5" s="1"/>
  <c r="T23" i="5" s="1"/>
  <c r="U24" i="5" s="1"/>
  <c r="T24" i="5" s="1"/>
  <c r="C6" i="5"/>
  <c r="D3" i="5"/>
  <c r="C3" i="5"/>
  <c r="M21" i="5" s="1"/>
  <c r="G75" i="2"/>
  <c r="E62" i="2"/>
  <c r="H78" i="2"/>
  <c r="H79" i="2"/>
  <c r="F75" i="2"/>
  <c r="H75" i="2"/>
  <c r="I75" i="2"/>
  <c r="J75" i="2"/>
  <c r="K75" i="2"/>
  <c r="L75" i="2"/>
  <c r="M75" i="2"/>
  <c r="N75" i="2"/>
  <c r="O75" i="2"/>
  <c r="P75" i="2"/>
  <c r="E75" i="2"/>
  <c r="Q81" i="2"/>
  <c r="O80" i="2"/>
  <c r="O81" i="2" s="1"/>
  <c r="O84" i="2"/>
  <c r="O79" i="2"/>
  <c r="W38" i="2"/>
  <c r="U38" i="2"/>
  <c r="V39" i="2"/>
  <c r="V38" i="2"/>
  <c r="T39" i="2"/>
  <c r="T38" i="2"/>
  <c r="I46" i="4"/>
  <c r="F46" i="4" s="1"/>
  <c r="P47" i="4"/>
  <c r="O47" i="4"/>
  <c r="N47" i="4"/>
  <c r="R54" i="4"/>
  <c r="Q54" i="4"/>
  <c r="O62" i="4"/>
  <c r="N62" i="4"/>
  <c r="O52" i="4"/>
  <c r="N52" i="4"/>
  <c r="V53" i="4" s="1"/>
  <c r="V54" i="4" s="1"/>
  <c r="O58" i="4"/>
  <c r="N58" i="4"/>
  <c r="N46" i="4"/>
  <c r="P46" i="4" s="1"/>
  <c r="P48" i="4"/>
  <c r="P49" i="4"/>
  <c r="O48" i="4"/>
  <c r="O74" i="4"/>
  <c r="O73" i="4"/>
  <c r="T70" i="4"/>
  <c r="U70" i="4" s="1"/>
  <c r="T69" i="4"/>
  <c r="U69" i="4" s="1"/>
  <c r="U68" i="4"/>
  <c r="T68" i="4"/>
  <c r="T67" i="4"/>
  <c r="U67" i="4" s="1"/>
  <c r="T66" i="4"/>
  <c r="U66" i="4" s="1"/>
  <c r="T65" i="4"/>
  <c r="U65" i="4" s="1"/>
  <c r="N65" i="4"/>
  <c r="T64" i="4"/>
  <c r="U64" i="4" s="1"/>
  <c r="T63" i="4"/>
  <c r="U63" i="4" s="1"/>
  <c r="T62" i="4"/>
  <c r="U62" i="4" s="1"/>
  <c r="T61" i="4"/>
  <c r="U61" i="4" s="1"/>
  <c r="T60" i="4"/>
  <c r="U60" i="4" s="1"/>
  <c r="T59" i="4"/>
  <c r="U59" i="4" s="1"/>
  <c r="M48" i="4"/>
  <c r="M47" i="4"/>
  <c r="M46" i="4"/>
  <c r="T46" i="4"/>
  <c r="D20" i="4"/>
  <c r="G20" i="4" s="1"/>
  <c r="H20" i="4" s="1"/>
  <c r="C20" i="4"/>
  <c r="D19" i="4"/>
  <c r="G19" i="4" s="1"/>
  <c r="H19" i="4" s="1"/>
  <c r="C19" i="4"/>
  <c r="D18" i="4"/>
  <c r="G18" i="4" s="1"/>
  <c r="H18" i="4" s="1"/>
  <c r="C18" i="4"/>
  <c r="C17" i="4"/>
  <c r="D16" i="4"/>
  <c r="E16" i="4" s="1"/>
  <c r="C16" i="4"/>
  <c r="C15" i="4"/>
  <c r="C14" i="4"/>
  <c r="C13" i="4"/>
  <c r="C12" i="4"/>
  <c r="U6" i="4"/>
  <c r="T6" i="4" s="1"/>
  <c r="U7" i="4" s="1"/>
  <c r="T7" i="4" s="1"/>
  <c r="U8" i="4" s="1"/>
  <c r="T8" i="4" s="1"/>
  <c r="U9" i="4" s="1"/>
  <c r="T9" i="4" s="1"/>
  <c r="U10" i="4" s="1"/>
  <c r="T10" i="4" s="1"/>
  <c r="U11" i="4" s="1"/>
  <c r="T11" i="4" s="1"/>
  <c r="U12" i="4" s="1"/>
  <c r="T12" i="4" s="1"/>
  <c r="U13" i="4" s="1"/>
  <c r="T13" i="4" s="1"/>
  <c r="U14" i="4" s="1"/>
  <c r="T14" i="4" s="1"/>
  <c r="U15" i="4" s="1"/>
  <c r="T15" i="4" s="1"/>
  <c r="U16" i="4" s="1"/>
  <c r="T16" i="4" s="1"/>
  <c r="U17" i="4" s="1"/>
  <c r="T17" i="4" s="1"/>
  <c r="U18" i="4" s="1"/>
  <c r="T18" i="4" s="1"/>
  <c r="U19" i="4" s="1"/>
  <c r="T19" i="4" s="1"/>
  <c r="U20" i="4" s="1"/>
  <c r="T20" i="4" s="1"/>
  <c r="U21" i="4" s="1"/>
  <c r="T21" i="4" s="1"/>
  <c r="U22" i="4" s="1"/>
  <c r="T22" i="4" s="1"/>
  <c r="U23" i="4" s="1"/>
  <c r="T23" i="4" s="1"/>
  <c r="U24" i="4" s="1"/>
  <c r="T24" i="4" s="1"/>
  <c r="C6" i="4"/>
  <c r="C3" i="4"/>
  <c r="D17" i="4" s="1"/>
  <c r="O62" i="3"/>
  <c r="N52" i="3"/>
  <c r="N62" i="3"/>
  <c r="N59" i="3"/>
  <c r="N58" i="3"/>
  <c r="Q38" i="16" l="1"/>
  <c r="E52" i="16" s="1"/>
  <c r="E66" i="16" s="1"/>
  <c r="E80" i="16" s="1"/>
  <c r="Q36" i="16"/>
  <c r="Q35" i="16"/>
  <c r="N45" i="16"/>
  <c r="Q37" i="16"/>
  <c r="E51" i="16" s="1"/>
  <c r="E65" i="16" s="1"/>
  <c r="E79" i="16" s="1"/>
  <c r="Q34" i="16"/>
  <c r="Q35" i="15"/>
  <c r="E49" i="15" s="1"/>
  <c r="E63" i="15" s="1"/>
  <c r="E77" i="15" s="1"/>
  <c r="Q38" i="15"/>
  <c r="E52" i="15" s="1"/>
  <c r="E66" i="15" s="1"/>
  <c r="E80" i="15" s="1"/>
  <c r="Q36" i="15"/>
  <c r="E50" i="15" s="1"/>
  <c r="E64" i="15" s="1"/>
  <c r="E78" i="15" s="1"/>
  <c r="N45" i="15"/>
  <c r="E48" i="15"/>
  <c r="E62" i="15" s="1"/>
  <c r="E76" i="15" s="1"/>
  <c r="R34" i="15"/>
  <c r="T34" i="15" s="1"/>
  <c r="H48" i="15" s="1"/>
  <c r="Q37" i="15"/>
  <c r="E51" i="15" s="1"/>
  <c r="E65" i="15" s="1"/>
  <c r="E79" i="15" s="1"/>
  <c r="K66" i="7"/>
  <c r="B13" i="7"/>
  <c r="K80" i="7"/>
  <c r="F7" i="7"/>
  <c r="H7" i="7" s="1"/>
  <c r="H21" i="7" s="1"/>
  <c r="H51" i="7"/>
  <c r="G51" i="7" s="1"/>
  <c r="K79" i="7"/>
  <c r="F68" i="7"/>
  <c r="F40" i="7"/>
  <c r="F26" i="7"/>
  <c r="G26" i="7"/>
  <c r="F12" i="7"/>
  <c r="G12" i="7"/>
  <c r="F8" i="7"/>
  <c r="H8" i="7" s="1"/>
  <c r="H22" i="7" s="1"/>
  <c r="H36" i="7" s="1"/>
  <c r="G36" i="7" s="1"/>
  <c r="F6" i="7"/>
  <c r="H6" i="7" s="1"/>
  <c r="H20" i="7" s="1"/>
  <c r="H10" i="7"/>
  <c r="H24" i="7" s="1"/>
  <c r="N46" i="5"/>
  <c r="G16" i="5"/>
  <c r="H16" i="5" s="1"/>
  <c r="F16" i="5"/>
  <c r="E16" i="5"/>
  <c r="G18" i="5"/>
  <c r="H18" i="5" s="1"/>
  <c r="F18" i="5"/>
  <c r="E18" i="5"/>
  <c r="G19" i="5"/>
  <c r="H19" i="5" s="1"/>
  <c r="F19" i="5"/>
  <c r="E19" i="5"/>
  <c r="O62" i="5"/>
  <c r="O48" i="5" s="1"/>
  <c r="G20" i="5"/>
  <c r="H20" i="5" s="1"/>
  <c r="F20" i="5"/>
  <c r="I21" i="5" s="1"/>
  <c r="E20" i="5"/>
  <c r="G12" i="5"/>
  <c r="H12" i="5" s="1"/>
  <c r="G13" i="5"/>
  <c r="H13" i="5" s="1"/>
  <c r="G14" i="5"/>
  <c r="H14" i="5" s="1"/>
  <c r="G15" i="5"/>
  <c r="H15" i="5" s="1"/>
  <c r="F17" i="5"/>
  <c r="Q54" i="5"/>
  <c r="N59" i="5" s="1"/>
  <c r="O80" i="5"/>
  <c r="O81" i="5" s="1"/>
  <c r="E17" i="5"/>
  <c r="N53" i="5"/>
  <c r="M55" i="5" s="1"/>
  <c r="N55" i="5" s="1"/>
  <c r="O55" i="5" s="1"/>
  <c r="Q81" i="5"/>
  <c r="N53" i="4"/>
  <c r="M55" i="4" s="1"/>
  <c r="N55" i="4" s="1"/>
  <c r="O55" i="4" s="1"/>
  <c r="P50" i="4"/>
  <c r="Y54" i="4"/>
  <c r="X53" i="4"/>
  <c r="F17" i="4"/>
  <c r="G17" i="4"/>
  <c r="H17" i="4" s="1"/>
  <c r="E17" i="4"/>
  <c r="N68" i="4"/>
  <c r="X52" i="4"/>
  <c r="E20" i="4"/>
  <c r="F19" i="4"/>
  <c r="E19" i="4"/>
  <c r="F20" i="4"/>
  <c r="D15" i="4"/>
  <c r="G16" i="4"/>
  <c r="H16" i="4" s="1"/>
  <c r="E18" i="4"/>
  <c r="M21" i="4"/>
  <c r="F16" i="4"/>
  <c r="F18" i="4"/>
  <c r="D12" i="4"/>
  <c r="D14" i="4"/>
  <c r="U53" i="4"/>
  <c r="D3" i="4"/>
  <c r="D13" i="4"/>
  <c r="S36" i="15" l="1"/>
  <c r="T36" i="15" s="1"/>
  <c r="H50" i="15" s="1"/>
  <c r="H64" i="15" s="1"/>
  <c r="G64" i="15" s="1"/>
  <c r="R35" i="15"/>
  <c r="S35" i="15" s="1"/>
  <c r="E50" i="16"/>
  <c r="E64" i="16" s="1"/>
  <c r="E78" i="16" s="1"/>
  <c r="S36" i="16"/>
  <c r="T36" i="16" s="1"/>
  <c r="H50" i="16" s="1"/>
  <c r="E48" i="16"/>
  <c r="E62" i="16" s="1"/>
  <c r="E76" i="16" s="1"/>
  <c r="R34" i="16"/>
  <c r="T34" i="16" s="1"/>
  <c r="H48" i="16" s="1"/>
  <c r="S35" i="16"/>
  <c r="T35" i="16" s="1"/>
  <c r="H49" i="16" s="1"/>
  <c r="E49" i="16"/>
  <c r="E63" i="16" s="1"/>
  <c r="E77" i="16" s="1"/>
  <c r="H62" i="15"/>
  <c r="F48" i="15"/>
  <c r="F22" i="7"/>
  <c r="K51" i="7"/>
  <c r="K65" i="7"/>
  <c r="H35" i="7"/>
  <c r="F35" i="7" s="1"/>
  <c r="F21" i="7"/>
  <c r="J21" i="7" s="1"/>
  <c r="J36" i="7"/>
  <c r="J22" i="7"/>
  <c r="G24" i="7"/>
  <c r="K24" i="7" s="1"/>
  <c r="H38" i="7"/>
  <c r="G38" i="7" s="1"/>
  <c r="H34" i="7"/>
  <c r="F34" i="7" s="1"/>
  <c r="F20" i="7"/>
  <c r="F9" i="7"/>
  <c r="G22" i="7"/>
  <c r="K22" i="7" s="1"/>
  <c r="N66" i="5"/>
  <c r="N68" i="5"/>
  <c r="O68" i="5"/>
  <c r="O70" i="5" s="1"/>
  <c r="O59" i="5"/>
  <c r="K21" i="5"/>
  <c r="Q48" i="5"/>
  <c r="R48" i="5" s="1"/>
  <c r="T48" i="5"/>
  <c r="J11" i="5"/>
  <c r="J15" i="5"/>
  <c r="L15" i="5" s="1"/>
  <c r="R54" i="5"/>
  <c r="J16" i="5"/>
  <c r="L16" i="5" s="1"/>
  <c r="A16" i="5"/>
  <c r="I16" i="5"/>
  <c r="N16" i="5" s="1"/>
  <c r="K15" i="5"/>
  <c r="K16" i="5"/>
  <c r="G12" i="4"/>
  <c r="H12" i="4" s="1"/>
  <c r="L11" i="4" s="1"/>
  <c r="F12" i="4"/>
  <c r="J11" i="4" s="1"/>
  <c r="E12" i="4"/>
  <c r="O68" i="4"/>
  <c r="O70" i="4" s="1"/>
  <c r="Y53" i="4"/>
  <c r="G13" i="4"/>
  <c r="H13" i="4" s="1"/>
  <c r="F13" i="4"/>
  <c r="E13" i="4"/>
  <c r="J66" i="4"/>
  <c r="O59" i="4"/>
  <c r="N59" i="4"/>
  <c r="Q48" i="4"/>
  <c r="R48" i="4" s="1"/>
  <c r="J16" i="4"/>
  <c r="L16" i="4" s="1"/>
  <c r="A16" i="4"/>
  <c r="I16" i="4"/>
  <c r="N16" i="4" s="1"/>
  <c r="G15" i="4"/>
  <c r="H15" i="4" s="1"/>
  <c r="F15" i="4"/>
  <c r="E15" i="4"/>
  <c r="G14" i="4"/>
  <c r="H14" i="4" s="1"/>
  <c r="F14" i="4"/>
  <c r="E14" i="4"/>
  <c r="I21" i="4"/>
  <c r="K21" i="4" s="1"/>
  <c r="N66" i="4"/>
  <c r="G50" i="15" l="1"/>
  <c r="K50" i="15" s="1"/>
  <c r="S32" i="15"/>
  <c r="H78" i="15"/>
  <c r="G78" i="15" s="1"/>
  <c r="K78" i="15" s="1"/>
  <c r="T35" i="15"/>
  <c r="H49" i="15" s="1"/>
  <c r="F49" i="15" s="1"/>
  <c r="R32" i="15"/>
  <c r="K64" i="15"/>
  <c r="H63" i="16"/>
  <c r="F49" i="16"/>
  <c r="G49" i="16"/>
  <c r="K49" i="16" s="1"/>
  <c r="K53" i="16" s="1"/>
  <c r="K54" i="16" s="1"/>
  <c r="H62" i="16"/>
  <c r="H64" i="16"/>
  <c r="G50" i="16"/>
  <c r="J48" i="15"/>
  <c r="H76" i="15"/>
  <c r="F76" i="15" s="1"/>
  <c r="G62" i="15"/>
  <c r="F62" i="15"/>
  <c r="K36" i="7"/>
  <c r="K38" i="7"/>
  <c r="J23" i="7"/>
  <c r="J20" i="7"/>
  <c r="J25" i="7" s="1"/>
  <c r="J26" i="7" s="1"/>
  <c r="J35" i="7"/>
  <c r="J34" i="7"/>
  <c r="J39" i="7" s="1"/>
  <c r="J40" i="7" s="1"/>
  <c r="G9" i="7"/>
  <c r="H9" i="7" s="1"/>
  <c r="H23" i="7" s="1"/>
  <c r="O16" i="5"/>
  <c r="O17" i="5" s="1"/>
  <c r="L11" i="5"/>
  <c r="P16" i="5" s="1"/>
  <c r="I15" i="4"/>
  <c r="J15" i="4"/>
  <c r="L15" i="4" s="1"/>
  <c r="K15" i="4"/>
  <c r="J63" i="4"/>
  <c r="I63" i="4"/>
  <c r="O60" i="4"/>
  <c r="N60" i="4"/>
  <c r="O16" i="4"/>
  <c r="O17" i="4" s="1"/>
  <c r="K16" i="4"/>
  <c r="P16" i="4"/>
  <c r="G49" i="15" l="1"/>
  <c r="K49" i="15" s="1"/>
  <c r="K53" i="15" s="1"/>
  <c r="K54" i="15" s="1"/>
  <c r="H63" i="15"/>
  <c r="H74" i="15"/>
  <c r="T32" i="15"/>
  <c r="H76" i="16"/>
  <c r="F76" i="16" s="1"/>
  <c r="G62" i="16"/>
  <c r="F62" i="16"/>
  <c r="J48" i="16"/>
  <c r="B45" i="16"/>
  <c r="J49" i="16"/>
  <c r="J63" i="16" s="1"/>
  <c r="H78" i="16"/>
  <c r="G78" i="16" s="1"/>
  <c r="G64" i="16"/>
  <c r="K64" i="16" s="1"/>
  <c r="G63" i="16"/>
  <c r="K63" i="16" s="1"/>
  <c r="H77" i="16"/>
  <c r="J49" i="15"/>
  <c r="J63" i="15" s="1"/>
  <c r="H77" i="15"/>
  <c r="G63" i="15"/>
  <c r="J62" i="15"/>
  <c r="K62" i="15"/>
  <c r="B45" i="15"/>
  <c r="H37" i="7"/>
  <c r="G37" i="7" s="1"/>
  <c r="G23" i="7"/>
  <c r="O74" i="3"/>
  <c r="O73" i="3"/>
  <c r="U53" i="3"/>
  <c r="V53" i="3"/>
  <c r="V54" i="3" s="1"/>
  <c r="Y54" i="3"/>
  <c r="X52" i="3"/>
  <c r="J66" i="3"/>
  <c r="N49" i="3"/>
  <c r="X53" i="3" s="1"/>
  <c r="I16" i="1"/>
  <c r="K16" i="1" s="1"/>
  <c r="J16" i="1"/>
  <c r="P48" i="3"/>
  <c r="N48" i="3"/>
  <c r="P47" i="3"/>
  <c r="O49" i="3"/>
  <c r="Y53" i="3" s="1"/>
  <c r="N65" i="3"/>
  <c r="O58" i="3"/>
  <c r="O52" i="3"/>
  <c r="U70" i="3"/>
  <c r="T70" i="3"/>
  <c r="T69" i="3"/>
  <c r="U69" i="3" s="1"/>
  <c r="T68" i="3"/>
  <c r="U68" i="3" s="1"/>
  <c r="T67" i="3"/>
  <c r="U67" i="3" s="1"/>
  <c r="T66" i="3"/>
  <c r="U66" i="3" s="1"/>
  <c r="T65" i="3"/>
  <c r="U65" i="3" s="1"/>
  <c r="T64" i="3"/>
  <c r="U64" i="3" s="1"/>
  <c r="T63" i="3"/>
  <c r="U63" i="3" s="1"/>
  <c r="T62" i="3"/>
  <c r="U62" i="3" s="1"/>
  <c r="T61" i="3"/>
  <c r="U61" i="3" s="1"/>
  <c r="T60" i="3"/>
  <c r="U60" i="3" s="1"/>
  <c r="T59" i="3"/>
  <c r="U59" i="3" s="1"/>
  <c r="M50" i="3"/>
  <c r="O50" i="3" s="1"/>
  <c r="P50" i="3" s="1"/>
  <c r="M49" i="3"/>
  <c r="M48" i="3"/>
  <c r="M47" i="3"/>
  <c r="N47" i="3" s="1"/>
  <c r="T46" i="3"/>
  <c r="M46" i="3"/>
  <c r="N46" i="3" s="1"/>
  <c r="P46" i="3" s="1"/>
  <c r="I46" i="3"/>
  <c r="F46" i="3" s="1"/>
  <c r="C20" i="3"/>
  <c r="C19" i="3"/>
  <c r="C18" i="3"/>
  <c r="C17" i="3"/>
  <c r="C16" i="3"/>
  <c r="C15" i="3"/>
  <c r="C14" i="3"/>
  <c r="C13" i="3"/>
  <c r="C12" i="3"/>
  <c r="U6" i="3"/>
  <c r="T6" i="3"/>
  <c r="U7" i="3" s="1"/>
  <c r="T7" i="3" s="1"/>
  <c r="U8" i="3" s="1"/>
  <c r="T8" i="3" s="1"/>
  <c r="U9" i="3" s="1"/>
  <c r="T9" i="3" s="1"/>
  <c r="U10" i="3" s="1"/>
  <c r="T10" i="3" s="1"/>
  <c r="U11" i="3" s="1"/>
  <c r="T11" i="3" s="1"/>
  <c r="U12" i="3" s="1"/>
  <c r="T12" i="3" s="1"/>
  <c r="U13" i="3" s="1"/>
  <c r="T13" i="3" s="1"/>
  <c r="U14" i="3" s="1"/>
  <c r="T14" i="3" s="1"/>
  <c r="U15" i="3" s="1"/>
  <c r="T15" i="3" s="1"/>
  <c r="U16" i="3" s="1"/>
  <c r="T16" i="3" s="1"/>
  <c r="U17" i="3" s="1"/>
  <c r="T17" i="3" s="1"/>
  <c r="U18" i="3" s="1"/>
  <c r="T18" i="3" s="1"/>
  <c r="U19" i="3" s="1"/>
  <c r="T19" i="3" s="1"/>
  <c r="U20" i="3" s="1"/>
  <c r="T20" i="3" s="1"/>
  <c r="U21" i="3" s="1"/>
  <c r="T21" i="3" s="1"/>
  <c r="U22" i="3" s="1"/>
  <c r="T22" i="3" s="1"/>
  <c r="U23" i="3" s="1"/>
  <c r="T23" i="3" s="1"/>
  <c r="U24" i="3" s="1"/>
  <c r="T24" i="3" s="1"/>
  <c r="C6" i="3"/>
  <c r="C3" i="3"/>
  <c r="M21" i="3" s="1"/>
  <c r="O52" i="2"/>
  <c r="N52" i="2"/>
  <c r="N62" i="2" s="1"/>
  <c r="N48" i="2" s="1"/>
  <c r="O58" i="2"/>
  <c r="N58" i="2"/>
  <c r="U60" i="2"/>
  <c r="U61" i="2"/>
  <c r="U62" i="2"/>
  <c r="U63" i="2"/>
  <c r="U64" i="2"/>
  <c r="U65" i="2"/>
  <c r="U66" i="2"/>
  <c r="U67" i="2"/>
  <c r="U68" i="2"/>
  <c r="U69" i="2"/>
  <c r="U70" i="2"/>
  <c r="U59" i="2"/>
  <c r="T60" i="2"/>
  <c r="T61" i="2"/>
  <c r="T62" i="2"/>
  <c r="T63" i="2"/>
  <c r="T64" i="2"/>
  <c r="T65" i="2"/>
  <c r="T66" i="2"/>
  <c r="T67" i="2"/>
  <c r="T68" i="2"/>
  <c r="T69" i="2"/>
  <c r="T70" i="2"/>
  <c r="T59" i="2"/>
  <c r="N65" i="2"/>
  <c r="C3" i="2"/>
  <c r="P50" i="2"/>
  <c r="O50" i="2"/>
  <c r="N46" i="2"/>
  <c r="P46" i="2" s="1"/>
  <c r="F46" i="2"/>
  <c r="M47" i="2"/>
  <c r="N47" i="2" s="1"/>
  <c r="P47" i="2" s="1"/>
  <c r="M48" i="2"/>
  <c r="M49" i="2"/>
  <c r="O49" i="2" s="1"/>
  <c r="P49" i="2" s="1"/>
  <c r="M50" i="2"/>
  <c r="T46" i="2"/>
  <c r="M46" i="2"/>
  <c r="I46" i="2" s="1"/>
  <c r="U7" i="2"/>
  <c r="T7" i="2" s="1"/>
  <c r="U8" i="2" s="1"/>
  <c r="T8" i="2" s="1"/>
  <c r="U9" i="2" s="1"/>
  <c r="T9" i="2" s="1"/>
  <c r="U10" i="2" s="1"/>
  <c r="T10" i="2" s="1"/>
  <c r="U11" i="2" s="1"/>
  <c r="T11" i="2" s="1"/>
  <c r="U12" i="2" s="1"/>
  <c r="T12" i="2" s="1"/>
  <c r="U13" i="2" s="1"/>
  <c r="T13" i="2" s="1"/>
  <c r="U14" i="2" s="1"/>
  <c r="T14" i="2" s="1"/>
  <c r="U15" i="2" s="1"/>
  <c r="T15" i="2" s="1"/>
  <c r="U16" i="2" s="1"/>
  <c r="T16" i="2" s="1"/>
  <c r="U17" i="2" s="1"/>
  <c r="T17" i="2" s="1"/>
  <c r="U18" i="2" s="1"/>
  <c r="T18" i="2" s="1"/>
  <c r="U19" i="2" s="1"/>
  <c r="T19" i="2" s="1"/>
  <c r="U20" i="2" s="1"/>
  <c r="T20" i="2" s="1"/>
  <c r="U21" i="2" s="1"/>
  <c r="T21" i="2" s="1"/>
  <c r="U22" i="2" s="1"/>
  <c r="T22" i="2" s="1"/>
  <c r="U23" i="2" s="1"/>
  <c r="T23" i="2" s="1"/>
  <c r="U24" i="2" s="1"/>
  <c r="T24" i="2" s="1"/>
  <c r="T6" i="2"/>
  <c r="U6" i="2"/>
  <c r="C20" i="2"/>
  <c r="C19" i="2"/>
  <c r="D19" i="2" s="1"/>
  <c r="C18" i="2"/>
  <c r="D18" i="2" s="1"/>
  <c r="C17" i="2"/>
  <c r="C16" i="2"/>
  <c r="D16" i="2" s="1"/>
  <c r="C15" i="2"/>
  <c r="C14" i="2"/>
  <c r="C13" i="2"/>
  <c r="D13" i="2" s="1"/>
  <c r="C12" i="2"/>
  <c r="D12" i="2" s="1"/>
  <c r="C6" i="2"/>
  <c r="M21" i="2"/>
  <c r="C20" i="1"/>
  <c r="C15" i="1"/>
  <c r="C16" i="1"/>
  <c r="C17" i="1"/>
  <c r="C18" i="1"/>
  <c r="C19" i="1"/>
  <c r="C12" i="1"/>
  <c r="C13" i="1"/>
  <c r="C14" i="1"/>
  <c r="C3" i="1"/>
  <c r="C6" i="1"/>
  <c r="K67" i="15" l="1"/>
  <c r="K68" i="15" s="1"/>
  <c r="K63" i="15"/>
  <c r="B59" i="15"/>
  <c r="J53" i="15"/>
  <c r="J54" i="15" s="1"/>
  <c r="K55" i="15" s="1"/>
  <c r="B56" i="15" s="1"/>
  <c r="C56" i="15" s="1"/>
  <c r="K78" i="16"/>
  <c r="J53" i="16"/>
  <c r="J54" i="16" s="1"/>
  <c r="K55" i="16" s="1"/>
  <c r="B56" i="16" s="1"/>
  <c r="C56" i="16" s="1"/>
  <c r="B59" i="16"/>
  <c r="J62" i="16"/>
  <c r="J67" i="16" s="1"/>
  <c r="J68" i="16" s="1"/>
  <c r="K62" i="16"/>
  <c r="K67" i="16" s="1"/>
  <c r="K68" i="16" s="1"/>
  <c r="G77" i="16"/>
  <c r="K77" i="16" s="1"/>
  <c r="F77" i="16"/>
  <c r="J77" i="16" s="1"/>
  <c r="J67" i="15"/>
  <c r="J68" i="15" s="1"/>
  <c r="G77" i="15"/>
  <c r="K77" i="15" s="1"/>
  <c r="F77" i="15"/>
  <c r="J76" i="15"/>
  <c r="K76" i="15"/>
  <c r="K23" i="7"/>
  <c r="K25" i="7" s="1"/>
  <c r="K26" i="7" s="1"/>
  <c r="K27" i="7" s="1"/>
  <c r="B28" i="7" s="1"/>
  <c r="C28" i="7" s="1"/>
  <c r="B17" i="7"/>
  <c r="B27" i="7" s="1"/>
  <c r="K37" i="7"/>
  <c r="K39" i="7" s="1"/>
  <c r="K40" i="7" s="1"/>
  <c r="K41" i="7" s="1"/>
  <c r="B42" i="7" s="1"/>
  <c r="Q54" i="3"/>
  <c r="R54" i="3"/>
  <c r="N68" i="3"/>
  <c r="O68" i="3"/>
  <c r="N53" i="3"/>
  <c r="M55" i="3" s="1"/>
  <c r="N55" i="3" s="1"/>
  <c r="O55" i="3" s="1"/>
  <c r="D13" i="3"/>
  <c r="D15" i="3"/>
  <c r="D12" i="3"/>
  <c r="D14" i="3"/>
  <c r="D17" i="3"/>
  <c r="D3" i="3"/>
  <c r="D16" i="3"/>
  <c r="D18" i="3"/>
  <c r="D19" i="3"/>
  <c r="D20" i="3"/>
  <c r="Q54" i="2"/>
  <c r="N68" i="2" s="1"/>
  <c r="O62" i="2"/>
  <c r="O48" i="2" s="1"/>
  <c r="N53" i="2"/>
  <c r="F13" i="2"/>
  <c r="G13" i="2"/>
  <c r="H13" i="2" s="1"/>
  <c r="E13" i="2"/>
  <c r="G16" i="2"/>
  <c r="H16" i="2" s="1"/>
  <c r="F16" i="2"/>
  <c r="E16" i="2"/>
  <c r="G18" i="2"/>
  <c r="H18" i="2" s="1"/>
  <c r="E18" i="2"/>
  <c r="F18" i="2"/>
  <c r="G19" i="2"/>
  <c r="H19" i="2" s="1"/>
  <c r="F19" i="2"/>
  <c r="E19" i="2"/>
  <c r="F12" i="2"/>
  <c r="E12" i="2"/>
  <c r="G12" i="2"/>
  <c r="H12" i="2" s="1"/>
  <c r="D14" i="2"/>
  <c r="D20" i="2"/>
  <c r="D15" i="2"/>
  <c r="D17" i="2"/>
  <c r="D3" i="2"/>
  <c r="D20" i="1"/>
  <c r="G20" i="1" s="1"/>
  <c r="H20" i="1" s="1"/>
  <c r="D3" i="1"/>
  <c r="M21" i="1"/>
  <c r="E20" i="1"/>
  <c r="F20" i="1"/>
  <c r="D18" i="1"/>
  <c r="D17" i="1"/>
  <c r="D16" i="1"/>
  <c r="D14" i="1"/>
  <c r="D12" i="1"/>
  <c r="D19" i="1"/>
  <c r="D13" i="1"/>
  <c r="D15" i="1"/>
  <c r="G15" i="1" s="1"/>
  <c r="H15" i="1" s="1"/>
  <c r="K69" i="15" l="1"/>
  <c r="B70" i="15" s="1"/>
  <c r="C70" i="15" s="1"/>
  <c r="J76" i="16"/>
  <c r="J81" i="16" s="1"/>
  <c r="J82" i="16" s="1"/>
  <c r="K69" i="16"/>
  <c r="B70" i="16" s="1"/>
  <c r="C70" i="16" s="1"/>
  <c r="K76" i="16"/>
  <c r="K81" i="16" s="1"/>
  <c r="K82" i="16" s="1"/>
  <c r="B73" i="16"/>
  <c r="K81" i="15"/>
  <c r="K82" i="15" s="1"/>
  <c r="J77" i="15"/>
  <c r="J81" i="15" s="1"/>
  <c r="J82" i="15" s="1"/>
  <c r="B73" i="15"/>
  <c r="C42" i="7"/>
  <c r="B41" i="7"/>
  <c r="N66" i="3"/>
  <c r="P49" i="3"/>
  <c r="O68" i="2"/>
  <c r="O70" i="2" s="1"/>
  <c r="T48" i="2"/>
  <c r="F12" i="3"/>
  <c r="G12" i="3"/>
  <c r="H12" i="3" s="1"/>
  <c r="E12" i="3"/>
  <c r="F13" i="3"/>
  <c r="E13" i="3"/>
  <c r="G13" i="3"/>
  <c r="H13" i="3" s="1"/>
  <c r="E18" i="3"/>
  <c r="G18" i="3"/>
  <c r="H18" i="3" s="1"/>
  <c r="F18" i="3"/>
  <c r="G14" i="3"/>
  <c r="H14" i="3" s="1"/>
  <c r="F14" i="3"/>
  <c r="E14" i="3"/>
  <c r="F15" i="3"/>
  <c r="E15" i="3"/>
  <c r="G15" i="3"/>
  <c r="H15" i="3" s="1"/>
  <c r="F17" i="3"/>
  <c r="E17" i="3"/>
  <c r="G17" i="3"/>
  <c r="H17" i="3" s="1"/>
  <c r="E20" i="3"/>
  <c r="G20" i="3"/>
  <c r="H20" i="3" s="1"/>
  <c r="F20" i="3"/>
  <c r="I21" i="3" s="1"/>
  <c r="E19" i="3"/>
  <c r="G19" i="3"/>
  <c r="H19" i="3" s="1"/>
  <c r="F19" i="3"/>
  <c r="E16" i="3"/>
  <c r="G16" i="3"/>
  <c r="H16" i="3" s="1"/>
  <c r="F16" i="3"/>
  <c r="R54" i="2"/>
  <c r="M55" i="2"/>
  <c r="N55" i="2" s="1"/>
  <c r="A16" i="2"/>
  <c r="I16" i="2"/>
  <c r="N16" i="2" s="1"/>
  <c r="K16" i="2"/>
  <c r="E14" i="2"/>
  <c r="G14" i="2"/>
  <c r="H14" i="2" s="1"/>
  <c r="F14" i="2"/>
  <c r="E17" i="2"/>
  <c r="F17" i="2"/>
  <c r="G17" i="2"/>
  <c r="H17" i="2" s="1"/>
  <c r="E15" i="2"/>
  <c r="F15" i="2"/>
  <c r="G15" i="2"/>
  <c r="H15" i="2" s="1"/>
  <c r="G20" i="2"/>
  <c r="H20" i="2" s="1"/>
  <c r="F20" i="2"/>
  <c r="I21" i="2" s="1"/>
  <c r="E20" i="2"/>
  <c r="E12" i="1"/>
  <c r="G12" i="1"/>
  <c r="H12" i="1" s="1"/>
  <c r="E14" i="1"/>
  <c r="G14" i="1"/>
  <c r="H14" i="1" s="1"/>
  <c r="F16" i="1"/>
  <c r="G16" i="1"/>
  <c r="H16" i="1" s="1"/>
  <c r="E17" i="1"/>
  <c r="G17" i="1"/>
  <c r="H17" i="1" s="1"/>
  <c r="E18" i="1"/>
  <c r="G18" i="1"/>
  <c r="H18" i="1" s="1"/>
  <c r="E13" i="1"/>
  <c r="G13" i="1"/>
  <c r="H13" i="1" s="1"/>
  <c r="E19" i="1"/>
  <c r="G19" i="1"/>
  <c r="H19" i="1" s="1"/>
  <c r="F18" i="1"/>
  <c r="F14" i="1"/>
  <c r="E16" i="1"/>
  <c r="F17" i="1"/>
  <c r="F12" i="1"/>
  <c r="F19" i="1"/>
  <c r="F13" i="1"/>
  <c r="F15" i="1"/>
  <c r="E15" i="1"/>
  <c r="K83" i="16" l="1"/>
  <c r="B84" i="16" s="1"/>
  <c r="C84" i="16" s="1"/>
  <c r="C85" i="16" s="1"/>
  <c r="D85" i="16"/>
  <c r="K83" i="15"/>
  <c r="B84" i="15" s="1"/>
  <c r="C84" i="15" s="1"/>
  <c r="C85" i="15" s="1"/>
  <c r="V34" i="7"/>
  <c r="V38" i="7"/>
  <c r="V37" i="7"/>
  <c r="V36" i="7"/>
  <c r="V35" i="7"/>
  <c r="O60" i="3"/>
  <c r="N60" i="3"/>
  <c r="J63" i="3"/>
  <c r="I63" i="3"/>
  <c r="K15" i="3"/>
  <c r="L15" i="3"/>
  <c r="J16" i="3"/>
  <c r="L16" i="3" s="1"/>
  <c r="A16" i="3"/>
  <c r="I16" i="3"/>
  <c r="N16" i="3" s="1"/>
  <c r="K21" i="3"/>
  <c r="J15" i="3"/>
  <c r="I15" i="3"/>
  <c r="O70" i="3"/>
  <c r="J11" i="3"/>
  <c r="O16" i="3" s="1"/>
  <c r="O17" i="3" s="1"/>
  <c r="O55" i="2"/>
  <c r="J16" i="2"/>
  <c r="L16" i="2" s="1"/>
  <c r="K21" i="2"/>
  <c r="J15" i="2"/>
  <c r="L15" i="2" s="1"/>
  <c r="I15" i="2"/>
  <c r="K15" i="2" s="1"/>
  <c r="J11" i="2"/>
  <c r="J11" i="1"/>
  <c r="I21" i="1"/>
  <c r="K21" i="1" s="1"/>
  <c r="L11" i="1"/>
  <c r="L16" i="1"/>
  <c r="B85" i="16" l="1"/>
  <c r="B85" i="15"/>
  <c r="O59" i="3"/>
  <c r="K16" i="3"/>
  <c r="L11" i="3"/>
  <c r="P16" i="3" s="1"/>
  <c r="Q48" i="3"/>
  <c r="R48" i="3" s="1"/>
  <c r="L11" i="2"/>
  <c r="P16" i="2" s="1"/>
  <c r="O16" i="2"/>
  <c r="O17" i="2" s="1"/>
  <c r="P48" i="2" l="1"/>
  <c r="N66" i="2"/>
  <c r="N59" i="2" l="1"/>
  <c r="O59" i="2"/>
  <c r="Q48" i="2"/>
  <c r="R48" i="2" s="1"/>
  <c r="X38" i="7" l="1"/>
  <c r="X37" i="7"/>
  <c r="X35" i="7"/>
  <c r="X34" i="7"/>
  <c r="X36" i="7"/>
  <c r="X39" i="7" l="1"/>
  <c r="N41" i="7" s="1"/>
  <c r="Q35" i="7" l="1"/>
  <c r="Q36" i="7"/>
  <c r="Q37" i="7"/>
  <c r="E51" i="7" s="1"/>
  <c r="E65" i="7" s="1"/>
  <c r="E79" i="7" s="1"/>
  <c r="Q34" i="7"/>
  <c r="Q38" i="7"/>
  <c r="E52" i="7" s="1"/>
  <c r="E66" i="7" s="1"/>
  <c r="E80" i="7" s="1"/>
  <c r="R35" i="7" l="1"/>
  <c r="S35" i="7" s="1"/>
  <c r="T35" i="7" s="1"/>
  <c r="H49" i="7" s="1"/>
  <c r="E49" i="7"/>
  <c r="E63" i="7" s="1"/>
  <c r="E77" i="7" s="1"/>
  <c r="R34" i="7"/>
  <c r="T34" i="7" s="1"/>
  <c r="H48" i="7" s="1"/>
  <c r="E48" i="7"/>
  <c r="E62" i="7" s="1"/>
  <c r="E76" i="7" s="1"/>
  <c r="S36" i="7"/>
  <c r="T36" i="7" s="1"/>
  <c r="H50" i="7" s="1"/>
  <c r="E50" i="7"/>
  <c r="E64" i="7" s="1"/>
  <c r="E78" i="7" s="1"/>
  <c r="G50" i="7" l="1"/>
  <c r="K50" i="7" s="1"/>
  <c r="H64" i="7"/>
  <c r="H62" i="7"/>
  <c r="F48" i="7"/>
  <c r="H63" i="7"/>
  <c r="G49" i="7"/>
  <c r="K49" i="7" s="1"/>
  <c r="F49" i="7"/>
  <c r="J63" i="7" l="1"/>
  <c r="J49" i="7"/>
  <c r="H77" i="7"/>
  <c r="G63" i="7"/>
  <c r="K63" i="7" s="1"/>
  <c r="J48" i="7"/>
  <c r="B45" i="7"/>
  <c r="B55" i="7" s="1"/>
  <c r="H76" i="7"/>
  <c r="F76" i="7" s="1"/>
  <c r="F62" i="7"/>
  <c r="G62" i="7"/>
  <c r="H78" i="7"/>
  <c r="G78" i="7" s="1"/>
  <c r="G64" i="7"/>
  <c r="K64" i="7" s="1"/>
  <c r="K53" i="7"/>
  <c r="K54" i="7" s="1"/>
  <c r="B59" i="7" l="1"/>
  <c r="B69" i="7" s="1"/>
  <c r="J62" i="7"/>
  <c r="J67" i="7" s="1"/>
  <c r="J68" i="7" s="1"/>
  <c r="J76" i="7"/>
  <c r="F77" i="7"/>
  <c r="J77" i="7" s="1"/>
  <c r="G77" i="7"/>
  <c r="K77" i="7" s="1"/>
  <c r="K78" i="7"/>
  <c r="J53" i="7"/>
  <c r="J54" i="7" s="1"/>
  <c r="K55" i="7" s="1"/>
  <c r="B56" i="7" s="1"/>
  <c r="C56" i="7" s="1"/>
  <c r="K76" i="7"/>
  <c r="K62" i="7"/>
  <c r="K67" i="7" s="1"/>
  <c r="K68" i="7" s="1"/>
  <c r="B73" i="7" l="1"/>
  <c r="B83" i="7" s="1"/>
  <c r="K69" i="7"/>
  <c r="B70" i="7" s="1"/>
  <c r="C70" i="7" s="1"/>
  <c r="J81" i="7"/>
  <c r="J82" i="7" s="1"/>
  <c r="K81" i="7"/>
  <c r="K82" i="7" s="1"/>
  <c r="K83" i="7" l="1"/>
  <c r="B84" i="7" s="1"/>
  <c r="C84" i="7" s="1"/>
  <c r="D85" i="7" l="1"/>
  <c r="B85" i="7"/>
</calcChain>
</file>

<file path=xl/sharedStrings.xml><?xml version="1.0" encoding="utf-8"?>
<sst xmlns="http://schemas.openxmlformats.org/spreadsheetml/2006/main" count="828" uniqueCount="71">
  <si>
    <t>a</t>
  </si>
  <si>
    <t>b</t>
  </si>
  <si>
    <t>X</t>
  </si>
  <si>
    <t>Y</t>
  </si>
  <si>
    <t>L</t>
  </si>
  <si>
    <t>L2</t>
  </si>
  <si>
    <t>Xv</t>
  </si>
  <si>
    <t>Yv</t>
  </si>
  <si>
    <t>Yr</t>
  </si>
  <si>
    <t>Xr</t>
  </si>
  <si>
    <t>P</t>
  </si>
  <si>
    <t>V(L,P,B)</t>
  </si>
  <si>
    <t>&gt;6</t>
  </si>
  <si>
    <t>&lt;1</t>
  </si>
  <si>
    <t>V(1,P,B)</t>
  </si>
  <si>
    <t>P_№</t>
  </si>
  <si>
    <t>n</t>
  </si>
  <si>
    <t>n-1</t>
  </si>
  <si>
    <t>…</t>
  </si>
  <si>
    <t>-m</t>
  </si>
  <si>
    <t>-m+1</t>
  </si>
  <si>
    <t>Art</t>
  </si>
  <si>
    <t>pa</t>
  </si>
  <si>
    <t>pb</t>
  </si>
  <si>
    <t>x</t>
  </si>
  <si>
    <t>p</t>
  </si>
  <si>
    <t>W</t>
  </si>
  <si>
    <t>p0</t>
  </si>
  <si>
    <t>Wx</t>
  </si>
  <si>
    <t>xi</t>
  </si>
  <si>
    <t>xr</t>
  </si>
  <si>
    <t>yr</t>
  </si>
  <si>
    <t>y/x</t>
  </si>
  <si>
    <t>y+3.5x</t>
  </si>
  <si>
    <t>W_initial</t>
  </si>
  <si>
    <t>p_current</t>
  </si>
  <si>
    <t>prices</t>
  </si>
  <si>
    <t>t0</t>
  </si>
  <si>
    <t>t1</t>
  </si>
  <si>
    <t>t2</t>
  </si>
  <si>
    <t>t3</t>
  </si>
  <si>
    <t>t4</t>
  </si>
  <si>
    <t>t5</t>
  </si>
  <si>
    <t>Wxi</t>
  </si>
  <si>
    <t>for reset/relocation</t>
  </si>
  <si>
    <t>cost</t>
  </si>
  <si>
    <t>W_1</t>
  </si>
  <si>
    <t>A</t>
  </si>
  <si>
    <t>B</t>
  </si>
  <si>
    <t>in B</t>
  </si>
  <si>
    <t>fee part</t>
  </si>
  <si>
    <t>fee (B)</t>
  </si>
  <si>
    <t>W_2</t>
  </si>
  <si>
    <t>Wxi_new_noCost</t>
  </si>
  <si>
    <t>Wxi_current</t>
  </si>
  <si>
    <t>deltaWxi</t>
  </si>
  <si>
    <t>база костов</t>
  </si>
  <si>
    <t>W part</t>
  </si>
  <si>
    <t>gas price</t>
  </si>
  <si>
    <t>fee re-</t>
  </si>
  <si>
    <t>W_3</t>
  </si>
  <si>
    <t>W_4</t>
  </si>
  <si>
    <t>W_5</t>
  </si>
  <si>
    <t>Total</t>
  </si>
  <si>
    <t>W_</t>
  </si>
  <si>
    <t>написать размерность 10</t>
  </si>
  <si>
    <t>хотя бы 2 перекладывания</t>
  </si>
  <si>
    <t>общая функция</t>
  </si>
  <si>
    <t>рисунки</t>
  </si>
  <si>
    <t>нижняя граница</t>
  </si>
  <si>
    <t>верхняя граница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</si>
</sst>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₽_-;\-* #,##0.00\ _₽_-;_-* &quot;-&quot;??\ _₽_-;_-@_-"/>
    <numFmt numFmtId="165" formatCode="_-* #,##0.000_-;\-* #,##0.000_-;_-* &quot;-&quot;??_-;_-@_-"/>
    <numFmt numFmtId="166" formatCode="_-* #,##0.0000\ _₽_-;\-* #,##0.0000\ _₽_-;_-* &quot;-&quot;??\ _₽_-;_-@_-"/>
    <numFmt numFmtId="167" formatCode="_-* #,##0.0000000_-;\-* #,##0.0000000_-;_-* &quot;-&quot;??_-;_-@_-"/>
    <numFmt numFmtId="168" formatCode="0.000000"/>
    <numFmt numFmtId="169" formatCode="0.0000"/>
  </numFmts>
  <fonts count="10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theme="0" tint="-0.249977111117893"/>
      <name val="Calibri"/>
      <family val="2"/>
      <charset val="204"/>
      <scheme val="minor"/>
    </font>
    <font>
      <sz val="12"/>
      <color theme="2"/>
      <name val="Calibri"/>
      <family val="2"/>
      <charset val="204"/>
      <scheme val="minor"/>
    </font>
    <font>
      <sz val="12"/>
      <color theme="4" tint="0.79998168889431442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43" fontId="0" fillId="0" borderId="0" xfId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43" fontId="0" fillId="0" borderId="1" xfId="1" applyFont="1" applyBorder="1" applyAlignment="1">
      <alignment horizontal="right"/>
    </xf>
    <xf numFmtId="0" fontId="0" fillId="5" borderId="1" xfId="0" applyFill="1" applyBorder="1"/>
    <xf numFmtId="43" fontId="0" fillId="2" borderId="1" xfId="1" applyFont="1" applyFill="1" applyBorder="1"/>
    <xf numFmtId="43" fontId="0" fillId="5" borderId="1" xfId="1" applyFont="1" applyFill="1" applyBorder="1" applyAlignment="1">
      <alignment horizontal="right"/>
    </xf>
    <xf numFmtId="164" fontId="0" fillId="2" borderId="1" xfId="0" applyNumberFormat="1" applyFill="1" applyBorder="1"/>
    <xf numFmtId="164" fontId="0" fillId="5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5" fontId="0" fillId="3" borderId="1" xfId="1" applyNumberFormat="1" applyFont="1" applyFill="1" applyBorder="1" applyAlignment="1">
      <alignment horizontal="right"/>
    </xf>
    <xf numFmtId="165" fontId="0" fillId="0" borderId="1" xfId="1" applyNumberFormat="1" applyFont="1" applyBorder="1"/>
    <xf numFmtId="165" fontId="0" fillId="2" borderId="1" xfId="1" applyNumberFormat="1" applyFont="1" applyFill="1" applyBorder="1"/>
    <xf numFmtId="0" fontId="2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1" xfId="0" applyNumberFormat="1" applyBorder="1"/>
    <xf numFmtId="164" fontId="0" fillId="2" borderId="0" xfId="0" applyNumberFormat="1" applyFill="1"/>
    <xf numFmtId="167" fontId="0" fillId="0" borderId="0" xfId="1" applyNumberFormat="1" applyFont="1"/>
    <xf numFmtId="167" fontId="0" fillId="0" borderId="1" xfId="1" applyNumberFormat="1" applyFont="1" applyBorder="1"/>
    <xf numFmtId="43" fontId="0" fillId="2" borderId="0" xfId="0" applyNumberFormat="1" applyFill="1"/>
    <xf numFmtId="0" fontId="0" fillId="0" borderId="6" xfId="0" applyBorder="1"/>
    <xf numFmtId="0" fontId="0" fillId="0" borderId="7" xfId="0" applyBorder="1"/>
    <xf numFmtId="0" fontId="0" fillId="6" borderId="0" xfId="0" applyFill="1"/>
    <xf numFmtId="0" fontId="3" fillId="0" borderId="0" xfId="0" applyFont="1"/>
    <xf numFmtId="0" fontId="0" fillId="7" borderId="0" xfId="0" applyFill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8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4" xfId="0" applyFont="1" applyBorder="1"/>
    <xf numFmtId="0" fontId="0" fillId="0" borderId="15" xfId="0" applyBorder="1"/>
    <xf numFmtId="0" fontId="0" fillId="0" borderId="0" xfId="0" applyAlignment="1">
      <alignment vertical="center"/>
    </xf>
    <xf numFmtId="0" fontId="0" fillId="7" borderId="12" xfId="0" applyFill="1" applyBorder="1"/>
    <xf numFmtId="0" fontId="0" fillId="0" borderId="16" xfId="0" applyBorder="1"/>
    <xf numFmtId="0" fontId="6" fillId="0" borderId="11" xfId="0" applyFont="1" applyBorder="1"/>
    <xf numFmtId="0" fontId="6" fillId="0" borderId="0" xfId="0" applyFont="1"/>
    <xf numFmtId="0" fontId="0" fillId="0" borderId="11" xfId="0" applyBorder="1" applyAlignment="1">
      <alignment vertical="center"/>
    </xf>
    <xf numFmtId="0" fontId="0" fillId="0" borderId="17" xfId="0" applyBorder="1"/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8" xfId="0" applyBorder="1" applyAlignment="1">
      <alignment horizontal="right"/>
    </xf>
    <xf numFmtId="168" fontId="0" fillId="0" borderId="0" xfId="0" applyNumberFormat="1"/>
    <xf numFmtId="169" fontId="0" fillId="0" borderId="0" xfId="0" applyNumberFormat="1"/>
    <xf numFmtId="0" fontId="7" fillId="0" borderId="0" xfId="0" applyFont="1"/>
    <xf numFmtId="0" fontId="7" fillId="0" borderId="11" xfId="0" applyFont="1" applyBorder="1"/>
    <xf numFmtId="168" fontId="0" fillId="0" borderId="14" xfId="0" applyNumberFormat="1" applyBorder="1"/>
    <xf numFmtId="0" fontId="0" fillId="0" borderId="18" xfId="0" applyBorder="1"/>
    <xf numFmtId="1" fontId="0" fillId="0" borderId="0" xfId="0" applyNumberFormat="1"/>
    <xf numFmtId="0" fontId="8" fillId="0" borderId="0" xfId="0" applyFont="1"/>
    <xf numFmtId="168" fontId="0" fillId="0" borderId="17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9" borderId="12" xfId="0" applyFill="1" applyBorder="1"/>
    <xf numFmtId="0" fontId="0" fillId="0" borderId="0" xfId="0" applyAlignment="1"/>
    <xf numFmtId="169" fontId="6" fillId="0" borderId="0" xfId="0" applyNumberFormat="1" applyFont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8" xfId="0" applyFont="1" applyBorder="1" applyAlignment="1">
      <alignment horizontal="right"/>
    </xf>
    <xf numFmtId="0" fontId="0" fillId="0" borderId="0" xfId="0" applyFont="1"/>
    <xf numFmtId="0" fontId="0" fillId="0" borderId="11" xfId="0" applyFont="1" applyBorder="1"/>
    <xf numFmtId="0" fontId="0" fillId="8" borderId="0" xfId="0" applyFont="1" applyFill="1"/>
    <xf numFmtId="0" fontId="0" fillId="0" borderId="12" xfId="0" applyFont="1" applyBorder="1"/>
    <xf numFmtId="0" fontId="0" fillId="0" borderId="11" xfId="0" applyFont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0" fillId="7" borderId="0" xfId="0" applyFont="1" applyFill="1"/>
    <xf numFmtId="0" fontId="0" fillId="7" borderId="12" xfId="0" applyFont="1" applyFill="1" applyBorder="1"/>
    <xf numFmtId="0" fontId="0" fillId="0" borderId="0" xfId="0" applyFont="1" applyAlignment="1">
      <alignment vertical="center"/>
    </xf>
    <xf numFmtId="0" fontId="0" fillId="0" borderId="16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3" xfId="0" applyFont="1" applyBorder="1" applyAlignment="1">
      <alignment horizontal="right"/>
    </xf>
    <xf numFmtId="0" fontId="0" fillId="0" borderId="6" xfId="0" applyFont="1" applyBorder="1"/>
    <xf numFmtId="0" fontId="0" fillId="0" borderId="17" xfId="0" applyFont="1" applyBorder="1"/>
    <xf numFmtId="0" fontId="0" fillId="0" borderId="7" xfId="0" applyFont="1" applyBorder="1"/>
    <xf numFmtId="0" fontId="9" fillId="0" borderId="0" xfId="0" applyFont="1"/>
    <xf numFmtId="0" fontId="9" fillId="0" borderId="0" xfId="0" applyFont="1"/>
    <xf numFmtId="169" fontId="9" fillId="0" borderId="0" xfId="0" applyNumberFormat="1" applyFont="1"/>
    <xf numFmtId="165" fontId="9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'Лист1 (4)'!$F$12:$F$20</c:f>
              <c:numCache>
                <c:formatCode>_(* #,##0.00_);_(* \(#,##0.00\);_(* "-"??_);_(@_)</c:formatCode>
                <c:ptCount val="9"/>
                <c:pt idx="0">
                  <c:v>6.0003067292323733</c:v>
                </c:pt>
                <c:pt idx="1">
                  <c:v>4.2378352271584987</c:v>
                </c:pt>
                <c:pt idx="2">
                  <c:v>3.1515673045946908</c:v>
                </c:pt>
                <c:pt idx="3">
                  <c:v>2.4351230161381712</c:v>
                </c:pt>
                <c:pt idx="4">
                  <c:v>1.9378612241440205</c:v>
                </c:pt>
                <c:pt idx="5">
                  <c:v>1.5787056645216577</c:v>
                </c:pt>
                <c:pt idx="6">
                  <c:v>1.3108749094598799</c:v>
                </c:pt>
                <c:pt idx="7">
                  <c:v>1.1058401694970696</c:v>
                </c:pt>
                <c:pt idx="8">
                  <c:v>1.0004303952199654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EC-9A4E-B823-039C6F03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21264"/>
        <c:axId val="743384752"/>
      </c:scatterChart>
      <c:valAx>
        <c:axId val="7433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84752"/>
        <c:crosses val="autoZero"/>
        <c:crossBetween val="midCat"/>
      </c:valAx>
      <c:valAx>
        <c:axId val="743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1-2744-842A-516728EC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64-5547-AFD7-8B90DDD230CF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64-5547-AFD7-8B90DDD2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3-8148-AD8F-BFFF7250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F-964E-A1C8-A16A89BC4D0C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F-964E-A1C8-A16A89BC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6-DB4B-B1D4-FC008DE6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7-B344-9BF0-B85751D5F28D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B7-B344-9BF0-B85751D5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6-244C-9D4A-D92F0C04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4-E546-8262-509403597068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4-E546-8262-50940359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7-F34D-982D-8AC7DFA9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E-7F49-93BC-EB1E13B72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21264"/>
        <c:axId val="743384752"/>
      </c:scatterChart>
      <c:valAx>
        <c:axId val="7433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84752"/>
        <c:crosses val="autoZero"/>
        <c:crossBetween val="midCat"/>
      </c:valAx>
      <c:valAx>
        <c:axId val="743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(4)'!$C$12:$C$20</c:f>
              <c:numCache>
                <c:formatCode>_(* #,##0.00_);_(* \(#,##0.00\);_(* "-"??_);_(@_)</c:formatCode>
                <c:ptCount val="9"/>
                <c:pt idx="0">
                  <c:v>5.2656082346114337</c:v>
                </c:pt>
                <c:pt idx="1">
                  <c:v>6.2656082346114337</c:v>
                </c:pt>
                <c:pt idx="2">
                  <c:v>7.2656082346114337</c:v>
                </c:pt>
                <c:pt idx="3">
                  <c:v>8.2656082346114346</c:v>
                </c:pt>
                <c:pt idx="4">
                  <c:v>9.2656082346114346</c:v>
                </c:pt>
                <c:pt idx="5">
                  <c:v>10.265608234611435</c:v>
                </c:pt>
                <c:pt idx="6">
                  <c:v>11.265608234611435</c:v>
                </c:pt>
                <c:pt idx="7">
                  <c:v>12.265608234611435</c:v>
                </c:pt>
                <c:pt idx="8">
                  <c:v>12.895608234611434</c:v>
                </c:pt>
              </c:numCache>
            </c:numRef>
          </c:xVal>
          <c:yVal>
            <c:numRef>
              <c:f>'Лист1 (4)'!$D$12:$D$20</c:f>
              <c:numCache>
                <c:formatCode>_(* #,##0.00_);_(* \(#,##0.00\);_(* "-"??_);_(@_)</c:formatCode>
                <c:ptCount val="9"/>
                <c:pt idx="0">
                  <c:v>31.595264523640385</c:v>
                </c:pt>
                <c:pt idx="1">
                  <c:v>26.552615296210707</c:v>
                </c:pt>
                <c:pt idx="2">
                  <c:v>22.898053360195345</c:v>
                </c:pt>
                <c:pt idx="3">
                  <c:v>20.127772854483499</c:v>
                </c:pt>
                <c:pt idx="4">
                  <c:v>17.955462915963032</c:v>
                </c:pt>
                <c:pt idx="5">
                  <c:v>16.206373869741245</c:v>
                </c:pt>
                <c:pt idx="6">
                  <c:v>14.767803174556741</c:v>
                </c:pt>
                <c:pt idx="7">
                  <c:v>13.563802289147361</c:v>
                </c:pt>
                <c:pt idx="8">
                  <c:v>12.901158442754156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1-F34F-BA27-FFC5458C00FB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(4)'!$B$12:$B$20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7.63</c:v>
                </c:pt>
              </c:numCache>
            </c:numRef>
          </c:xVal>
          <c:yVal>
            <c:numRef>
              <c:f>'Лист1 (4)'!$E$12:$E$20</c:f>
              <c:numCache>
                <c:formatCode>_(* #,##0.00_);_(* \(#,##0.00\);_(* "-"??_);_(@_)</c:formatCode>
                <c:ptCount val="9"/>
                <c:pt idx="0" formatCode="_-* #\ ##0.000_-;\-* #\ ##0.000_-;_-* &quot;-&quot;??_-;_-@_-">
                  <c:v>18.69721116344504</c:v>
                </c:pt>
                <c:pt idx="1">
                  <c:v>13.654561936015362</c:v>
                </c:pt>
                <c:pt idx="2">
                  <c:v>10</c:v>
                </c:pt>
                <c:pt idx="3">
                  <c:v>7.2297194942881546</c:v>
                </c:pt>
                <c:pt idx="4">
                  <c:v>5.0574095557676877</c:v>
                </c:pt>
                <c:pt idx="5">
                  <c:v>3.3083205095459007</c:v>
                </c:pt>
                <c:pt idx="6">
                  <c:v>1.8697498143613966</c:v>
                </c:pt>
                <c:pt idx="7">
                  <c:v>0.66574892895201643</c:v>
                </c:pt>
                <c:pt idx="8">
                  <c:v>3.1050825588110342E-3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51-F34F-BA27-FFC5458C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5-F044-B72A-92EBF3CA2331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5-F044-B72A-92EBF3CA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4-594F-B5ED-16390AD2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4-4B4E-82C0-B0222D661B0C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4-4B4E-82C0-B0222D66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A-6149-B6F3-6D8896E4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0-AE46-A020-89878E4535D4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D0-AE46-A020-89878E453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E-D54E-90B8-78410466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E-4748-A552-F38A387A5340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E-4748-A552-F38A387A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7-9541-BDA9-8E31C88D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C-B746-BFFA-7A5C6208B7FB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C-B746-BFFA-7A5C6208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C-B845-9AFE-7EA28307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(4)'!$B$12:$B$20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7.63</c:v>
                </c:pt>
              </c:numCache>
            </c:numRef>
          </c:xVal>
          <c:yVal>
            <c:numRef>
              <c:f>'Лист1 (4)'!$E$12:$E$20</c:f>
              <c:numCache>
                <c:formatCode>_(* #,##0.00_);_(* \(#,##0.00\);_(* "-"??_);_(@_)</c:formatCode>
                <c:ptCount val="9"/>
                <c:pt idx="0" formatCode="_-* #\ ##0.000_-;\-* #\ ##0.000_-;_-* &quot;-&quot;??_-;_-@_-">
                  <c:v>18.69721116344504</c:v>
                </c:pt>
                <c:pt idx="1">
                  <c:v>13.654561936015362</c:v>
                </c:pt>
                <c:pt idx="2">
                  <c:v>10</c:v>
                </c:pt>
                <c:pt idx="3">
                  <c:v>7.2297194942881546</c:v>
                </c:pt>
                <c:pt idx="4">
                  <c:v>5.0574095557676877</c:v>
                </c:pt>
                <c:pt idx="5">
                  <c:v>3.3083205095459007</c:v>
                </c:pt>
                <c:pt idx="6">
                  <c:v>1.8697498143613966</c:v>
                </c:pt>
                <c:pt idx="7">
                  <c:v>0.66574892895201643</c:v>
                </c:pt>
                <c:pt idx="8">
                  <c:v>3.1050825588110342E-3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8-174A-97BC-A77898C5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E-C141-8217-86E7668FDAD3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5E-C141-8217-86E7668F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7-D44E-9374-286E8E02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2-3D44-BABD-27AC896D15B3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2-3D44-BABD-27AC896D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1-FF47-A983-BBD352C0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0-464C-ACD7-E285C841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21264"/>
        <c:axId val="743384752"/>
      </c:scatterChart>
      <c:valAx>
        <c:axId val="7433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84752"/>
        <c:crosses val="autoZero"/>
        <c:crossBetween val="midCat"/>
      </c:valAx>
      <c:valAx>
        <c:axId val="743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B-8643-8643-673542531B15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3B-8643-8643-673542531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F-ED4E-8C9E-AD3DEAB5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A-8941-93F1-1971354F6D7C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AA-8941-93F1-1971354F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2-3346-9959-932ECB04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8-1347-AC49-D2C2D5EA2E11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C8-1347-AC49-D2C2D5EA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0-4E40-8DF4-DC5E4FFB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21264"/>
        <c:axId val="743384752"/>
      </c:scatterChart>
      <c:valAx>
        <c:axId val="7433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84752"/>
        <c:crosses val="autoZero"/>
        <c:crossBetween val="midCat"/>
      </c:valAx>
      <c:valAx>
        <c:axId val="743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7-564F-A450-143A7F9B9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C-7041-AC5A-9BFE1704E234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C-7041-AC5A-9BFE1704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1-5C43-B565-7031210F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C-614E-B9CA-A0AC7F1C48BA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5C-614E-B9CA-A0AC7F1C4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0-914F-98BC-4DAED259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5-F940-8757-2AC5F99106CA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5-F940-8757-2AC5F991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0-A94E-BF74-33356554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3-D346-BE7A-22AB942BC910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3-D346-BE7A-22AB942BC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6-1A48-9904-65468E4F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19-E347-9B62-03218859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21264"/>
        <c:axId val="743384752"/>
      </c:scatterChart>
      <c:valAx>
        <c:axId val="7433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84752"/>
        <c:crosses val="autoZero"/>
        <c:crossBetween val="midCat"/>
      </c:valAx>
      <c:valAx>
        <c:axId val="743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0-3640-9EA8-8E156A7A6156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0-3640-9EA8-8E156A7A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B-2546-A531-1F83B11D82A4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B-2546-A531-1F83B11D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6-454D-8AE5-B334BDAB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EC-864B-9B63-5D04F4612FFA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EC-864B-9B63-5D04F461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A-3F4A-902B-913DD3CE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5-224B-BC3C-FFDB681689F2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C5-224B-BC3C-FFDB6816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F-3446-838C-67C9B2705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C-F241-9741-CE89DF22F9C5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C-F241-9741-CE89DF22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2-AA40-A130-C47465151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F-3B4E-B712-AC0F0982AD0A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F-3B4E-B712-AC0F0982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1-EF4F-94CC-718A4AF6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7-214D-89EB-D9DA81B7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7-2244-A7E5-B9C5693621E6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7-2244-A7E5-B9C56936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F-C64B-9880-B1750F563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0-3D48-9C0B-ABBDBC00F363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0-3D48-9C0B-ABBDBC00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7-D84C-A660-DDBB6786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'Лист1 (3)'!$F$12:$F$20</c:f>
              <c:numCache>
                <c:formatCode>_(* #,##0.00_);_(* \(#,##0.00\);_(* "-"??_);_(@_)</c:formatCode>
                <c:ptCount val="9"/>
                <c:pt idx="0">
                  <c:v>6.0003067292323733</c:v>
                </c:pt>
                <c:pt idx="1">
                  <c:v>4.2378352271584987</c:v>
                </c:pt>
                <c:pt idx="2">
                  <c:v>3.1515673045946908</c:v>
                </c:pt>
                <c:pt idx="3">
                  <c:v>2.4351230161381712</c:v>
                </c:pt>
                <c:pt idx="4">
                  <c:v>1.9378612241440205</c:v>
                </c:pt>
                <c:pt idx="5">
                  <c:v>1.5787056645216577</c:v>
                </c:pt>
                <c:pt idx="6">
                  <c:v>1.3108749094598799</c:v>
                </c:pt>
                <c:pt idx="7">
                  <c:v>1.1058401694970696</c:v>
                </c:pt>
                <c:pt idx="8">
                  <c:v>1.0004303952199654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98-B34C-96B7-0BCA48E3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21264"/>
        <c:axId val="743384752"/>
      </c:scatterChart>
      <c:valAx>
        <c:axId val="7433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84752"/>
        <c:crosses val="autoZero"/>
        <c:crossBetween val="midCat"/>
      </c:valAx>
      <c:valAx>
        <c:axId val="743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(3)'!$C$12:$C$20</c:f>
              <c:numCache>
                <c:formatCode>_(* #,##0.00_);_(* \(#,##0.00\);_(* "-"??_);_(@_)</c:formatCode>
                <c:ptCount val="9"/>
                <c:pt idx="0">
                  <c:v>5.2656082346114337</c:v>
                </c:pt>
                <c:pt idx="1">
                  <c:v>6.2656082346114337</c:v>
                </c:pt>
                <c:pt idx="2">
                  <c:v>7.2656082346114337</c:v>
                </c:pt>
                <c:pt idx="3">
                  <c:v>8.2656082346114346</c:v>
                </c:pt>
                <c:pt idx="4">
                  <c:v>9.2656082346114346</c:v>
                </c:pt>
                <c:pt idx="5">
                  <c:v>10.265608234611435</c:v>
                </c:pt>
                <c:pt idx="6">
                  <c:v>11.265608234611435</c:v>
                </c:pt>
                <c:pt idx="7">
                  <c:v>12.265608234611435</c:v>
                </c:pt>
                <c:pt idx="8">
                  <c:v>12.895608234611434</c:v>
                </c:pt>
              </c:numCache>
            </c:numRef>
          </c:xVal>
          <c:yVal>
            <c:numRef>
              <c:f>'Лист1 (3)'!$D$12:$D$20</c:f>
              <c:numCache>
                <c:formatCode>_(* #,##0.00_);_(* \(#,##0.00\);_(* "-"??_);_(@_)</c:formatCode>
                <c:ptCount val="9"/>
                <c:pt idx="0">
                  <c:v>31.595264523640385</c:v>
                </c:pt>
                <c:pt idx="1">
                  <c:v>26.552615296210707</c:v>
                </c:pt>
                <c:pt idx="2">
                  <c:v>22.898053360195345</c:v>
                </c:pt>
                <c:pt idx="3">
                  <c:v>20.127772854483499</c:v>
                </c:pt>
                <c:pt idx="4">
                  <c:v>17.955462915963032</c:v>
                </c:pt>
                <c:pt idx="5">
                  <c:v>16.206373869741245</c:v>
                </c:pt>
                <c:pt idx="6">
                  <c:v>14.767803174556741</c:v>
                </c:pt>
                <c:pt idx="7">
                  <c:v>13.563802289147361</c:v>
                </c:pt>
                <c:pt idx="8">
                  <c:v>12.901158442754156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8-DA43-B17A-07E44D65B7D3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(3)'!$B$12:$B$20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7.63</c:v>
                </c:pt>
              </c:numCache>
            </c:numRef>
          </c:xVal>
          <c:yVal>
            <c:numRef>
              <c:f>'Лист1 (3)'!$E$12:$E$20</c:f>
              <c:numCache>
                <c:formatCode>_(* #,##0.00_);_(* \(#,##0.00\);_(* "-"??_);_(@_)</c:formatCode>
                <c:ptCount val="9"/>
                <c:pt idx="0" formatCode="_-* #\ ##0.000_-;\-* #\ ##0.000_-;_-* &quot;-&quot;??_-;_-@_-">
                  <c:v>18.69721116344504</c:v>
                </c:pt>
                <c:pt idx="1">
                  <c:v>13.654561936015362</c:v>
                </c:pt>
                <c:pt idx="2">
                  <c:v>10</c:v>
                </c:pt>
                <c:pt idx="3">
                  <c:v>7.2297194942881546</c:v>
                </c:pt>
                <c:pt idx="4">
                  <c:v>5.0574095557676877</c:v>
                </c:pt>
                <c:pt idx="5">
                  <c:v>3.3083205095459007</c:v>
                </c:pt>
                <c:pt idx="6">
                  <c:v>1.8697498143613966</c:v>
                </c:pt>
                <c:pt idx="7">
                  <c:v>0.66574892895201643</c:v>
                </c:pt>
                <c:pt idx="8">
                  <c:v>3.1050825588110342E-3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8-DA43-B17A-07E44D65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7.63</c:v>
                </c:pt>
              </c:numCache>
            </c:numRef>
          </c:xVal>
          <c:yVal>
            <c:numRef>
              <c:f>'Лист1 (3)'!$E$12:$E$20</c:f>
              <c:numCache>
                <c:formatCode>_(* #,##0.00_);_(* \(#,##0.00\);_(* "-"??_);_(@_)</c:formatCode>
                <c:ptCount val="9"/>
                <c:pt idx="0" formatCode="_-* #\ ##0.000_-;\-* #\ ##0.000_-;_-* &quot;-&quot;??_-;_-@_-">
                  <c:v>18.69721116344504</c:v>
                </c:pt>
                <c:pt idx="1">
                  <c:v>13.654561936015362</c:v>
                </c:pt>
                <c:pt idx="2">
                  <c:v>10</c:v>
                </c:pt>
                <c:pt idx="3">
                  <c:v>7.2297194942881546</c:v>
                </c:pt>
                <c:pt idx="4">
                  <c:v>5.0574095557676877</c:v>
                </c:pt>
                <c:pt idx="5">
                  <c:v>3.3083205095459007</c:v>
                </c:pt>
                <c:pt idx="6">
                  <c:v>1.8697498143613966</c:v>
                </c:pt>
                <c:pt idx="7">
                  <c:v>0.66574892895201643</c:v>
                </c:pt>
                <c:pt idx="8">
                  <c:v>3.1050825588110342E-3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A-BE44-B0A4-58F832ED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'Лист1 (5)'!$F$12:$F$20</c:f>
              <c:numCache>
                <c:formatCode>_(* #,##0.00_);_(* \(#,##0.00\);_(* "-"??_);_(@_)</c:formatCode>
                <c:ptCount val="9"/>
                <c:pt idx="0">
                  <c:v>6.0003067292323733</c:v>
                </c:pt>
                <c:pt idx="1">
                  <c:v>4.2378352271584987</c:v>
                </c:pt>
                <c:pt idx="2">
                  <c:v>3.1515673045946908</c:v>
                </c:pt>
                <c:pt idx="3">
                  <c:v>2.4351230161381712</c:v>
                </c:pt>
                <c:pt idx="4">
                  <c:v>1.9378612241440205</c:v>
                </c:pt>
                <c:pt idx="5">
                  <c:v>1.5787056645216577</c:v>
                </c:pt>
                <c:pt idx="6">
                  <c:v>1.3108749094598799</c:v>
                </c:pt>
                <c:pt idx="7">
                  <c:v>1.1058401694970696</c:v>
                </c:pt>
                <c:pt idx="8">
                  <c:v>1.0004303952199654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E-F145-B305-1171DEC8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21264"/>
        <c:axId val="743384752"/>
      </c:scatterChart>
      <c:valAx>
        <c:axId val="7433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84752"/>
        <c:crosses val="autoZero"/>
        <c:crossBetween val="midCat"/>
      </c:valAx>
      <c:valAx>
        <c:axId val="743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(5)'!$C$12:$C$20</c:f>
              <c:numCache>
                <c:formatCode>_(* #,##0.00_);_(* \(#,##0.00\);_(* "-"??_);_(@_)</c:formatCode>
                <c:ptCount val="9"/>
                <c:pt idx="0">
                  <c:v>5.2656082346114337</c:v>
                </c:pt>
                <c:pt idx="1">
                  <c:v>6.2656082346114337</c:v>
                </c:pt>
                <c:pt idx="2">
                  <c:v>7.2656082346114337</c:v>
                </c:pt>
                <c:pt idx="3">
                  <c:v>8.2656082346114346</c:v>
                </c:pt>
                <c:pt idx="4">
                  <c:v>9.2656082346114346</c:v>
                </c:pt>
                <c:pt idx="5">
                  <c:v>10.265608234611435</c:v>
                </c:pt>
                <c:pt idx="6">
                  <c:v>11.265608234611435</c:v>
                </c:pt>
                <c:pt idx="7">
                  <c:v>12.265608234611435</c:v>
                </c:pt>
                <c:pt idx="8">
                  <c:v>12.895608234611434</c:v>
                </c:pt>
              </c:numCache>
            </c:numRef>
          </c:xVal>
          <c:yVal>
            <c:numRef>
              <c:f>'Лист1 (5)'!$D$12:$D$20</c:f>
              <c:numCache>
                <c:formatCode>_(* #,##0.00_);_(* \(#,##0.00\);_(* "-"??_);_(@_)</c:formatCode>
                <c:ptCount val="9"/>
                <c:pt idx="0">
                  <c:v>31.595264523640385</c:v>
                </c:pt>
                <c:pt idx="1">
                  <c:v>26.552615296210707</c:v>
                </c:pt>
                <c:pt idx="2">
                  <c:v>22.898053360195345</c:v>
                </c:pt>
                <c:pt idx="3">
                  <c:v>20.127772854483499</c:v>
                </c:pt>
                <c:pt idx="4">
                  <c:v>17.955462915963032</c:v>
                </c:pt>
                <c:pt idx="5">
                  <c:v>16.206373869741245</c:v>
                </c:pt>
                <c:pt idx="6">
                  <c:v>14.767803174556741</c:v>
                </c:pt>
                <c:pt idx="7">
                  <c:v>13.563802289147361</c:v>
                </c:pt>
                <c:pt idx="8">
                  <c:v>12.901158442754156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1-FF45-BDF8-3B122E6381F7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(5)'!$B$12:$B$20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7.63</c:v>
                </c:pt>
              </c:numCache>
            </c:numRef>
          </c:xVal>
          <c:yVal>
            <c:numRef>
              <c:f>'Лист1 (5)'!$E$12:$E$20</c:f>
              <c:numCache>
                <c:formatCode>_(* #,##0.00_);_(* \(#,##0.00\);_(* "-"??_);_(@_)</c:formatCode>
                <c:ptCount val="9"/>
                <c:pt idx="0" formatCode="_-* #\ ##0.000_-;\-* #\ ##0.000_-;_-* &quot;-&quot;??_-;_-@_-">
                  <c:v>18.69721116344504</c:v>
                </c:pt>
                <c:pt idx="1">
                  <c:v>13.654561936015362</c:v>
                </c:pt>
                <c:pt idx="2">
                  <c:v>10</c:v>
                </c:pt>
                <c:pt idx="3">
                  <c:v>7.2297194942881546</c:v>
                </c:pt>
                <c:pt idx="4">
                  <c:v>5.0574095557676877</c:v>
                </c:pt>
                <c:pt idx="5">
                  <c:v>3.3083205095459007</c:v>
                </c:pt>
                <c:pt idx="6">
                  <c:v>1.8697498143613966</c:v>
                </c:pt>
                <c:pt idx="7">
                  <c:v>0.66574892895201643</c:v>
                </c:pt>
                <c:pt idx="8">
                  <c:v>3.1050825588110342E-3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1-FF45-BDF8-3B122E63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(5)'!$B$12:$B$20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7.63</c:v>
                </c:pt>
              </c:numCache>
            </c:numRef>
          </c:xVal>
          <c:yVal>
            <c:numRef>
              <c:f>'Лист1 (5)'!$E$12:$E$20</c:f>
              <c:numCache>
                <c:formatCode>_(* #,##0.00_);_(* \(#,##0.00\);_(* "-"??_);_(@_)</c:formatCode>
                <c:ptCount val="9"/>
                <c:pt idx="0" formatCode="_-* #\ ##0.000_-;\-* #\ ##0.000_-;_-* &quot;-&quot;??_-;_-@_-">
                  <c:v>18.69721116344504</c:v>
                </c:pt>
                <c:pt idx="1">
                  <c:v>13.654561936015362</c:v>
                </c:pt>
                <c:pt idx="2">
                  <c:v>10</c:v>
                </c:pt>
                <c:pt idx="3">
                  <c:v>7.2297194942881546</c:v>
                </c:pt>
                <c:pt idx="4">
                  <c:v>5.0574095557676877</c:v>
                </c:pt>
                <c:pt idx="5">
                  <c:v>3.3083205095459007</c:v>
                </c:pt>
                <c:pt idx="6">
                  <c:v>1.8697498143613966</c:v>
                </c:pt>
                <c:pt idx="7">
                  <c:v>0.66574892895201643</c:v>
                </c:pt>
                <c:pt idx="8">
                  <c:v>3.1050825588110342E-3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0-1D46-A52B-FD3ADEBA6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2-8D45-8A32-B3D34B3ABCAB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12-8D45-8A32-B3D34B3A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'Лист1 (2)'!$F$12:$F$20</c:f>
              <c:numCache>
                <c:formatCode>_(* #,##0.00_);_(* \(#,##0.00\);_(* "-"??_);_(@_)</c:formatCode>
                <c:ptCount val="9"/>
                <c:pt idx="0">
                  <c:v>6.0003067292323733</c:v>
                </c:pt>
                <c:pt idx="1">
                  <c:v>4.2378352271584987</c:v>
                </c:pt>
                <c:pt idx="2">
                  <c:v>3.1515673045946908</c:v>
                </c:pt>
                <c:pt idx="3">
                  <c:v>2.4351230161381712</c:v>
                </c:pt>
                <c:pt idx="4">
                  <c:v>1.9378612241440205</c:v>
                </c:pt>
                <c:pt idx="5">
                  <c:v>1.5787056645216577</c:v>
                </c:pt>
                <c:pt idx="6">
                  <c:v>1.3108749094598799</c:v>
                </c:pt>
                <c:pt idx="7">
                  <c:v>1.1058401694970696</c:v>
                </c:pt>
                <c:pt idx="8">
                  <c:v>1.0004303952199654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9-5445-93D9-34219B1D5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21264"/>
        <c:axId val="743384752"/>
      </c:scatterChart>
      <c:valAx>
        <c:axId val="7433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84752"/>
        <c:crosses val="autoZero"/>
        <c:crossBetween val="midCat"/>
      </c:valAx>
      <c:valAx>
        <c:axId val="743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(2)'!$C$12:$C$20</c:f>
              <c:numCache>
                <c:formatCode>_(* #,##0.00_);_(* \(#,##0.00\);_(* "-"??_);_(@_)</c:formatCode>
                <c:ptCount val="9"/>
                <c:pt idx="0">
                  <c:v>5.2656082346114337</c:v>
                </c:pt>
                <c:pt idx="1">
                  <c:v>6.2656082346114337</c:v>
                </c:pt>
                <c:pt idx="2">
                  <c:v>7.2656082346114337</c:v>
                </c:pt>
                <c:pt idx="3">
                  <c:v>8.2656082346114346</c:v>
                </c:pt>
                <c:pt idx="4">
                  <c:v>9.2656082346114346</c:v>
                </c:pt>
                <c:pt idx="5">
                  <c:v>10.265608234611435</c:v>
                </c:pt>
                <c:pt idx="6">
                  <c:v>11.265608234611435</c:v>
                </c:pt>
                <c:pt idx="7">
                  <c:v>12.265608234611435</c:v>
                </c:pt>
                <c:pt idx="8">
                  <c:v>12.895608234611434</c:v>
                </c:pt>
              </c:numCache>
            </c:numRef>
          </c:xVal>
          <c:yVal>
            <c:numRef>
              <c:f>'Лист1 (2)'!$D$12:$D$20</c:f>
              <c:numCache>
                <c:formatCode>_(* #,##0.00_);_(* \(#,##0.00\);_(* "-"??_);_(@_)</c:formatCode>
                <c:ptCount val="9"/>
                <c:pt idx="0">
                  <c:v>31.595264523640385</c:v>
                </c:pt>
                <c:pt idx="1">
                  <c:v>26.552615296210707</c:v>
                </c:pt>
                <c:pt idx="2">
                  <c:v>22.898053360195345</c:v>
                </c:pt>
                <c:pt idx="3">
                  <c:v>20.127772854483499</c:v>
                </c:pt>
                <c:pt idx="4">
                  <c:v>17.955462915963032</c:v>
                </c:pt>
                <c:pt idx="5">
                  <c:v>16.206373869741245</c:v>
                </c:pt>
                <c:pt idx="6">
                  <c:v>14.767803174556741</c:v>
                </c:pt>
                <c:pt idx="7">
                  <c:v>13.563802289147361</c:v>
                </c:pt>
                <c:pt idx="8">
                  <c:v>12.901158442754156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A-C84E-9AD4-F3BF2D13B49E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'Лист1 (2)'!$B$12:$B$20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7.63</c:v>
                </c:pt>
              </c:numCache>
            </c:numRef>
          </c:xVal>
          <c:yVal>
            <c:numRef>
              <c:f>'Лист1 (2)'!$E$12:$E$20</c:f>
              <c:numCache>
                <c:formatCode>_(* #,##0.00_);_(* \(#,##0.00\);_(* "-"??_);_(@_)</c:formatCode>
                <c:ptCount val="9"/>
                <c:pt idx="0" formatCode="_-* #\ ##0.000_-;\-* #\ ##0.000_-;_-* &quot;-&quot;??_-;_-@_-">
                  <c:v>18.69721116344504</c:v>
                </c:pt>
                <c:pt idx="1">
                  <c:v>13.654561936015362</c:v>
                </c:pt>
                <c:pt idx="2">
                  <c:v>10</c:v>
                </c:pt>
                <c:pt idx="3">
                  <c:v>7.2297194942881546</c:v>
                </c:pt>
                <c:pt idx="4">
                  <c:v>5.0574095557676877</c:v>
                </c:pt>
                <c:pt idx="5">
                  <c:v>3.3083205095459007</c:v>
                </c:pt>
                <c:pt idx="6">
                  <c:v>1.8697498143613966</c:v>
                </c:pt>
                <c:pt idx="7">
                  <c:v>0.66574892895201643</c:v>
                </c:pt>
                <c:pt idx="8">
                  <c:v>3.1050825588110342E-3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4A-C84E-9AD4-F3BF2D13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7.63</c:v>
                </c:pt>
              </c:numCache>
            </c:numRef>
          </c:xVal>
          <c:yVal>
            <c:numRef>
              <c:f>'Лист1 (2)'!$E$12:$E$20</c:f>
              <c:numCache>
                <c:formatCode>_(* #,##0.00_);_(* \(#,##0.00\);_(* "-"??_);_(@_)</c:formatCode>
                <c:ptCount val="9"/>
                <c:pt idx="0" formatCode="_-* #\ ##0.000_-;\-* #\ ##0.000_-;_-* &quot;-&quot;??_-;_-@_-">
                  <c:v>18.69721116344504</c:v>
                </c:pt>
                <c:pt idx="1">
                  <c:v>13.654561936015362</c:v>
                </c:pt>
                <c:pt idx="2">
                  <c:v>10</c:v>
                </c:pt>
                <c:pt idx="3">
                  <c:v>7.2297194942881546</c:v>
                </c:pt>
                <c:pt idx="4">
                  <c:v>5.0574095557676877</c:v>
                </c:pt>
                <c:pt idx="5">
                  <c:v>3.3083205095459007</c:v>
                </c:pt>
                <c:pt idx="6">
                  <c:v>1.8697498143613966</c:v>
                </c:pt>
                <c:pt idx="7">
                  <c:v>0.66574892895201643</c:v>
                </c:pt>
                <c:pt idx="8">
                  <c:v>3.1050825588110342E-3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8-ED43-94C4-DD1F1D3E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Лист1!$F$12:$F$20</c:f>
              <c:numCache>
                <c:formatCode>_(* #,##0.00_);_(* \(#,##0.00\);_(* "-"??_);_(@_)</c:formatCode>
                <c:ptCount val="9"/>
                <c:pt idx="0">
                  <c:v>6.0003067292323733</c:v>
                </c:pt>
                <c:pt idx="1">
                  <c:v>4.2378352271584987</c:v>
                </c:pt>
                <c:pt idx="2">
                  <c:v>3.1515673045946908</c:v>
                </c:pt>
                <c:pt idx="3">
                  <c:v>2.4351230161381712</c:v>
                </c:pt>
                <c:pt idx="4">
                  <c:v>1.9378612241440205</c:v>
                </c:pt>
                <c:pt idx="5">
                  <c:v>1.5787056645216577</c:v>
                </c:pt>
                <c:pt idx="6">
                  <c:v>1.3108749094598799</c:v>
                </c:pt>
                <c:pt idx="7">
                  <c:v>1.1058401694970696</c:v>
                </c:pt>
                <c:pt idx="8">
                  <c:v>1.0004303952199654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E-564F-B525-FCC6630F8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21264"/>
        <c:axId val="743384752"/>
      </c:scatterChart>
      <c:valAx>
        <c:axId val="7433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84752"/>
        <c:crosses val="autoZero"/>
        <c:crossBetween val="midCat"/>
      </c:valAx>
      <c:valAx>
        <c:axId val="743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3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Лист1!$C$12:$C$20</c:f>
              <c:numCache>
                <c:formatCode>_(* #,##0.00_);_(* \(#,##0.00\);_(* "-"??_);_(@_)</c:formatCode>
                <c:ptCount val="9"/>
                <c:pt idx="0">
                  <c:v>5.2656082346114337</c:v>
                </c:pt>
                <c:pt idx="1">
                  <c:v>6.2656082346114337</c:v>
                </c:pt>
                <c:pt idx="2">
                  <c:v>7.2656082346114337</c:v>
                </c:pt>
                <c:pt idx="3">
                  <c:v>8.2656082346114346</c:v>
                </c:pt>
                <c:pt idx="4">
                  <c:v>9.2656082346114346</c:v>
                </c:pt>
                <c:pt idx="5">
                  <c:v>10.265608234611435</c:v>
                </c:pt>
                <c:pt idx="6">
                  <c:v>11.265608234611435</c:v>
                </c:pt>
                <c:pt idx="7">
                  <c:v>12.265608234611435</c:v>
                </c:pt>
                <c:pt idx="8">
                  <c:v>12.895608234611434</c:v>
                </c:pt>
              </c:numCache>
            </c:numRef>
          </c:xVal>
          <c:yVal>
            <c:numRef>
              <c:f>Лист1!$D$12:$D$20</c:f>
              <c:numCache>
                <c:formatCode>_(* #,##0.00_);_(* \(#,##0.00\);_(* "-"??_);_(@_)</c:formatCode>
                <c:ptCount val="9"/>
                <c:pt idx="0">
                  <c:v>31.595264523640385</c:v>
                </c:pt>
                <c:pt idx="1">
                  <c:v>26.552615296210707</c:v>
                </c:pt>
                <c:pt idx="2">
                  <c:v>22.898053360195345</c:v>
                </c:pt>
                <c:pt idx="3">
                  <c:v>20.127772854483499</c:v>
                </c:pt>
                <c:pt idx="4">
                  <c:v>17.955462915963032</c:v>
                </c:pt>
                <c:pt idx="5">
                  <c:v>16.206373869741245</c:v>
                </c:pt>
                <c:pt idx="6">
                  <c:v>14.767803174556741</c:v>
                </c:pt>
                <c:pt idx="7">
                  <c:v>13.563802289147361</c:v>
                </c:pt>
                <c:pt idx="8">
                  <c:v>12.901158442754156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B-7446-9784-454EAB81F586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7.63</c:v>
                </c:pt>
              </c:numCache>
            </c:numRef>
          </c:xVal>
          <c:yVal>
            <c:numRef>
              <c:f>Лист1!$E$12:$E$20</c:f>
              <c:numCache>
                <c:formatCode>_(* #,##0.00_);_(* \(#,##0.00\);_(* "-"??_);_(@_)</c:formatCode>
                <c:ptCount val="9"/>
                <c:pt idx="0" formatCode="_-* #\ ##0.000_-;\-* #\ ##0.000_-;_-* &quot;-&quot;??_-;_-@_-">
                  <c:v>18.69721116344504</c:v>
                </c:pt>
                <c:pt idx="1">
                  <c:v>13.654561936015362</c:v>
                </c:pt>
                <c:pt idx="2">
                  <c:v>10</c:v>
                </c:pt>
                <c:pt idx="3">
                  <c:v>7.2297194942881546</c:v>
                </c:pt>
                <c:pt idx="4">
                  <c:v>5.0574095557676877</c:v>
                </c:pt>
                <c:pt idx="5">
                  <c:v>3.3083205095459007</c:v>
                </c:pt>
                <c:pt idx="6">
                  <c:v>1.8697498143613966</c:v>
                </c:pt>
                <c:pt idx="7">
                  <c:v>0.66574892895201643</c:v>
                </c:pt>
                <c:pt idx="8">
                  <c:v>3.1050825588110342E-3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3B-7446-9784-454EAB81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7.63</c:v>
                </c:pt>
              </c:numCache>
            </c:numRef>
          </c:xVal>
          <c:yVal>
            <c:numRef>
              <c:f>Лист1!$E$12:$E$20</c:f>
              <c:numCache>
                <c:formatCode>_(* #,##0.00_);_(* \(#,##0.00\);_(* "-"??_);_(@_)</c:formatCode>
                <c:ptCount val="9"/>
                <c:pt idx="0" formatCode="_-* #\ ##0.000_-;\-* #\ ##0.000_-;_-* &quot;-&quot;??_-;_-@_-">
                  <c:v>18.69721116344504</c:v>
                </c:pt>
                <c:pt idx="1">
                  <c:v>13.654561936015362</c:v>
                </c:pt>
                <c:pt idx="2">
                  <c:v>10</c:v>
                </c:pt>
                <c:pt idx="3">
                  <c:v>7.2297194942881546</c:v>
                </c:pt>
                <c:pt idx="4">
                  <c:v>5.0574095557676877</c:v>
                </c:pt>
                <c:pt idx="5">
                  <c:v>3.3083205095459007</c:v>
                </c:pt>
                <c:pt idx="6">
                  <c:v>1.8697498143613966</c:v>
                </c:pt>
                <c:pt idx="7">
                  <c:v>0.66574892895201643</c:v>
                </c:pt>
                <c:pt idx="8">
                  <c:v>3.1050825588110342E-3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C-7341-8D14-D459B4B9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Prov_R</a:t>
            </a:r>
            <a:endParaRPr lang="ru-RU"/>
          </a:p>
        </c:rich>
      </c:tx>
      <c:layout>
        <c:manualLayout>
          <c:xMode val="edge"/>
          <c:yMode val="edge"/>
          <c:x val="0.40668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9-EC42-9FDB-A046CD84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1936"/>
        <c:axId val="764897520"/>
      </c:scatterChart>
      <c:valAx>
        <c:axId val="764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97520"/>
        <c:crosses val="autoZero"/>
        <c:crossBetween val="midCat"/>
      </c:valAx>
      <c:valAx>
        <c:axId val="7648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48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8-F347-A04F-1CD145EAAFDD}"/>
            </c:ext>
          </c:extLst>
        </c:ser>
        <c:ser>
          <c:idx val="1"/>
          <c:order val="1"/>
          <c:tx>
            <c:v>Prov_R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tst0!#REF!</c:f>
            </c:numRef>
          </c:xVal>
          <c:yVal>
            <c:numRef>
              <c:f>tst0!#REF!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8-F347-A04F-1CD145EA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2624"/>
        <c:axId val="770066592"/>
      </c:scatterChart>
      <c:valAx>
        <c:axId val="7500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066592"/>
        <c:crosses val="autoZero"/>
        <c:crossBetween val="midCat"/>
      </c:valAx>
      <c:valAx>
        <c:axId val="770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107950</xdr:rowOff>
    </xdr:from>
    <xdr:to>
      <xdr:col>2</xdr:col>
      <xdr:colOff>2921000</xdr:colOff>
      <xdr:row>37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5CF8CC-3D67-2644-9F2B-361491448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23</xdr:row>
      <xdr:rowOff>57150</xdr:rowOff>
    </xdr:from>
    <xdr:to>
      <xdr:col>9</xdr:col>
      <xdr:colOff>698500</xdr:colOff>
      <xdr:row>40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4864283-DB28-B343-9F10-D5E43AB1F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23</xdr:row>
      <xdr:rowOff>95250</xdr:rowOff>
    </xdr:from>
    <xdr:to>
      <xdr:col>16</xdr:col>
      <xdr:colOff>196850</xdr:colOff>
      <xdr:row>36</xdr:row>
      <xdr:rowOff>196850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82F400-761C-6248-A704-AD1266B2E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7F6AA1-FE2E-6D4C-BBDC-A27E7C3A4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698500</xdr:colOff>
      <xdr:row>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A41DC8-78B0-A74C-830C-E19D8985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1</xdr:row>
      <xdr:rowOff>0</xdr:rowOff>
    </xdr:from>
    <xdr:to>
      <xdr:col>8</xdr:col>
      <xdr:colOff>196850</xdr:colOff>
      <xdr:row>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D2BE6F4-3FB0-B342-B16D-F998E1364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</xdr:col>
      <xdr:colOff>698500</xdr:colOff>
      <xdr:row>15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B28DE61-86C8-394B-9C2E-B41109FDA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400050</xdr:colOff>
      <xdr:row>15</xdr:row>
      <xdr:rowOff>0</xdr:rowOff>
    </xdr:from>
    <xdr:to>
      <xdr:col>8</xdr:col>
      <xdr:colOff>196850</xdr:colOff>
      <xdr:row>15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84DAD69-CD8E-4648-B3E5-A70B76D57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</xdr:col>
      <xdr:colOff>698500</xdr:colOff>
      <xdr:row>29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DF71A35-54AF-0E41-85F0-2D9B0D402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400050</xdr:colOff>
      <xdr:row>29</xdr:row>
      <xdr:rowOff>0</xdr:rowOff>
    </xdr:from>
    <xdr:to>
      <xdr:col>8</xdr:col>
      <xdr:colOff>196850</xdr:colOff>
      <xdr:row>29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51F37AB-4161-BA4F-B6B9-9FD598E9F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13</xdr:col>
      <xdr:colOff>698500</xdr:colOff>
      <xdr:row>29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802A8B1-4305-394C-99A0-7FE868149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400050</xdr:colOff>
      <xdr:row>29</xdr:row>
      <xdr:rowOff>0</xdr:rowOff>
    </xdr:from>
    <xdr:to>
      <xdr:col>20</xdr:col>
      <xdr:colOff>196850</xdr:colOff>
      <xdr:row>29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7E71F17-C62B-6145-8987-824E49F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</xdr:col>
      <xdr:colOff>698500</xdr:colOff>
      <xdr:row>43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BFFB63F-89F6-9C41-8423-D27C54FD1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400050</xdr:colOff>
      <xdr:row>43</xdr:row>
      <xdr:rowOff>0</xdr:rowOff>
    </xdr:from>
    <xdr:to>
      <xdr:col>8</xdr:col>
      <xdr:colOff>196850</xdr:colOff>
      <xdr:row>43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9392694-CCA8-D746-AA2A-AB00E9CC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</xdr:col>
      <xdr:colOff>698500</xdr:colOff>
      <xdr:row>57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9B09883-F065-5946-9195-3FC9F0C8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400050</xdr:colOff>
      <xdr:row>57</xdr:row>
      <xdr:rowOff>0</xdr:rowOff>
    </xdr:from>
    <xdr:to>
      <xdr:col>8</xdr:col>
      <xdr:colOff>196850</xdr:colOff>
      <xdr:row>57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982C0B5-0092-B147-8C71-7C3AB6507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1</xdr:col>
      <xdr:colOff>698500</xdr:colOff>
      <xdr:row>71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04DF751-8CFE-794C-9EB3-91B62A00F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400050</xdr:colOff>
      <xdr:row>71</xdr:row>
      <xdr:rowOff>0</xdr:rowOff>
    </xdr:from>
    <xdr:to>
      <xdr:col>8</xdr:col>
      <xdr:colOff>196850</xdr:colOff>
      <xdr:row>71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35EF350-4903-D642-A014-B6A51EAD3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D7D1D6-BCD3-8943-A6C0-B9DDAF5D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698500</xdr:colOff>
      <xdr:row>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7D6FBA-3D5B-4942-883D-BED81B608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1</xdr:row>
      <xdr:rowOff>0</xdr:rowOff>
    </xdr:from>
    <xdr:to>
      <xdr:col>8</xdr:col>
      <xdr:colOff>196850</xdr:colOff>
      <xdr:row>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5452CAD-D3EA-7D40-857E-DAA5D1AF8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</xdr:col>
      <xdr:colOff>698500</xdr:colOff>
      <xdr:row>15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B8EAD0E-CCED-E146-BE80-164FA9308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400050</xdr:colOff>
      <xdr:row>15</xdr:row>
      <xdr:rowOff>0</xdr:rowOff>
    </xdr:from>
    <xdr:to>
      <xdr:col>8</xdr:col>
      <xdr:colOff>196850</xdr:colOff>
      <xdr:row>15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BC22EA1-BCFF-1B4E-9272-8DC405B67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</xdr:col>
      <xdr:colOff>698500</xdr:colOff>
      <xdr:row>29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EF5C81D-02E8-6A44-819A-84A6F0E79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400050</xdr:colOff>
      <xdr:row>29</xdr:row>
      <xdr:rowOff>0</xdr:rowOff>
    </xdr:from>
    <xdr:to>
      <xdr:col>8</xdr:col>
      <xdr:colOff>196850</xdr:colOff>
      <xdr:row>29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9FDFD8D-7F28-424F-BEE8-02D7D5FFF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13</xdr:col>
      <xdr:colOff>698500</xdr:colOff>
      <xdr:row>29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D081F95-EA25-FA41-97DF-BD2A453D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400050</xdr:colOff>
      <xdr:row>29</xdr:row>
      <xdr:rowOff>0</xdr:rowOff>
    </xdr:from>
    <xdr:to>
      <xdr:col>20</xdr:col>
      <xdr:colOff>196850</xdr:colOff>
      <xdr:row>29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3858E1E-A026-7641-8690-56DD5BDD6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</xdr:col>
      <xdr:colOff>698500</xdr:colOff>
      <xdr:row>43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BB8F5E1-572B-E240-BC53-9E3223F3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400050</xdr:colOff>
      <xdr:row>43</xdr:row>
      <xdr:rowOff>0</xdr:rowOff>
    </xdr:from>
    <xdr:to>
      <xdr:col>8</xdr:col>
      <xdr:colOff>196850</xdr:colOff>
      <xdr:row>43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513BA20-B3AB-E645-810D-8E304E66C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</xdr:col>
      <xdr:colOff>698500</xdr:colOff>
      <xdr:row>57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4674BD5A-27A9-6846-8088-74764128A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400050</xdr:colOff>
      <xdr:row>57</xdr:row>
      <xdr:rowOff>0</xdr:rowOff>
    </xdr:from>
    <xdr:to>
      <xdr:col>8</xdr:col>
      <xdr:colOff>196850</xdr:colOff>
      <xdr:row>57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0AEC502-671F-7A48-BC48-3B34545FE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1</xdr:col>
      <xdr:colOff>698500</xdr:colOff>
      <xdr:row>71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9E76B098-F1A1-4E43-B836-62B16538D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400050</xdr:colOff>
      <xdr:row>71</xdr:row>
      <xdr:rowOff>0</xdr:rowOff>
    </xdr:from>
    <xdr:to>
      <xdr:col>8</xdr:col>
      <xdr:colOff>196850</xdr:colOff>
      <xdr:row>71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E0239C5-432E-344B-A076-9612AB84E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273CB9-4B42-1741-B94A-2352675F7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698500</xdr:colOff>
      <xdr:row>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C1159A-1D4A-EE47-AD9E-8506B90AC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1</xdr:row>
      <xdr:rowOff>0</xdr:rowOff>
    </xdr:from>
    <xdr:to>
      <xdr:col>8</xdr:col>
      <xdr:colOff>196850</xdr:colOff>
      <xdr:row>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123C432-46E4-6E41-924C-55CA061CC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</xdr:col>
      <xdr:colOff>698500</xdr:colOff>
      <xdr:row>15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56C209-60EE-1D41-8190-A460D9D0D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400050</xdr:colOff>
      <xdr:row>15</xdr:row>
      <xdr:rowOff>0</xdr:rowOff>
    </xdr:from>
    <xdr:to>
      <xdr:col>8</xdr:col>
      <xdr:colOff>196850</xdr:colOff>
      <xdr:row>15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38256D1-E5C8-0A41-BF43-646A6CC1D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</xdr:col>
      <xdr:colOff>698500</xdr:colOff>
      <xdr:row>29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45F174D-3256-5F40-947F-71F321CC6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400050</xdr:colOff>
      <xdr:row>29</xdr:row>
      <xdr:rowOff>0</xdr:rowOff>
    </xdr:from>
    <xdr:to>
      <xdr:col>8</xdr:col>
      <xdr:colOff>196850</xdr:colOff>
      <xdr:row>29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1F248B9-FFC5-514A-8134-52B18392F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13</xdr:col>
      <xdr:colOff>698500</xdr:colOff>
      <xdr:row>29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36FAAF8-1724-9547-9953-0A10E3E0E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400050</xdr:colOff>
      <xdr:row>29</xdr:row>
      <xdr:rowOff>0</xdr:rowOff>
    </xdr:from>
    <xdr:to>
      <xdr:col>20</xdr:col>
      <xdr:colOff>196850</xdr:colOff>
      <xdr:row>29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76F5F7A-285F-3C47-A401-23495D9A7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</xdr:col>
      <xdr:colOff>698500</xdr:colOff>
      <xdr:row>43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F3986CD-61A8-944C-AA37-81E4B9860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400050</xdr:colOff>
      <xdr:row>43</xdr:row>
      <xdr:rowOff>0</xdr:rowOff>
    </xdr:from>
    <xdr:to>
      <xdr:col>8</xdr:col>
      <xdr:colOff>196850</xdr:colOff>
      <xdr:row>43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B627B21-8F83-6748-93F6-1E7539B18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</xdr:col>
      <xdr:colOff>698500</xdr:colOff>
      <xdr:row>57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70F59B6-B354-8B42-9627-43DA1C591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400050</xdr:colOff>
      <xdr:row>57</xdr:row>
      <xdr:rowOff>0</xdr:rowOff>
    </xdr:from>
    <xdr:to>
      <xdr:col>8</xdr:col>
      <xdr:colOff>196850</xdr:colOff>
      <xdr:row>57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CBA5BFA-E4C6-634E-950C-322E9FC03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1</xdr:col>
      <xdr:colOff>698500</xdr:colOff>
      <xdr:row>71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BDC7D399-0DC3-5142-ACB5-AD1B1600E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400050</xdr:colOff>
      <xdr:row>71</xdr:row>
      <xdr:rowOff>0</xdr:rowOff>
    </xdr:from>
    <xdr:to>
      <xdr:col>8</xdr:col>
      <xdr:colOff>196850</xdr:colOff>
      <xdr:row>71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E501BFE-0E9F-A949-AF14-15574B8E2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1AB223-810E-D549-A623-0510768F8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698500</xdr:colOff>
      <xdr:row>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2BC18F-ECEB-E24B-BAE1-57B739AFA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1</xdr:row>
      <xdr:rowOff>0</xdr:rowOff>
    </xdr:from>
    <xdr:to>
      <xdr:col>8</xdr:col>
      <xdr:colOff>196850</xdr:colOff>
      <xdr:row>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C39D42-FD98-E246-AE50-EF7D81951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</xdr:col>
      <xdr:colOff>698500</xdr:colOff>
      <xdr:row>15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2B3CCBA-C26F-6344-B5AC-D06AB88C8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400050</xdr:colOff>
      <xdr:row>15</xdr:row>
      <xdr:rowOff>0</xdr:rowOff>
    </xdr:from>
    <xdr:to>
      <xdr:col>8</xdr:col>
      <xdr:colOff>196850</xdr:colOff>
      <xdr:row>15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8B40874-A3D7-FD4B-AC1C-55386432D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</xdr:col>
      <xdr:colOff>698500</xdr:colOff>
      <xdr:row>29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375B369-2A7C-8D43-BF49-1E13545E6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400050</xdr:colOff>
      <xdr:row>29</xdr:row>
      <xdr:rowOff>0</xdr:rowOff>
    </xdr:from>
    <xdr:to>
      <xdr:col>8</xdr:col>
      <xdr:colOff>196850</xdr:colOff>
      <xdr:row>29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B454D62-9441-F54F-A607-ACB245264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13</xdr:col>
      <xdr:colOff>698500</xdr:colOff>
      <xdr:row>29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98EA770-75C5-CA41-979E-9A5D80FEF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400050</xdr:colOff>
      <xdr:row>29</xdr:row>
      <xdr:rowOff>0</xdr:rowOff>
    </xdr:from>
    <xdr:to>
      <xdr:col>20</xdr:col>
      <xdr:colOff>196850</xdr:colOff>
      <xdr:row>29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AA63ABC-2427-5C41-8915-56FD326E7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</xdr:col>
      <xdr:colOff>698500</xdr:colOff>
      <xdr:row>43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92F8B4C-6BBB-F64F-B4CF-7C410800D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400050</xdr:colOff>
      <xdr:row>43</xdr:row>
      <xdr:rowOff>0</xdr:rowOff>
    </xdr:from>
    <xdr:to>
      <xdr:col>8</xdr:col>
      <xdr:colOff>196850</xdr:colOff>
      <xdr:row>43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6560E71-35CE-1044-9059-1E6CE42DE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</xdr:col>
      <xdr:colOff>698500</xdr:colOff>
      <xdr:row>57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ADB6829-59FD-984A-9996-7B1A224FD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400050</xdr:colOff>
      <xdr:row>57</xdr:row>
      <xdr:rowOff>0</xdr:rowOff>
    </xdr:from>
    <xdr:to>
      <xdr:col>8</xdr:col>
      <xdr:colOff>196850</xdr:colOff>
      <xdr:row>57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7124BCF-6FAB-7947-B8FB-A8077D39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1</xdr:col>
      <xdr:colOff>698500</xdr:colOff>
      <xdr:row>71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FB354F3-C2A6-6540-83D7-771DACE43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400050</xdr:colOff>
      <xdr:row>71</xdr:row>
      <xdr:rowOff>0</xdr:rowOff>
    </xdr:from>
    <xdr:to>
      <xdr:col>8</xdr:col>
      <xdr:colOff>196850</xdr:colOff>
      <xdr:row>71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9ECA8B63-D92C-0148-B048-13FE33BFE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107950</xdr:rowOff>
    </xdr:from>
    <xdr:to>
      <xdr:col>2</xdr:col>
      <xdr:colOff>2921000</xdr:colOff>
      <xdr:row>37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7DBBFB-14C7-3342-8780-96B468C52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23</xdr:row>
      <xdr:rowOff>57150</xdr:rowOff>
    </xdr:from>
    <xdr:to>
      <xdr:col>9</xdr:col>
      <xdr:colOff>698500</xdr:colOff>
      <xdr:row>40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AA677D-6976-E44F-ACA0-3753A4B0D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23</xdr:row>
      <xdr:rowOff>95250</xdr:rowOff>
    </xdr:from>
    <xdr:to>
      <xdr:col>16</xdr:col>
      <xdr:colOff>196850</xdr:colOff>
      <xdr:row>36</xdr:row>
      <xdr:rowOff>196850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7975350-B2A2-F342-9EE1-1BE5505FC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107950</xdr:rowOff>
    </xdr:from>
    <xdr:to>
      <xdr:col>2</xdr:col>
      <xdr:colOff>2921000</xdr:colOff>
      <xdr:row>37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6F7102-9E4A-0846-B88B-BA5BD86EB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23</xdr:row>
      <xdr:rowOff>57150</xdr:rowOff>
    </xdr:from>
    <xdr:to>
      <xdr:col>9</xdr:col>
      <xdr:colOff>698500</xdr:colOff>
      <xdr:row>40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82182C-9434-2341-B1AD-584BA355D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23</xdr:row>
      <xdr:rowOff>95250</xdr:rowOff>
    </xdr:from>
    <xdr:to>
      <xdr:col>16</xdr:col>
      <xdr:colOff>196850</xdr:colOff>
      <xdr:row>36</xdr:row>
      <xdr:rowOff>196850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866CC5B-D04E-C04E-BD6D-06489CCC8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107950</xdr:rowOff>
    </xdr:from>
    <xdr:to>
      <xdr:col>2</xdr:col>
      <xdr:colOff>2921000</xdr:colOff>
      <xdr:row>37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ECF9EB-82D3-E441-BC86-F40DEDC6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23</xdr:row>
      <xdr:rowOff>57150</xdr:rowOff>
    </xdr:from>
    <xdr:to>
      <xdr:col>9</xdr:col>
      <xdr:colOff>698500</xdr:colOff>
      <xdr:row>40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1757CCA-7151-6C4B-9346-730518063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23</xdr:row>
      <xdr:rowOff>95250</xdr:rowOff>
    </xdr:from>
    <xdr:to>
      <xdr:col>16</xdr:col>
      <xdr:colOff>196850</xdr:colOff>
      <xdr:row>36</xdr:row>
      <xdr:rowOff>196850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41A505-9D50-104A-B4AD-FF017C5D9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107950</xdr:rowOff>
    </xdr:from>
    <xdr:to>
      <xdr:col>2</xdr:col>
      <xdr:colOff>2921000</xdr:colOff>
      <xdr:row>37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02EAE4-DACF-6841-A6DC-8328B3012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23</xdr:row>
      <xdr:rowOff>57150</xdr:rowOff>
    </xdr:from>
    <xdr:to>
      <xdr:col>9</xdr:col>
      <xdr:colOff>698500</xdr:colOff>
      <xdr:row>40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C99283-265E-8E4A-B50F-F62F6DA1E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23</xdr:row>
      <xdr:rowOff>95250</xdr:rowOff>
    </xdr:from>
    <xdr:to>
      <xdr:col>16</xdr:col>
      <xdr:colOff>196850</xdr:colOff>
      <xdr:row>36</xdr:row>
      <xdr:rowOff>196850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80B754-D13E-D840-9EB6-F2D65D0BA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F4F5-AF1C-1D43-B365-CC745D0E8E01}">
  <dimension ref="A2:AC74"/>
  <sheetViews>
    <sheetView zoomScale="90" zoomScaleNormal="90" workbookViewId="0">
      <selection activeCell="I16" sqref="I16"/>
    </sheetView>
  </sheetViews>
  <sheetFormatPr baseColWidth="10" defaultRowHeight="16" x14ac:dyDescent="0.2"/>
  <cols>
    <col min="2" max="2" width="5.83203125" customWidth="1"/>
    <col min="3" max="7" width="9.33203125" customWidth="1"/>
    <col min="8" max="9" width="15.6640625" customWidth="1"/>
    <col min="10" max="10" width="12.6640625" customWidth="1"/>
    <col min="11" max="13" width="9.33203125" customWidth="1"/>
  </cols>
  <sheetData>
    <row r="2" spans="1:23" x14ac:dyDescent="0.2">
      <c r="B2" s="21" t="s">
        <v>4</v>
      </c>
      <c r="C2" s="19">
        <v>12.898053360195345</v>
      </c>
      <c r="D2" s="1"/>
    </row>
    <row r="3" spans="1:23" x14ac:dyDescent="0.2">
      <c r="B3" s="21" t="s">
        <v>5</v>
      </c>
      <c r="C3" s="6">
        <f>(C4+C2/SQRT(C8))*(C5+C2*SQRT(C7))</f>
        <v>166.36828505040731</v>
      </c>
      <c r="D3" s="1">
        <f>ABS(C3-C2^2)</f>
        <v>8.5045679608981573E-3</v>
      </c>
      <c r="E3" s="1"/>
      <c r="F3" s="1"/>
    </row>
    <row r="4" spans="1:23" x14ac:dyDescent="0.2">
      <c r="B4" s="21" t="s">
        <v>2</v>
      </c>
      <c r="C4" s="5">
        <v>2</v>
      </c>
      <c r="R4" s="7" t="s">
        <v>21</v>
      </c>
      <c r="S4" s="7" t="s">
        <v>15</v>
      </c>
      <c r="T4" s="7" t="s">
        <v>22</v>
      </c>
      <c r="U4" s="7" t="s">
        <v>23</v>
      </c>
      <c r="V4" s="7" t="s">
        <v>24</v>
      </c>
      <c r="W4" s="24" t="s">
        <v>25</v>
      </c>
    </row>
    <row r="5" spans="1:23" x14ac:dyDescent="0.2">
      <c r="B5" s="21" t="s">
        <v>3</v>
      </c>
      <c r="C5" s="5">
        <v>10</v>
      </c>
      <c r="R5" s="7" t="s">
        <v>16</v>
      </c>
      <c r="S5" s="7">
        <v>1</v>
      </c>
      <c r="T5" s="7">
        <v>3000</v>
      </c>
      <c r="U5" s="7">
        <v>4100</v>
      </c>
      <c r="V5" s="7"/>
      <c r="W5">
        <v>4000</v>
      </c>
    </row>
    <row r="6" spans="1:23" x14ac:dyDescent="0.2">
      <c r="B6" s="21" t="s">
        <v>10</v>
      </c>
      <c r="C6" s="5">
        <f>C5/C4</f>
        <v>5</v>
      </c>
      <c r="R6" s="7" t="s">
        <v>17</v>
      </c>
      <c r="S6" s="7">
        <v>2</v>
      </c>
      <c r="T6" s="7">
        <f>U6-200</f>
        <v>2800</v>
      </c>
      <c r="U6" s="7">
        <f>T5</f>
        <v>3000</v>
      </c>
      <c r="V6" s="7"/>
    </row>
    <row r="7" spans="1:23" x14ac:dyDescent="0.2">
      <c r="B7" s="21" t="s">
        <v>0</v>
      </c>
      <c r="C7" s="5">
        <v>1</v>
      </c>
      <c r="R7" s="68" t="s">
        <v>18</v>
      </c>
      <c r="S7" s="7">
        <v>3</v>
      </c>
      <c r="T7" s="7">
        <f t="shared" ref="T7:T24" si="0">U7-200</f>
        <v>2600</v>
      </c>
      <c r="U7" s="7">
        <f t="shared" ref="U7:U24" si="1">T6</f>
        <v>2800</v>
      </c>
      <c r="V7" s="7"/>
    </row>
    <row r="8" spans="1:23" x14ac:dyDescent="0.2">
      <c r="B8" s="21" t="s">
        <v>1</v>
      </c>
      <c r="C8" s="5">
        <v>6</v>
      </c>
      <c r="R8" s="68"/>
      <c r="S8" s="7">
        <v>4</v>
      </c>
      <c r="T8" s="7">
        <f t="shared" si="0"/>
        <v>2400</v>
      </c>
      <c r="U8" s="7">
        <f t="shared" si="1"/>
        <v>2600</v>
      </c>
      <c r="V8" s="7"/>
    </row>
    <row r="9" spans="1:23" x14ac:dyDescent="0.2">
      <c r="R9" s="68"/>
      <c r="S9" s="7">
        <v>5</v>
      </c>
      <c r="T9" s="7">
        <f t="shared" si="0"/>
        <v>2200</v>
      </c>
      <c r="U9" s="7">
        <f t="shared" si="1"/>
        <v>2400</v>
      </c>
      <c r="V9" s="7"/>
    </row>
    <row r="10" spans="1:23" x14ac:dyDescent="0.2">
      <c r="B10" s="21" t="s">
        <v>9</v>
      </c>
      <c r="C10" s="21" t="s">
        <v>6</v>
      </c>
      <c r="D10" s="21" t="s">
        <v>7</v>
      </c>
      <c r="E10" s="21" t="s">
        <v>8</v>
      </c>
      <c r="F10" s="21" t="s">
        <v>10</v>
      </c>
      <c r="G10" s="21" t="s">
        <v>5</v>
      </c>
      <c r="H10" s="21" t="s">
        <v>4</v>
      </c>
      <c r="I10" s="69" t="s">
        <v>14</v>
      </c>
      <c r="J10" s="69"/>
      <c r="K10" s="69" t="s">
        <v>11</v>
      </c>
      <c r="L10" s="69"/>
      <c r="R10" s="68"/>
      <c r="S10" s="7">
        <v>6</v>
      </c>
      <c r="T10" s="7">
        <f t="shared" si="0"/>
        <v>2000</v>
      </c>
      <c r="U10" s="7">
        <f t="shared" si="1"/>
        <v>2200</v>
      </c>
      <c r="V10" s="7"/>
    </row>
    <row r="11" spans="1:23" x14ac:dyDescent="0.2">
      <c r="B11" s="70"/>
      <c r="C11" s="71"/>
      <c r="D11" s="71"/>
      <c r="E11" s="72"/>
      <c r="F11" s="5" t="s">
        <v>12</v>
      </c>
      <c r="G11" s="70"/>
      <c r="H11" s="72"/>
      <c r="I11" s="5">
        <v>0</v>
      </c>
      <c r="J11" s="25">
        <f>SQRT(F12)-SQRT(F20)</f>
        <v>1.4493371783654252</v>
      </c>
      <c r="K11" s="5">
        <v>0</v>
      </c>
      <c r="L11" s="9">
        <f>H12*J11</f>
        <v>18.694106080886229</v>
      </c>
      <c r="R11" s="68"/>
      <c r="S11" s="7">
        <v>7</v>
      </c>
      <c r="T11" s="7">
        <f t="shared" si="0"/>
        <v>1800</v>
      </c>
      <c r="U11" s="7">
        <f t="shared" si="1"/>
        <v>2000</v>
      </c>
      <c r="V11" s="7"/>
    </row>
    <row r="12" spans="1:23" x14ac:dyDescent="0.2">
      <c r="B12" s="5">
        <v>0</v>
      </c>
      <c r="C12" s="6">
        <f>B12+$C$2/SQRT($C$8)</f>
        <v>5.2656082346114337</v>
      </c>
      <c r="D12" s="6">
        <f t="shared" ref="D12:D20" si="2">$C$3/C12</f>
        <v>31.595264523640385</v>
      </c>
      <c r="E12" s="18">
        <f>D12-$C$2*SQRT($C$7)</f>
        <v>18.69721116344504</v>
      </c>
      <c r="F12" s="6">
        <f>D12/C12</f>
        <v>6.0003067292323733</v>
      </c>
      <c r="G12" s="6">
        <f>D12*C12</f>
        <v>166.36828505040731</v>
      </c>
      <c r="H12" s="19">
        <f>SQRT(G12)</f>
        <v>12.898383040149152</v>
      </c>
      <c r="I12" s="5"/>
      <c r="J12" s="7"/>
      <c r="K12" s="5"/>
      <c r="L12" s="5"/>
      <c r="R12" s="68"/>
      <c r="S12" s="7">
        <v>8</v>
      </c>
      <c r="T12" s="7">
        <f t="shared" si="0"/>
        <v>1600</v>
      </c>
      <c r="U12" s="7">
        <f t="shared" si="1"/>
        <v>1800</v>
      </c>
      <c r="V12" s="7"/>
    </row>
    <row r="13" spans="1:23" x14ac:dyDescent="0.2">
      <c r="B13" s="5">
        <v>1</v>
      </c>
      <c r="C13" s="6">
        <f>B13+$C$2/SQRT($C$8)</f>
        <v>6.2656082346114337</v>
      </c>
      <c r="D13" s="6">
        <f t="shared" si="2"/>
        <v>26.552615296210707</v>
      </c>
      <c r="E13" s="10">
        <f t="shared" ref="E13:E20" si="3">D13-$C$2*SQRT($C$7)</f>
        <v>13.654561936015362</v>
      </c>
      <c r="F13" s="6">
        <f t="shared" ref="F13:F20" si="4">D13/C13</f>
        <v>4.2378352271584987</v>
      </c>
      <c r="G13" s="6">
        <f t="shared" ref="G13:G20" si="5">D13*C13</f>
        <v>166.36828505040731</v>
      </c>
      <c r="H13" s="19">
        <f t="shared" ref="H13:H20" si="6">SQRT(G13)</f>
        <v>12.898383040149152</v>
      </c>
      <c r="I13" s="5"/>
      <c r="J13" s="5"/>
      <c r="K13" s="5"/>
      <c r="L13" s="5"/>
      <c r="R13" s="68"/>
      <c r="S13" s="7">
        <v>9</v>
      </c>
      <c r="T13" s="7">
        <f t="shared" si="0"/>
        <v>1400</v>
      </c>
      <c r="U13" s="7">
        <f t="shared" si="1"/>
        <v>1600</v>
      </c>
      <c r="V13" s="7"/>
    </row>
    <row r="14" spans="1:23" x14ac:dyDescent="0.2">
      <c r="B14" s="5">
        <v>2</v>
      </c>
      <c r="C14" s="6">
        <f>B14+$C$2/SQRT($C$8)</f>
        <v>7.2656082346114337</v>
      </c>
      <c r="D14" s="6">
        <f t="shared" si="2"/>
        <v>22.898053360195345</v>
      </c>
      <c r="E14" s="10">
        <f t="shared" si="3"/>
        <v>10</v>
      </c>
      <c r="F14" s="6">
        <f t="shared" si="4"/>
        <v>3.1515673045946908</v>
      </c>
      <c r="G14" s="6">
        <f t="shared" si="5"/>
        <v>166.36828505040731</v>
      </c>
      <c r="H14" s="19">
        <f t="shared" si="6"/>
        <v>12.898383040149152</v>
      </c>
      <c r="I14" s="5"/>
      <c r="J14" s="5"/>
      <c r="K14" s="5"/>
      <c r="L14" s="5"/>
      <c r="M14" s="2"/>
      <c r="R14" s="7">
        <v>0</v>
      </c>
      <c r="S14" s="7">
        <v>10</v>
      </c>
      <c r="T14" s="7">
        <f t="shared" si="0"/>
        <v>1200</v>
      </c>
      <c r="U14" s="7">
        <f t="shared" si="1"/>
        <v>1400</v>
      </c>
      <c r="V14" s="7"/>
    </row>
    <row r="15" spans="1:23" x14ac:dyDescent="0.2">
      <c r="B15" s="5">
        <v>3</v>
      </c>
      <c r="C15" s="6">
        <f t="shared" ref="C15:C20" si="7">B15+$C$2/SQRT($C$8)</f>
        <v>8.2656082346114346</v>
      </c>
      <c r="D15" s="6">
        <f t="shared" si="2"/>
        <v>20.127772854483499</v>
      </c>
      <c r="E15" s="10">
        <f t="shared" si="3"/>
        <v>7.2297194942881546</v>
      </c>
      <c r="F15" s="6">
        <f t="shared" si="4"/>
        <v>2.4351230161381712</v>
      </c>
      <c r="G15" s="6">
        <f t="shared" si="5"/>
        <v>166.36828505040731</v>
      </c>
      <c r="H15" s="19">
        <f t="shared" si="6"/>
        <v>12.898383040149152</v>
      </c>
      <c r="I15" s="14">
        <f>1/SQRT(F15)-1/SQRT(F12)</f>
        <v>0.23258729335776562</v>
      </c>
      <c r="J15" s="8">
        <f>SQRT(F15)-SQRT(F20)</f>
        <v>0.56027289538811664</v>
      </c>
      <c r="K15" s="15">
        <f>H15*I15</f>
        <v>2.9999999999999996</v>
      </c>
      <c r="L15" s="15">
        <f>H15*J15</f>
        <v>7.2266144117293436</v>
      </c>
      <c r="R15" s="7">
        <v>-1</v>
      </c>
      <c r="S15" s="7">
        <v>11</v>
      </c>
      <c r="T15" s="7">
        <f t="shared" si="0"/>
        <v>1000</v>
      </c>
      <c r="U15" s="7">
        <f t="shared" si="1"/>
        <v>1200</v>
      </c>
      <c r="V15" s="7"/>
    </row>
    <row r="16" spans="1:23" s="4" customFormat="1" x14ac:dyDescent="0.2">
      <c r="A16" s="29">
        <f>F16*B16+E16</f>
        <v>12.80885445234377</v>
      </c>
      <c r="B16" s="11">
        <v>4</v>
      </c>
      <c r="C16" s="12">
        <f t="shared" si="7"/>
        <v>9.2656082346114346</v>
      </c>
      <c r="D16" s="12">
        <f t="shared" si="2"/>
        <v>17.955462915963032</v>
      </c>
      <c r="E16" s="13">
        <f t="shared" si="3"/>
        <v>5.0574095557676877</v>
      </c>
      <c r="F16" s="12">
        <f t="shared" si="4"/>
        <v>1.9378612241440205</v>
      </c>
      <c r="G16" s="12">
        <f t="shared" si="5"/>
        <v>166.36828505040731</v>
      </c>
      <c r="H16" s="20">
        <f t="shared" si="6"/>
        <v>12.898383040149152</v>
      </c>
      <c r="I16" s="14">
        <f>1/SQRT(F16)-1/SQRT(F12)</f>
        <v>0.31011639114368761</v>
      </c>
      <c r="J16" s="8">
        <f>SQRT(F16)-SQRT(F20)</f>
        <v>0.39185566574323327</v>
      </c>
      <c r="K16" s="15">
        <f>H16*I16</f>
        <v>4.0000000000000009</v>
      </c>
      <c r="L16" s="15">
        <f>H16*J16</f>
        <v>5.0543044732088749</v>
      </c>
      <c r="M16"/>
      <c r="N16" s="26">
        <f>I11-I16</f>
        <v>-0.31011639114368761</v>
      </c>
      <c r="O16" s="26">
        <f>J11-J16</f>
        <v>1.0574815126221919</v>
      </c>
      <c r="P16" s="26">
        <f>L11-L16</f>
        <v>13.639801607677354</v>
      </c>
      <c r="R16" s="22">
        <v>-2</v>
      </c>
      <c r="S16" s="7">
        <v>12</v>
      </c>
      <c r="T16" s="7">
        <f t="shared" si="0"/>
        <v>800</v>
      </c>
      <c r="U16" s="7">
        <f t="shared" si="1"/>
        <v>1000</v>
      </c>
      <c r="V16" s="22"/>
    </row>
    <row r="17" spans="2:22" x14ac:dyDescent="0.2">
      <c r="B17" s="5">
        <v>5</v>
      </c>
      <c r="C17" s="6">
        <f t="shared" si="7"/>
        <v>10.265608234611435</v>
      </c>
      <c r="D17" s="6">
        <f t="shared" si="2"/>
        <v>16.206373869741245</v>
      </c>
      <c r="E17" s="10">
        <f t="shared" si="3"/>
        <v>3.3083205095459007</v>
      </c>
      <c r="F17" s="6">
        <f t="shared" si="4"/>
        <v>1.5787056645216577</v>
      </c>
      <c r="G17" s="6">
        <f t="shared" si="5"/>
        <v>166.36828505040731</v>
      </c>
      <c r="H17" s="19">
        <f t="shared" si="6"/>
        <v>12.898383040149152</v>
      </c>
      <c r="I17" s="5"/>
      <c r="J17" s="5"/>
      <c r="K17" s="5"/>
      <c r="L17" s="5"/>
      <c r="O17">
        <f>O16*H15</f>
        <v>13.639801607677352</v>
      </c>
      <c r="R17" s="68" t="s">
        <v>18</v>
      </c>
      <c r="S17" s="7">
        <v>13</v>
      </c>
      <c r="T17" s="7">
        <f t="shared" si="0"/>
        <v>600</v>
      </c>
      <c r="U17" s="7">
        <f t="shared" si="1"/>
        <v>800</v>
      </c>
      <c r="V17" s="7"/>
    </row>
    <row r="18" spans="2:22" x14ac:dyDescent="0.2">
      <c r="B18" s="5">
        <v>6</v>
      </c>
      <c r="C18" s="6">
        <f t="shared" si="7"/>
        <v>11.265608234611435</v>
      </c>
      <c r="D18" s="6">
        <f t="shared" si="2"/>
        <v>14.767803174556741</v>
      </c>
      <c r="E18" s="10">
        <f t="shared" si="3"/>
        <v>1.8697498143613966</v>
      </c>
      <c r="F18" s="6">
        <f t="shared" si="4"/>
        <v>1.3108749094598799</v>
      </c>
      <c r="G18" s="6">
        <f t="shared" si="5"/>
        <v>166.36828505040731</v>
      </c>
      <c r="H18" s="19">
        <f t="shared" si="6"/>
        <v>12.898383040149152</v>
      </c>
      <c r="I18" s="5"/>
      <c r="J18" s="5"/>
      <c r="K18" s="5"/>
      <c r="L18" s="5"/>
      <c r="R18" s="68"/>
      <c r="S18" s="7">
        <v>14</v>
      </c>
      <c r="T18" s="7">
        <f t="shared" si="0"/>
        <v>400</v>
      </c>
      <c r="U18" s="7">
        <f t="shared" si="1"/>
        <v>600</v>
      </c>
      <c r="V18" s="7"/>
    </row>
    <row r="19" spans="2:22" x14ac:dyDescent="0.2">
      <c r="B19" s="5">
        <v>7</v>
      </c>
      <c r="C19" s="6">
        <f t="shared" si="7"/>
        <v>12.265608234611435</v>
      </c>
      <c r="D19" s="6">
        <f t="shared" si="2"/>
        <v>13.563802289147361</v>
      </c>
      <c r="E19" s="10">
        <f t="shared" si="3"/>
        <v>0.66574892895201643</v>
      </c>
      <c r="F19" s="6">
        <f t="shared" si="4"/>
        <v>1.1058401694970696</v>
      </c>
      <c r="G19" s="6">
        <f t="shared" si="5"/>
        <v>166.36828505040731</v>
      </c>
      <c r="H19" s="19">
        <f t="shared" si="6"/>
        <v>12.898383040149152</v>
      </c>
      <c r="I19" s="5"/>
      <c r="J19" s="5"/>
      <c r="K19" s="5"/>
      <c r="L19" s="5"/>
      <c r="M19" s="2"/>
      <c r="R19" s="68"/>
      <c r="S19" s="7">
        <v>15</v>
      </c>
      <c r="T19" s="7">
        <f t="shared" si="0"/>
        <v>200</v>
      </c>
      <c r="U19" s="7">
        <f t="shared" si="1"/>
        <v>400</v>
      </c>
      <c r="V19" s="7"/>
    </row>
    <row r="20" spans="2:22" x14ac:dyDescent="0.2">
      <c r="B20" s="16">
        <v>7.63</v>
      </c>
      <c r="C20" s="6">
        <f t="shared" si="7"/>
        <v>12.895608234611434</v>
      </c>
      <c r="D20" s="6">
        <f t="shared" si="2"/>
        <v>12.901158442754156</v>
      </c>
      <c r="E20" s="10">
        <f t="shared" si="3"/>
        <v>3.1050825588110342E-3</v>
      </c>
      <c r="F20" s="6">
        <f t="shared" si="4"/>
        <v>1.0004303952199654</v>
      </c>
      <c r="G20" s="6">
        <f t="shared" si="5"/>
        <v>166.36828505040731</v>
      </c>
      <c r="H20" s="19">
        <f t="shared" si="6"/>
        <v>12.898383040149152</v>
      </c>
      <c r="I20" s="5"/>
      <c r="J20" s="5"/>
      <c r="K20" s="5"/>
      <c r="L20" s="5"/>
      <c r="R20" s="68"/>
      <c r="S20" s="7">
        <v>16</v>
      </c>
      <c r="T20" s="7">
        <f t="shared" si="0"/>
        <v>0</v>
      </c>
      <c r="U20" s="7">
        <f t="shared" si="1"/>
        <v>200</v>
      </c>
      <c r="V20" s="7"/>
    </row>
    <row r="21" spans="2:22" x14ac:dyDescent="0.2">
      <c r="B21" s="70"/>
      <c r="C21" s="71"/>
      <c r="D21" s="71"/>
      <c r="E21" s="72"/>
      <c r="F21" s="8" t="s">
        <v>13</v>
      </c>
      <c r="G21" s="70"/>
      <c r="H21" s="72"/>
      <c r="I21" s="14">
        <f>1/SQRT(F20)-1/SQRT(F12)</f>
        <v>0.59154701610658389</v>
      </c>
      <c r="J21" s="14">
        <v>0</v>
      </c>
      <c r="K21" s="17">
        <f>H20*I21</f>
        <v>7.629999999999999</v>
      </c>
      <c r="L21" s="5">
        <v>0</v>
      </c>
      <c r="M21" s="2">
        <f>C3/(C2*SQRT(C7))-C2/SQRT(C8)</f>
        <v>7.6331044939182933</v>
      </c>
      <c r="R21" s="68"/>
      <c r="S21" s="7">
        <v>17</v>
      </c>
      <c r="T21" s="7">
        <f t="shared" si="0"/>
        <v>-200</v>
      </c>
      <c r="U21" s="7">
        <f t="shared" si="1"/>
        <v>0</v>
      </c>
      <c r="V21" s="7"/>
    </row>
    <row r="22" spans="2:22" x14ac:dyDescent="0.2">
      <c r="C22" s="2"/>
      <c r="E22" s="3"/>
      <c r="F22" s="2"/>
      <c r="R22" s="68"/>
      <c r="S22" s="7">
        <v>18</v>
      </c>
      <c r="T22" s="7">
        <f t="shared" si="0"/>
        <v>-400</v>
      </c>
      <c r="U22" s="7">
        <f t="shared" si="1"/>
        <v>-200</v>
      </c>
      <c r="V22" s="7"/>
    </row>
    <row r="23" spans="2:22" x14ac:dyDescent="0.2">
      <c r="C23" s="2"/>
      <c r="E23" s="3"/>
      <c r="F23" s="2"/>
      <c r="R23" s="23" t="s">
        <v>20</v>
      </c>
      <c r="S23" s="7">
        <v>19</v>
      </c>
      <c r="T23" s="7">
        <f t="shared" si="0"/>
        <v>-600</v>
      </c>
      <c r="U23" s="7">
        <f t="shared" si="1"/>
        <v>-400</v>
      </c>
      <c r="V23" s="7"/>
    </row>
    <row r="24" spans="2:22" x14ac:dyDescent="0.2">
      <c r="R24" s="23" t="s">
        <v>19</v>
      </c>
      <c r="S24" s="7">
        <v>20</v>
      </c>
      <c r="T24" s="7">
        <f t="shared" si="0"/>
        <v>-800</v>
      </c>
      <c r="U24" s="7">
        <f t="shared" si="1"/>
        <v>-600</v>
      </c>
      <c r="V24" s="7"/>
    </row>
    <row r="41" spans="6:29" ht="17" thickBot="1" x14ac:dyDescent="0.25"/>
    <row r="42" spans="6:29" ht="17" thickBot="1" x14ac:dyDescent="0.25">
      <c r="L42" s="30" t="s">
        <v>26</v>
      </c>
      <c r="M42" s="31">
        <v>100</v>
      </c>
    </row>
    <row r="43" spans="6:29" x14ac:dyDescent="0.2">
      <c r="W43" s="36">
        <v>0</v>
      </c>
      <c r="X43" s="36">
        <v>1</v>
      </c>
      <c r="Y43" s="36">
        <v>2</v>
      </c>
      <c r="Z43" s="36">
        <v>3</v>
      </c>
      <c r="AA43" s="36">
        <v>4</v>
      </c>
      <c r="AB43" s="36">
        <v>5</v>
      </c>
    </row>
    <row r="44" spans="6:29" x14ac:dyDescent="0.2">
      <c r="W44" s="36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</row>
    <row r="45" spans="6:29" x14ac:dyDescent="0.2">
      <c r="G45" t="s">
        <v>27</v>
      </c>
      <c r="H45" t="s">
        <v>4</v>
      </c>
      <c r="I45" t="s">
        <v>5</v>
      </c>
      <c r="J45" t="s">
        <v>0</v>
      </c>
      <c r="K45" t="s">
        <v>1</v>
      </c>
      <c r="L45" t="s">
        <v>29</v>
      </c>
      <c r="M45" t="s">
        <v>28</v>
      </c>
      <c r="N45" t="s">
        <v>30</v>
      </c>
      <c r="O45" t="s">
        <v>31</v>
      </c>
      <c r="P45" t="s">
        <v>4</v>
      </c>
      <c r="Q45" t="s">
        <v>5</v>
      </c>
      <c r="W45" s="36">
        <v>1</v>
      </c>
      <c r="X45" s="35">
        <v>3.8965E-2</v>
      </c>
      <c r="Y45" s="35">
        <v>0</v>
      </c>
      <c r="Z45" s="35">
        <v>1</v>
      </c>
      <c r="AA45" s="35">
        <v>6</v>
      </c>
      <c r="AB45" s="35">
        <v>5</v>
      </c>
      <c r="AC45" s="35">
        <v>1</v>
      </c>
    </row>
    <row r="46" spans="6:29" x14ac:dyDescent="0.2">
      <c r="F46" t="e">
        <f>ABS(H46-I46)</f>
        <v>#REF!</v>
      </c>
      <c r="G46" s="67">
        <v>4.2</v>
      </c>
      <c r="H46" s="27">
        <v>54.494897427831788</v>
      </c>
      <c r="I46" s="28" t="e">
        <f>(#REF!/J46+H46/SQRT(K46))*SQRT(J46)</f>
        <v>#REF!</v>
      </c>
      <c r="J46">
        <v>5</v>
      </c>
      <c r="K46">
        <v>6</v>
      </c>
      <c r="L46">
        <v>0</v>
      </c>
      <c r="M46" s="4">
        <f>$M$42*L48</f>
        <v>25</v>
      </c>
      <c r="N46">
        <f>M46/G46</f>
        <v>5.9523809523809526</v>
      </c>
      <c r="O46">
        <v>0</v>
      </c>
      <c r="P46">
        <f>N46*SQRT(J46*K46)/(SQRT(K46)-SQRT(J46))</f>
        <v>152.76105106496826</v>
      </c>
      <c r="T46">
        <f>SQRT(6)/(SQRT(6)-SQRT(4))</f>
        <v>5.4494897427831805</v>
      </c>
      <c r="W46" s="36">
        <v>2</v>
      </c>
      <c r="X46" s="35">
        <v>5.2786E-2</v>
      </c>
      <c r="Y46" s="35">
        <v>0</v>
      </c>
      <c r="Z46" s="35">
        <v>1</v>
      </c>
      <c r="AA46" s="35">
        <v>5</v>
      </c>
      <c r="AB46" s="35">
        <v>4</v>
      </c>
      <c r="AC46" s="35">
        <v>2</v>
      </c>
    </row>
    <row r="47" spans="6:29" x14ac:dyDescent="0.2">
      <c r="G47" s="67"/>
      <c r="J47" s="4">
        <v>4</v>
      </c>
      <c r="K47" s="4">
        <v>5</v>
      </c>
      <c r="L47" s="4">
        <v>0</v>
      </c>
      <c r="M47" s="34">
        <f>$M$42*L49</f>
        <v>50</v>
      </c>
      <c r="N47">
        <f>N62</f>
        <v>9.2379918284102072</v>
      </c>
      <c r="O47">
        <f>O62</f>
        <v>11.20043432067712</v>
      </c>
      <c r="P47">
        <f>Q54</f>
        <v>226.77464224811291</v>
      </c>
      <c r="R47">
        <v>12.496313164876483</v>
      </c>
      <c r="W47" s="36">
        <v>3</v>
      </c>
      <c r="X47" s="35">
        <v>7.7350000000000002E-2</v>
      </c>
      <c r="Y47" s="35">
        <v>0</v>
      </c>
      <c r="Z47" s="35">
        <v>1</v>
      </c>
      <c r="AA47" s="35">
        <v>4</v>
      </c>
      <c r="AB47" s="35">
        <v>3</v>
      </c>
      <c r="AC47" s="35">
        <v>3</v>
      </c>
    </row>
    <row r="48" spans="6:29" x14ac:dyDescent="0.2">
      <c r="G48" s="67"/>
      <c r="J48" s="4">
        <v>3</v>
      </c>
      <c r="K48" s="4">
        <v>4</v>
      </c>
      <c r="L48" s="4">
        <v>0.25</v>
      </c>
      <c r="M48">
        <f>$M$42*L50</f>
        <v>25</v>
      </c>
      <c r="O48">
        <f>M48</f>
        <v>25</v>
      </c>
      <c r="P48">
        <f>O48/(SQRT(K48)-SQRT(J48))</f>
        <v>93.301270189221896</v>
      </c>
      <c r="Q48">
        <f>(N48+P48/SQRT(K48))*(O48+P48*SQRT(J48))</f>
        <v>8705.1270189221868</v>
      </c>
      <c r="R48">
        <f>ABS(Q48-P48^2)</f>
        <v>0</v>
      </c>
      <c r="W48" s="36">
        <v>4</v>
      </c>
      <c r="X48" s="35">
        <v>5.5105000000000001E-2</v>
      </c>
      <c r="Y48" s="35">
        <v>0.16692499999999999</v>
      </c>
      <c r="Z48" s="35">
        <v>1</v>
      </c>
      <c r="AA48" s="35">
        <v>3</v>
      </c>
      <c r="AB48" s="35">
        <v>2</v>
      </c>
      <c r="AC48" s="35">
        <v>4</v>
      </c>
    </row>
    <row r="49" spans="7:29" x14ac:dyDescent="0.2">
      <c r="G49" s="67"/>
      <c r="J49" s="34">
        <v>2</v>
      </c>
      <c r="K49" s="34">
        <v>3</v>
      </c>
      <c r="L49" s="34">
        <v>0.5</v>
      </c>
      <c r="M49" s="34">
        <v>0</v>
      </c>
      <c r="O49">
        <v>0</v>
      </c>
      <c r="P49">
        <f>O49/(SQRT(K49)-SQRT(J49))</f>
        <v>0</v>
      </c>
      <c r="W49" s="36">
        <v>5</v>
      </c>
      <c r="X49" s="35">
        <v>0</v>
      </c>
      <c r="Y49" s="35">
        <v>0.41421400000000003</v>
      </c>
      <c r="Z49" s="35">
        <v>1</v>
      </c>
      <c r="AA49" s="35">
        <v>2</v>
      </c>
      <c r="AB49" s="35">
        <v>1</v>
      </c>
      <c r="AC49" s="35">
        <v>5</v>
      </c>
    </row>
    <row r="50" spans="7:29" x14ac:dyDescent="0.2">
      <c r="G50" s="67"/>
      <c r="J50">
        <v>1</v>
      </c>
      <c r="K50">
        <v>2</v>
      </c>
      <c r="L50">
        <v>0.25</v>
      </c>
      <c r="M50">
        <v>0</v>
      </c>
      <c r="O50">
        <v>0</v>
      </c>
      <c r="P50">
        <f>O50/(SQRT(K50)-SQRT(J50))</f>
        <v>0</v>
      </c>
      <c r="W50" s="36">
        <v>6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6</v>
      </c>
    </row>
    <row r="52" spans="7:29" x14ac:dyDescent="0.2">
      <c r="M52" s="33"/>
      <c r="N52">
        <f>SQRT(G46)*SQRT(K47)/(SQRT(K47)-SQRT(G46))</f>
        <v>24.548045339323409</v>
      </c>
      <c r="O52">
        <f>1/(SQRT(G46)-SQRT(J47))</f>
        <v>20.246950765959522</v>
      </c>
      <c r="X52">
        <f>N48/X47</f>
        <v>0</v>
      </c>
    </row>
    <row r="53" spans="7:29" x14ac:dyDescent="0.2">
      <c r="M53" s="33" t="s">
        <v>32</v>
      </c>
      <c r="N53" s="33">
        <f>N52/O52</f>
        <v>1.2124317198713777</v>
      </c>
      <c r="O53" s="33"/>
      <c r="U53">
        <f>O52/Y48</f>
        <v>121.29369936174643</v>
      </c>
      <c r="V53">
        <f>N52/X48</f>
        <v>445.47763976632626</v>
      </c>
      <c r="X53">
        <f>N49/X48</f>
        <v>0</v>
      </c>
      <c r="Y53">
        <f>O49/Y48</f>
        <v>0</v>
      </c>
    </row>
    <row r="54" spans="7:29" x14ac:dyDescent="0.2">
      <c r="M54" s="33" t="s">
        <v>33</v>
      </c>
      <c r="N54" s="33">
        <v>50</v>
      </c>
      <c r="O54" s="33"/>
      <c r="Q54">
        <f>N52*N62</f>
        <v>226.77464224811291</v>
      </c>
      <c r="R54">
        <f>O52*O62</f>
        <v>226.77464224811294</v>
      </c>
      <c r="V54">
        <f>V53/2</f>
        <v>222.73881988316313</v>
      </c>
      <c r="Y54">
        <f>O50/Y49</f>
        <v>0</v>
      </c>
    </row>
    <row r="55" spans="7:29" x14ac:dyDescent="0.2">
      <c r="M55" s="33">
        <f>N53+G46</f>
        <v>5.4124317198713783</v>
      </c>
      <c r="N55" s="33">
        <f>N54/M55</f>
        <v>9.2379918284102072</v>
      </c>
      <c r="O55" s="33">
        <f>N54-N55*3.5</f>
        <v>17.667028600564272</v>
      </c>
    </row>
    <row r="58" spans="7:29" x14ac:dyDescent="0.2">
      <c r="N58">
        <f>1/SQRT(G46)-1/SQRT(K47)</f>
        <v>4.0736440974308619E-2</v>
      </c>
      <c r="O58">
        <f>SQRT(G46)-SQRT(J47)</f>
        <v>4.9390153191919861E-2</v>
      </c>
    </row>
    <row r="59" spans="7:29" x14ac:dyDescent="0.2">
      <c r="N59">
        <f>N58*P48</f>
        <v>3.8007616858912581</v>
      </c>
      <c r="O59">
        <f>O58*P48</f>
        <v>4.6081640276463753</v>
      </c>
      <c r="S59">
        <v>1</v>
      </c>
      <c r="T59">
        <f>1/(1+EXP(-S59))</f>
        <v>0.7310585786300049</v>
      </c>
      <c r="U59">
        <f>-LN(1/T59-1)</f>
        <v>1</v>
      </c>
    </row>
    <row r="60" spans="7:29" x14ac:dyDescent="0.2">
      <c r="N60">
        <f>N58*P49</f>
        <v>0</v>
      </c>
      <c r="O60">
        <f>O58*P49</f>
        <v>0</v>
      </c>
      <c r="S60">
        <v>2</v>
      </c>
      <c r="T60">
        <f t="shared" ref="T60:T70" si="8">1/(1+EXP(-S60))</f>
        <v>0.88079707797788231</v>
      </c>
      <c r="U60">
        <f t="shared" ref="U60:U70" si="9">-LN(1/T60-1)</f>
        <v>1.9999999999999991</v>
      </c>
    </row>
    <row r="61" spans="7:29" x14ac:dyDescent="0.2">
      <c r="S61">
        <v>3</v>
      </c>
      <c r="T61">
        <f t="shared" si="8"/>
        <v>0.95257412682243336</v>
      </c>
      <c r="U61">
        <f t="shared" si="9"/>
        <v>3.0000000000000022</v>
      </c>
    </row>
    <row r="62" spans="7:29" x14ac:dyDescent="0.2">
      <c r="I62" s="35">
        <v>5.5105000000000001E-2</v>
      </c>
      <c r="J62" s="35">
        <v>0.16692499999999999</v>
      </c>
      <c r="N62">
        <f>M47/(G46+N52/O52)</f>
        <v>9.2379918284102072</v>
      </c>
      <c r="O62">
        <f>N52/O52*N62</f>
        <v>11.20043432067712</v>
      </c>
      <c r="S62">
        <v>4</v>
      </c>
      <c r="T62">
        <f t="shared" si="8"/>
        <v>0.98201379003790845</v>
      </c>
      <c r="U62">
        <f t="shared" si="9"/>
        <v>3.9999999999999978</v>
      </c>
    </row>
    <row r="63" spans="7:29" x14ac:dyDescent="0.2">
      <c r="I63">
        <f>I62*P49</f>
        <v>0</v>
      </c>
      <c r="J63">
        <f>J62*P49</f>
        <v>0</v>
      </c>
      <c r="S63">
        <v>5</v>
      </c>
      <c r="T63">
        <f t="shared" si="8"/>
        <v>0.99330714907571527</v>
      </c>
      <c r="U63">
        <f t="shared" si="9"/>
        <v>5.0000000000000151</v>
      </c>
    </row>
    <row r="64" spans="7:29" x14ac:dyDescent="0.2">
      <c r="S64">
        <v>6</v>
      </c>
      <c r="T64">
        <f t="shared" si="8"/>
        <v>0.99752737684336534</v>
      </c>
      <c r="U64">
        <f t="shared" si="9"/>
        <v>6.0000000000000373</v>
      </c>
    </row>
    <row r="65" spans="9:21" x14ac:dyDescent="0.2">
      <c r="N65">
        <f>1/SQRT(G46)-1/SQRT(K49)</f>
        <v>-8.9400232715359296E-2</v>
      </c>
      <c r="S65">
        <v>7</v>
      </c>
      <c r="T65">
        <f t="shared" si="8"/>
        <v>0.9990889488055994</v>
      </c>
      <c r="U65">
        <f t="shared" si="9"/>
        <v>7.0000000000000471</v>
      </c>
    </row>
    <row r="66" spans="9:21" x14ac:dyDescent="0.2">
      <c r="I66" s="35">
        <v>7.7350000000000002E-2</v>
      </c>
      <c r="J66">
        <f>I66*P48</f>
        <v>7.2168532491363138</v>
      </c>
      <c r="N66">
        <f>N65*Q54</f>
        <v>-20.273705790923643</v>
      </c>
      <c r="S66">
        <v>8</v>
      </c>
      <c r="T66">
        <f t="shared" si="8"/>
        <v>0.99966464986953363</v>
      </c>
      <c r="U66">
        <f t="shared" si="9"/>
        <v>8.000000000000318</v>
      </c>
    </row>
    <row r="67" spans="9:21" x14ac:dyDescent="0.2">
      <c r="S67">
        <v>9</v>
      </c>
      <c r="T67">
        <f t="shared" si="8"/>
        <v>0.99987660542401369</v>
      </c>
      <c r="U67">
        <f t="shared" si="9"/>
        <v>8.9999999999993445</v>
      </c>
    </row>
    <row r="68" spans="9:21" x14ac:dyDescent="0.2">
      <c r="N68">
        <f>N49+Q54/SQRT(K49)</f>
        <v>130.92840074732908</v>
      </c>
      <c r="O68">
        <f>O49+Q54*SQRT(J49)</f>
        <v>320.70777466958799</v>
      </c>
      <c r="S68">
        <v>10</v>
      </c>
      <c r="T68">
        <f t="shared" si="8"/>
        <v>0.99995460213129761</v>
      </c>
      <c r="U68">
        <f t="shared" si="9"/>
        <v>9.9999999999998703</v>
      </c>
    </row>
    <row r="69" spans="9:21" x14ac:dyDescent="0.2">
      <c r="S69">
        <v>11</v>
      </c>
      <c r="T69">
        <f t="shared" si="8"/>
        <v>0.99998329857815205</v>
      </c>
      <c r="U69">
        <f t="shared" si="9"/>
        <v>11.00000000000537</v>
      </c>
    </row>
    <row r="70" spans="9:21" x14ac:dyDescent="0.2">
      <c r="O70">
        <f>O68/N68</f>
        <v>2.4494897427831783</v>
      </c>
      <c r="S70">
        <v>12</v>
      </c>
      <c r="T70">
        <f t="shared" si="8"/>
        <v>0.99999385582539779</v>
      </c>
      <c r="U70">
        <f t="shared" si="9"/>
        <v>11.99999999999762</v>
      </c>
    </row>
    <row r="72" spans="9:21" x14ac:dyDescent="0.2">
      <c r="N72">
        <v>10</v>
      </c>
      <c r="O72">
        <v>25</v>
      </c>
    </row>
    <row r="73" spans="9:21" x14ac:dyDescent="0.2">
      <c r="O73">
        <f>N72/X48</f>
        <v>181.4717357771527</v>
      </c>
    </row>
    <row r="74" spans="9:21" x14ac:dyDescent="0.2">
      <c r="O74">
        <f>O72/Y48</f>
        <v>149.76785981728321</v>
      </c>
    </row>
  </sheetData>
  <mergeCells count="9">
    <mergeCell ref="G46:G50"/>
    <mergeCell ref="R7:R13"/>
    <mergeCell ref="I10:J10"/>
    <mergeCell ref="K10:L10"/>
    <mergeCell ref="B11:E11"/>
    <mergeCell ref="G11:H11"/>
    <mergeCell ref="R17:R22"/>
    <mergeCell ref="B21:E21"/>
    <mergeCell ref="G21:H2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78CE-22F7-9847-9283-455F22E6F81A}">
  <dimension ref="A1:W89"/>
  <sheetViews>
    <sheetView tabSelected="1" zoomScale="75" zoomScaleNormal="90" workbookViewId="0">
      <selection activeCell="O81" sqref="O81"/>
    </sheetView>
  </sheetViews>
  <sheetFormatPr baseColWidth="10" defaultRowHeight="16" x14ac:dyDescent="0.2"/>
  <cols>
    <col min="1" max="1" width="24.1640625" customWidth="1"/>
    <col min="2" max="2" width="12.6640625" customWidth="1"/>
    <col min="3" max="3" width="17.83203125" customWidth="1"/>
    <col min="4" max="5" width="9.33203125" customWidth="1"/>
    <col min="10" max="10" width="16.1640625" customWidth="1"/>
    <col min="11" max="11" width="13.5" bestFit="1" customWidth="1"/>
    <col min="14" max="14" width="18" customWidth="1"/>
    <col min="22" max="22" width="16.1640625" customWidth="1"/>
    <col min="23" max="24" width="11.6640625" customWidth="1"/>
  </cols>
  <sheetData>
    <row r="1" spans="1:21" ht="17" thickBot="1" x14ac:dyDescent="0.25">
      <c r="A1" s="39"/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1"/>
    </row>
    <row r="2" spans="1:21" ht="17" thickBot="1" x14ac:dyDescent="0.25">
      <c r="A2" s="42" t="s">
        <v>36</v>
      </c>
      <c r="B2" s="38">
        <v>2.5</v>
      </c>
      <c r="C2">
        <v>3.1</v>
      </c>
      <c r="D2" s="63">
        <v>5</v>
      </c>
      <c r="E2">
        <v>4.5</v>
      </c>
      <c r="F2">
        <v>5.4</v>
      </c>
      <c r="G2">
        <v>4.2</v>
      </c>
      <c r="H2" s="43"/>
      <c r="J2" s="65"/>
      <c r="K2" s="65"/>
      <c r="O2" s="36"/>
      <c r="P2" s="36"/>
      <c r="Q2" s="36"/>
      <c r="R2" s="36"/>
      <c r="S2" s="36"/>
      <c r="T2" s="36"/>
    </row>
    <row r="3" spans="1:21" x14ac:dyDescent="0.2">
      <c r="A3" s="42" t="s">
        <v>34</v>
      </c>
      <c r="B3">
        <v>100</v>
      </c>
      <c r="H3" s="43"/>
      <c r="J3" s="65"/>
      <c r="K3" s="65"/>
      <c r="O3" s="36"/>
      <c r="P3" s="35"/>
      <c r="Q3" s="35"/>
      <c r="R3" s="35"/>
      <c r="S3" s="35"/>
      <c r="T3" s="35"/>
      <c r="U3" s="35"/>
    </row>
    <row r="4" spans="1:21" x14ac:dyDescent="0.2">
      <c r="A4" t="s">
        <v>64</v>
      </c>
      <c r="B4">
        <f>B3-B13</f>
        <v>100</v>
      </c>
      <c r="H4" s="75"/>
      <c r="O4" s="36"/>
      <c r="P4" s="35"/>
      <c r="Q4" s="35"/>
      <c r="R4" s="35"/>
      <c r="S4" s="35"/>
      <c r="T4" s="35"/>
      <c r="U4" s="35"/>
    </row>
    <row r="5" spans="1:21" x14ac:dyDescent="0.2">
      <c r="A5" t="s">
        <v>35</v>
      </c>
      <c r="B5" t="s">
        <v>0</v>
      </c>
      <c r="C5" t="s">
        <v>1</v>
      </c>
      <c r="D5" t="s">
        <v>29</v>
      </c>
      <c r="E5" t="s">
        <v>43</v>
      </c>
      <c r="F5" t="s">
        <v>30</v>
      </c>
      <c r="G5" t="s">
        <v>31</v>
      </c>
      <c r="H5" s="75" t="s">
        <v>4</v>
      </c>
      <c r="J5" t="s">
        <v>59</v>
      </c>
      <c r="K5">
        <v>1</v>
      </c>
      <c r="O5" s="36"/>
      <c r="P5" s="35"/>
      <c r="Q5" s="35"/>
      <c r="R5" s="35"/>
      <c r="S5" s="35"/>
      <c r="T5" s="35"/>
      <c r="U5" s="35"/>
    </row>
    <row r="6" spans="1:21" x14ac:dyDescent="0.2">
      <c r="A6" s="67">
        <f>B2</f>
        <v>2.5</v>
      </c>
      <c r="B6">
        <v>5</v>
      </c>
      <c r="C6">
        <v>6</v>
      </c>
      <c r="D6">
        <v>0</v>
      </c>
      <c r="E6">
        <f>$B$4*D6</f>
        <v>0</v>
      </c>
      <c r="F6">
        <f>E6/A6</f>
        <v>0</v>
      </c>
      <c r="G6">
        <v>0</v>
      </c>
      <c r="H6" s="75">
        <f>F6*SQRT(B6*C6)/(SQRT(C6)-SQRT(B6))</f>
        <v>0</v>
      </c>
      <c r="O6" s="36"/>
      <c r="P6" s="35"/>
      <c r="Q6" s="35"/>
      <c r="R6" s="35"/>
      <c r="S6" s="35"/>
      <c r="T6" s="35"/>
      <c r="U6" s="35"/>
    </row>
    <row r="7" spans="1:21" x14ac:dyDescent="0.2">
      <c r="A7" s="67"/>
      <c r="B7">
        <v>4</v>
      </c>
      <c r="C7">
        <v>5</v>
      </c>
      <c r="D7">
        <v>0</v>
      </c>
      <c r="E7">
        <f>$B$4*D7</f>
        <v>0</v>
      </c>
      <c r="F7">
        <f>E7/A6</f>
        <v>0</v>
      </c>
      <c r="G7">
        <v>0</v>
      </c>
      <c r="H7" s="75">
        <f>F7*SQRT(B7*C7)/(SQRT(C7)-SQRT(B7))</f>
        <v>0</v>
      </c>
      <c r="O7" s="36"/>
      <c r="P7" s="35"/>
      <c r="Q7" s="35"/>
      <c r="R7" s="35"/>
      <c r="S7" s="35"/>
      <c r="T7" s="35"/>
      <c r="U7" s="35"/>
    </row>
    <row r="8" spans="1:21" x14ac:dyDescent="0.2">
      <c r="A8" s="67"/>
      <c r="B8">
        <v>3</v>
      </c>
      <c r="C8">
        <v>4</v>
      </c>
      <c r="D8">
        <v>0.25</v>
      </c>
      <c r="E8">
        <f>$B$4*D8</f>
        <v>25</v>
      </c>
      <c r="F8">
        <f>E8/A6</f>
        <v>10</v>
      </c>
      <c r="G8">
        <v>0</v>
      </c>
      <c r="H8" s="75">
        <f>F8*SQRT(B8*C8)/(SQRT(C8)-SQRT(B8))</f>
        <v>129.28203230275503</v>
      </c>
      <c r="O8" s="36"/>
      <c r="P8" s="35"/>
      <c r="Q8" s="35"/>
      <c r="R8" s="35"/>
      <c r="S8" s="35"/>
      <c r="T8" s="35"/>
      <c r="U8" s="35"/>
    </row>
    <row r="9" spans="1:21" x14ac:dyDescent="0.2">
      <c r="A9" s="67"/>
      <c r="B9" s="34">
        <v>2</v>
      </c>
      <c r="C9" s="34">
        <v>3</v>
      </c>
      <c r="D9" s="34">
        <v>0.5</v>
      </c>
      <c r="E9" s="34">
        <f>$B$4*D9</f>
        <v>50</v>
      </c>
      <c r="F9" s="34">
        <f>E9/(A6+F12/G12)</f>
        <v>9.0428874802815109</v>
      </c>
      <c r="G9" s="34">
        <f>F12/G12*F9</f>
        <v>27.392781299296228</v>
      </c>
      <c r="H9" s="75">
        <f>IF(F9*F12=G9*G12,
F9*F12,
"ошибка")</f>
        <v>164.10206600181226</v>
      </c>
      <c r="O9" s="36"/>
      <c r="P9" s="35"/>
      <c r="Q9" s="35"/>
      <c r="R9" s="35"/>
      <c r="S9" s="35"/>
      <c r="T9" s="35"/>
      <c r="U9" s="35"/>
    </row>
    <row r="10" spans="1:21" x14ac:dyDescent="0.2">
      <c r="A10" s="67"/>
      <c r="B10">
        <v>1</v>
      </c>
      <c r="C10">
        <v>2</v>
      </c>
      <c r="D10">
        <v>0.25</v>
      </c>
      <c r="E10">
        <f>$B$4*D10</f>
        <v>25</v>
      </c>
      <c r="F10">
        <v>0</v>
      </c>
      <c r="G10">
        <f>E10</f>
        <v>25</v>
      </c>
      <c r="H10" s="75">
        <f>G10/(SQRT(C10)-SQRT(B10))</f>
        <v>60.355339059327363</v>
      </c>
      <c r="O10" s="36"/>
      <c r="P10" s="35"/>
      <c r="Q10" s="35"/>
      <c r="R10" s="35"/>
      <c r="S10" s="35"/>
      <c r="T10" s="35"/>
      <c r="U10" s="35"/>
    </row>
    <row r="11" spans="1:21" x14ac:dyDescent="0.2">
      <c r="H11" s="75"/>
    </row>
    <row r="12" spans="1:21" x14ac:dyDescent="0.2">
      <c r="A12" s="42" t="s">
        <v>44</v>
      </c>
      <c r="E12" s="33"/>
      <c r="F12">
        <f>SQRT(A6)*SQRT(C9)/(SQRT(C9)-SQRT(A6))</f>
        <v>18.147087018349549</v>
      </c>
      <c r="G12">
        <f>1/(SQRT(A6)-SQRT(B9))</f>
        <v>5.9907047849145698</v>
      </c>
      <c r="H12" s="75"/>
    </row>
    <row r="13" spans="1:21" x14ac:dyDescent="0.2">
      <c r="A13" s="42" t="s">
        <v>45</v>
      </c>
      <c r="E13" s="33"/>
      <c r="F13" s="33"/>
      <c r="G13" s="33"/>
      <c r="H13" s="43"/>
    </row>
    <row r="14" spans="1:21" ht="17" thickBot="1" x14ac:dyDescent="0.25">
      <c r="A14" s="44" t="s">
        <v>51</v>
      </c>
      <c r="B14" s="45">
        <v>0</v>
      </c>
      <c r="C14" s="45"/>
      <c r="D14" s="45"/>
      <c r="E14" s="46"/>
      <c r="F14" s="46"/>
      <c r="G14" s="46"/>
      <c r="H14" s="47"/>
    </row>
    <row r="15" spans="1:21" x14ac:dyDescent="0.2">
      <c r="A15" s="39"/>
      <c r="B15" s="40" t="s">
        <v>37</v>
      </c>
      <c r="C15" s="40" t="s">
        <v>38</v>
      </c>
      <c r="D15" s="40" t="s">
        <v>39</v>
      </c>
      <c r="E15" s="40" t="s">
        <v>40</v>
      </c>
      <c r="F15" s="40" t="s">
        <v>41</v>
      </c>
      <c r="G15" s="40" t="s">
        <v>42</v>
      </c>
      <c r="H15" s="41"/>
      <c r="I15" s="39" t="s">
        <v>50</v>
      </c>
      <c r="J15" s="40"/>
      <c r="K15" s="40"/>
      <c r="L15" s="41"/>
    </row>
    <row r="16" spans="1:21" x14ac:dyDescent="0.2">
      <c r="A16" s="42" t="s">
        <v>36</v>
      </c>
      <c r="B16">
        <v>2.5</v>
      </c>
      <c r="C16" s="38">
        <v>3.1</v>
      </c>
      <c r="D16">
        <v>5</v>
      </c>
      <c r="E16">
        <v>4.5</v>
      </c>
      <c r="F16">
        <v>5.4</v>
      </c>
      <c r="G16">
        <v>4.2</v>
      </c>
      <c r="H16" s="43"/>
      <c r="I16" s="42"/>
      <c r="L16" s="43"/>
    </row>
    <row r="17" spans="1:20" x14ac:dyDescent="0.2">
      <c r="A17" s="51" t="s">
        <v>46</v>
      </c>
      <c r="B17" s="52">
        <f>SUM(F20:F24)*A20+SUM(G20:G24)</f>
        <v>108.096563317088</v>
      </c>
      <c r="H17" s="43"/>
      <c r="I17" s="42"/>
      <c r="L17" s="43"/>
    </row>
    <row r="18" spans="1:20" x14ac:dyDescent="0.2">
      <c r="A18" s="42"/>
      <c r="H18" s="43"/>
      <c r="I18" s="42"/>
      <c r="L18" s="43"/>
    </row>
    <row r="19" spans="1:20" x14ac:dyDescent="0.2">
      <c r="A19" t="s">
        <v>35</v>
      </c>
      <c r="B19" t="s">
        <v>0</v>
      </c>
      <c r="C19" t="s">
        <v>1</v>
      </c>
      <c r="D19" t="s">
        <v>29</v>
      </c>
      <c r="E19" t="s">
        <v>43</v>
      </c>
      <c r="F19" t="s">
        <v>30</v>
      </c>
      <c r="G19" t="s">
        <v>31</v>
      </c>
      <c r="H19" s="43" t="s">
        <v>4</v>
      </c>
      <c r="I19" s="42"/>
      <c r="J19" t="s">
        <v>47</v>
      </c>
      <c r="K19" t="s">
        <v>48</v>
      </c>
      <c r="L19" s="43"/>
    </row>
    <row r="20" spans="1:20" x14ac:dyDescent="0.2">
      <c r="A20" s="67">
        <f>C16</f>
        <v>3.1</v>
      </c>
      <c r="B20">
        <v>5</v>
      </c>
      <c r="C20">
        <v>6</v>
      </c>
      <c r="D20">
        <v>0</v>
      </c>
      <c r="E20">
        <f>E6</f>
        <v>0</v>
      </c>
      <c r="F20">
        <f>(1/SQRT(B20)-1/SQRT(C20))*H20</f>
        <v>0</v>
      </c>
      <c r="H20" s="43">
        <f>H6</f>
        <v>0</v>
      </c>
      <c r="I20" s="42"/>
      <c r="J20">
        <f>IF(F20-F6&gt;0,F20-F6,0)</f>
        <v>0</v>
      </c>
      <c r="K20">
        <f>IF(G20-G6&gt;0,G20-G6,0)</f>
        <v>0</v>
      </c>
      <c r="L20" s="43"/>
    </row>
    <row r="21" spans="1:20" x14ac:dyDescent="0.2">
      <c r="A21" s="67"/>
      <c r="B21">
        <v>4</v>
      </c>
      <c r="C21">
        <v>5</v>
      </c>
      <c r="D21">
        <v>0</v>
      </c>
      <c r="E21">
        <f>E7</f>
        <v>0</v>
      </c>
      <c r="F21">
        <f>(1/SQRT(B21)-1/SQRT(C21))*H21</f>
        <v>0</v>
      </c>
      <c r="H21" s="43">
        <f>H7</f>
        <v>0</v>
      </c>
      <c r="I21" s="42"/>
      <c r="J21">
        <f t="shared" ref="J21:K24" si="0">IF(F21-F7&gt;0,F21-F7,0)</f>
        <v>0</v>
      </c>
      <c r="K21">
        <f t="shared" si="0"/>
        <v>0</v>
      </c>
      <c r="L21" s="43"/>
    </row>
    <row r="22" spans="1:20" x14ac:dyDescent="0.2">
      <c r="A22" s="67"/>
      <c r="B22" s="34">
        <v>3</v>
      </c>
      <c r="C22" s="34">
        <v>4</v>
      </c>
      <c r="D22" s="34">
        <v>0.25</v>
      </c>
      <c r="E22" s="34">
        <f>E8</f>
        <v>25</v>
      </c>
      <c r="F22" s="34">
        <f>(1/SQRT(A20)-1/SQRT(C22))*H22</f>
        <v>8.786244050483516</v>
      </c>
      <c r="G22" s="34">
        <f>(SQRT(A20)-SQRT(B22))*H22</f>
        <v>3.7014581716366801</v>
      </c>
      <c r="H22" s="49">
        <f>H8</f>
        <v>129.28203230275503</v>
      </c>
      <c r="I22" s="42"/>
      <c r="J22">
        <f t="shared" si="0"/>
        <v>0</v>
      </c>
      <c r="K22">
        <f t="shared" si="0"/>
        <v>3.7014581716366801</v>
      </c>
      <c r="L22" s="43"/>
    </row>
    <row r="23" spans="1:20" x14ac:dyDescent="0.2">
      <c r="A23" s="67"/>
      <c r="B23">
        <v>2</v>
      </c>
      <c r="C23">
        <v>3</v>
      </c>
      <c r="D23">
        <v>0.5</v>
      </c>
      <c r="E23">
        <f>E9</f>
        <v>50</v>
      </c>
      <c r="F23">
        <v>0</v>
      </c>
      <c r="G23">
        <f>(SQRT(C23)-SQRT(B23))*H23</f>
        <v>52.157748588952416</v>
      </c>
      <c r="H23" s="43">
        <f>H9</f>
        <v>164.10206600181226</v>
      </c>
      <c r="I23" s="42"/>
      <c r="J23">
        <f t="shared" si="0"/>
        <v>0</v>
      </c>
      <c r="K23">
        <f t="shared" si="0"/>
        <v>24.764967289656187</v>
      </c>
      <c r="L23" s="43"/>
    </row>
    <row r="24" spans="1:20" x14ac:dyDescent="0.2">
      <c r="A24" s="67"/>
      <c r="B24">
        <v>1</v>
      </c>
      <c r="C24">
        <v>2</v>
      </c>
      <c r="D24">
        <v>0.25</v>
      </c>
      <c r="E24">
        <f>E10</f>
        <v>25</v>
      </c>
      <c r="F24">
        <v>0</v>
      </c>
      <c r="G24">
        <f>(SQRT(C24)-SQRT(B24))*H24</f>
        <v>25</v>
      </c>
      <c r="H24" s="43">
        <f>H10</f>
        <v>60.355339059327363</v>
      </c>
      <c r="I24" s="55"/>
      <c r="J24">
        <f t="shared" si="0"/>
        <v>0</v>
      </c>
      <c r="K24">
        <f t="shared" si="0"/>
        <v>0</v>
      </c>
      <c r="L24" s="43"/>
    </row>
    <row r="25" spans="1:20" x14ac:dyDescent="0.2">
      <c r="A25" s="48"/>
      <c r="H25" s="43"/>
      <c r="I25" s="55"/>
      <c r="J25" s="50">
        <f>SUM(J20:J24)</f>
        <v>0</v>
      </c>
      <c r="K25" s="50">
        <f>SUM(K20:K24)</f>
        <v>28.466425461292868</v>
      </c>
      <c r="L25" s="43"/>
    </row>
    <row r="26" spans="1:20" x14ac:dyDescent="0.2">
      <c r="A26" s="51" t="s">
        <v>44</v>
      </c>
      <c r="B26" s="52"/>
      <c r="C26" s="52"/>
      <c r="D26" s="52"/>
      <c r="E26" s="52"/>
      <c r="F26" s="52">
        <f>SQRT(A20)*SQRT(C23)/(SQRT(C23)-SQRT(A20))</f>
        <v>-106.5140256196118</v>
      </c>
      <c r="G26" s="52">
        <f>1/(SQRT(A20)-SQRT(B23))</f>
        <v>2.8862684077627243</v>
      </c>
      <c r="H26" s="43"/>
      <c r="I26" s="55" t="s">
        <v>49</v>
      </c>
      <c r="J26">
        <f>J25*A20</f>
        <v>0</v>
      </c>
      <c r="K26">
        <f>K25</f>
        <v>28.466425461292868</v>
      </c>
      <c r="L26" s="43"/>
    </row>
    <row r="27" spans="1:20" x14ac:dyDescent="0.2">
      <c r="A27" s="51" t="s">
        <v>45</v>
      </c>
      <c r="B27" s="52"/>
      <c r="E27" s="33"/>
      <c r="F27" s="33"/>
      <c r="G27" s="33"/>
      <c r="H27" s="43"/>
      <c r="I27" s="55"/>
      <c r="J27" s="50"/>
      <c r="K27" s="50">
        <f>K26+J26</f>
        <v>28.466425461292868</v>
      </c>
      <c r="L27" s="43"/>
    </row>
    <row r="28" spans="1:20" ht="17" thickBot="1" x14ac:dyDescent="0.25">
      <c r="A28" s="44" t="s">
        <v>51</v>
      </c>
      <c r="B28" s="45">
        <f>0.003*K27*$K$5</f>
        <v>8.5399276383878606E-2</v>
      </c>
      <c r="C28" s="45"/>
      <c r="D28" s="45"/>
      <c r="E28" s="46"/>
      <c r="F28" s="46"/>
      <c r="G28" s="46"/>
      <c r="H28" s="47"/>
      <c r="I28" s="56"/>
      <c r="J28" s="45"/>
      <c r="K28" s="45"/>
      <c r="L28" s="47"/>
    </row>
    <row r="29" spans="1:20" x14ac:dyDescent="0.2">
      <c r="A29" s="39"/>
      <c r="B29" s="40" t="s">
        <v>37</v>
      </c>
      <c r="C29" s="40" t="s">
        <v>38</v>
      </c>
      <c r="D29" s="40" t="s">
        <v>39</v>
      </c>
      <c r="E29" s="40" t="s">
        <v>40</v>
      </c>
      <c r="F29" s="40" t="s">
        <v>41</v>
      </c>
      <c r="G29" s="40" t="s">
        <v>42</v>
      </c>
      <c r="H29" s="41"/>
      <c r="I29" s="57"/>
      <c r="J29" s="40"/>
      <c r="K29" s="40"/>
      <c r="L29" s="41"/>
      <c r="M29" s="39"/>
      <c r="N29" s="40" t="s">
        <v>37</v>
      </c>
      <c r="O29" s="40" t="s">
        <v>38</v>
      </c>
      <c r="P29" s="40" t="s">
        <v>39</v>
      </c>
      <c r="Q29" s="40" t="s">
        <v>40</v>
      </c>
      <c r="R29" s="40" t="s">
        <v>41</v>
      </c>
      <c r="S29" s="40" t="s">
        <v>42</v>
      </c>
      <c r="T29" s="41"/>
    </row>
    <row r="30" spans="1:20" x14ac:dyDescent="0.2">
      <c r="A30" s="42" t="s">
        <v>36</v>
      </c>
      <c r="B30">
        <v>2.5</v>
      </c>
      <c r="C30">
        <v>3.1</v>
      </c>
      <c r="D30" s="38">
        <v>5</v>
      </c>
      <c r="E30">
        <v>4.5</v>
      </c>
      <c r="F30">
        <v>5.4</v>
      </c>
      <c r="G30">
        <v>4.2</v>
      </c>
      <c r="H30" s="43"/>
      <c r="I30" s="55"/>
      <c r="L30" s="43"/>
      <c r="M30" s="42" t="s">
        <v>36</v>
      </c>
      <c r="N30">
        <v>2.5</v>
      </c>
      <c r="O30">
        <v>3.1</v>
      </c>
      <c r="P30" s="38">
        <v>5</v>
      </c>
      <c r="Q30">
        <v>4.5</v>
      </c>
      <c r="R30">
        <v>5.4</v>
      </c>
      <c r="S30">
        <v>4.2</v>
      </c>
      <c r="T30" s="43"/>
    </row>
    <row r="31" spans="1:20" x14ac:dyDescent="0.2">
      <c r="A31" s="51" t="s">
        <v>52</v>
      </c>
      <c r="B31" s="52">
        <f>SUM(F34:F38)*A34+SUM(G34:G38)</f>
        <v>111.79876474032996</v>
      </c>
      <c r="H31" s="43"/>
      <c r="I31" s="55"/>
      <c r="L31" s="43"/>
      <c r="M31" s="42" t="s">
        <v>52</v>
      </c>
      <c r="N31" s="64">
        <f>B3</f>
        <v>100</v>
      </c>
      <c r="T31" s="43"/>
    </row>
    <row r="32" spans="1:20" x14ac:dyDescent="0.2">
      <c r="A32" s="42"/>
      <c r="H32" s="43"/>
      <c r="I32" s="55"/>
      <c r="L32" s="43"/>
      <c r="M32" s="42"/>
      <c r="T32" s="75"/>
    </row>
    <row r="33" spans="1:23" x14ac:dyDescent="0.2">
      <c r="A33" t="s">
        <v>35</v>
      </c>
      <c r="B33" t="s">
        <v>0</v>
      </c>
      <c r="C33" t="s">
        <v>1</v>
      </c>
      <c r="D33" t="s">
        <v>29</v>
      </c>
      <c r="E33" t="s">
        <v>43</v>
      </c>
      <c r="F33" t="s">
        <v>30</v>
      </c>
      <c r="G33" t="s">
        <v>31</v>
      </c>
      <c r="H33" s="43" t="s">
        <v>4</v>
      </c>
      <c r="I33" s="55"/>
      <c r="J33" t="s">
        <v>47</v>
      </c>
      <c r="K33" t="s">
        <v>48</v>
      </c>
      <c r="L33" s="43"/>
      <c r="M33" s="42" t="s">
        <v>35</v>
      </c>
      <c r="N33" t="s">
        <v>0</v>
      </c>
      <c r="O33" t="s">
        <v>1</v>
      </c>
      <c r="P33" t="s">
        <v>29</v>
      </c>
      <c r="Q33" t="s">
        <v>43</v>
      </c>
      <c r="R33" t="s">
        <v>30</v>
      </c>
      <c r="S33" t="s">
        <v>31</v>
      </c>
      <c r="T33" s="75" t="s">
        <v>4</v>
      </c>
    </row>
    <row r="34" spans="1:23" x14ac:dyDescent="0.2">
      <c r="A34" s="67">
        <f>D30</f>
        <v>5</v>
      </c>
      <c r="B34">
        <v>5</v>
      </c>
      <c r="C34">
        <v>6</v>
      </c>
      <c r="D34">
        <v>0</v>
      </c>
      <c r="E34">
        <f>E20</f>
        <v>0</v>
      </c>
      <c r="F34">
        <f>(1/SQRT(B34)-1/SQRT(C34))*H34</f>
        <v>0</v>
      </c>
      <c r="H34" s="43">
        <f>H20</f>
        <v>0</v>
      </c>
      <c r="I34" s="55"/>
      <c r="J34">
        <f t="shared" ref="J34:K38" si="1">IF(F34-F20&gt;0,F34-F20,0)+J20</f>
        <v>0</v>
      </c>
      <c r="K34">
        <f t="shared" si="1"/>
        <v>0</v>
      </c>
      <c r="L34" s="43"/>
      <c r="M34" s="74">
        <f>P30</f>
        <v>5</v>
      </c>
      <c r="N34">
        <v>5</v>
      </c>
      <c r="O34">
        <v>6</v>
      </c>
      <c r="P34">
        <v>0.25</v>
      </c>
      <c r="Q34">
        <f>$N$31*P34</f>
        <v>25</v>
      </c>
      <c r="R34">
        <f>Q34/M34</f>
        <v>5</v>
      </c>
      <c r="T34" s="75">
        <f>R34*SQRT(N34*O34)/(SQRT(O34)-SQRT(N34))</f>
        <v>128.31928289457335</v>
      </c>
    </row>
    <row r="35" spans="1:23" x14ac:dyDescent="0.2">
      <c r="A35" s="67"/>
      <c r="B35" s="34">
        <v>4</v>
      </c>
      <c r="C35" s="34">
        <v>5</v>
      </c>
      <c r="D35" s="34">
        <v>0</v>
      </c>
      <c r="E35" s="34">
        <f>E21</f>
        <v>0</v>
      </c>
      <c r="F35" s="34">
        <f>(1/SQRT(B35)-1/SQRT(C35))*H35</f>
        <v>0</v>
      </c>
      <c r="G35" s="34"/>
      <c r="H35" s="49">
        <f>H21</f>
        <v>0</v>
      </c>
      <c r="I35" s="55"/>
      <c r="J35">
        <f t="shared" si="1"/>
        <v>0</v>
      </c>
      <c r="K35">
        <f t="shared" si="1"/>
        <v>0</v>
      </c>
      <c r="L35" s="43"/>
      <c r="M35" s="74"/>
      <c r="N35" s="34">
        <v>4</v>
      </c>
      <c r="O35" s="34">
        <v>5</v>
      </c>
      <c r="P35" s="34">
        <v>0.5</v>
      </c>
      <c r="Q35" s="34">
        <f>$N$31*P35</f>
        <v>50</v>
      </c>
      <c r="R35">
        <v>0</v>
      </c>
      <c r="S35">
        <f>Q35</f>
        <v>50</v>
      </c>
      <c r="T35" s="75">
        <f>S35/(SQRT(O35)-SQRT(N35))</f>
        <v>211.8033988749894</v>
      </c>
    </row>
    <row r="36" spans="1:23" x14ac:dyDescent="0.2">
      <c r="A36" s="67"/>
      <c r="B36">
        <v>3</v>
      </c>
      <c r="C36">
        <v>4</v>
      </c>
      <c r="D36">
        <v>0.25</v>
      </c>
      <c r="E36">
        <f>E22</f>
        <v>25</v>
      </c>
      <c r="F36">
        <v>0</v>
      </c>
      <c r="G36">
        <f>(SQRT(C36)-SQRT(B36))*H36</f>
        <v>34.641016151377542</v>
      </c>
      <c r="H36" s="43">
        <f>H22</f>
        <v>129.28203230275503</v>
      </c>
      <c r="I36" s="55"/>
      <c r="J36">
        <f t="shared" si="1"/>
        <v>0</v>
      </c>
      <c r="K36">
        <f t="shared" si="1"/>
        <v>34.641016151377542</v>
      </c>
      <c r="L36" s="43"/>
      <c r="M36" s="74"/>
      <c r="N36">
        <v>3</v>
      </c>
      <c r="O36">
        <v>4</v>
      </c>
      <c r="P36">
        <v>0.25</v>
      </c>
      <c r="Q36">
        <f>$N$31*P36</f>
        <v>25</v>
      </c>
      <c r="R36">
        <v>0</v>
      </c>
      <c r="S36">
        <f>Q36</f>
        <v>25</v>
      </c>
      <c r="T36" s="75">
        <f>S36/(SQRT(O36)-SQRT(N36))</f>
        <v>93.301270189221896</v>
      </c>
    </row>
    <row r="37" spans="1:23" x14ac:dyDescent="0.2">
      <c r="A37" s="67"/>
      <c r="B37">
        <v>2</v>
      </c>
      <c r="C37">
        <v>3</v>
      </c>
      <c r="D37">
        <v>0.5</v>
      </c>
      <c r="E37">
        <f>E23</f>
        <v>50</v>
      </c>
      <c r="F37">
        <v>0</v>
      </c>
      <c r="G37">
        <f>(SQRT(C37)-SQRT(B37))*H37</f>
        <v>52.157748588952416</v>
      </c>
      <c r="H37" s="43">
        <f>H23</f>
        <v>164.10206600181226</v>
      </c>
      <c r="I37" s="55"/>
      <c r="J37">
        <f t="shared" si="1"/>
        <v>0</v>
      </c>
      <c r="K37">
        <f t="shared" si="1"/>
        <v>24.764967289656187</v>
      </c>
      <c r="L37" s="43"/>
      <c r="M37" s="74"/>
      <c r="N37">
        <v>2</v>
      </c>
      <c r="O37">
        <v>3</v>
      </c>
      <c r="P37">
        <v>0</v>
      </c>
      <c r="Q37">
        <f>$N$31*P37</f>
        <v>0</v>
      </c>
      <c r="R37">
        <v>0</v>
      </c>
      <c r="S37">
        <f>(SQRT(O37)-SQRT(N37))*T37</f>
        <v>0</v>
      </c>
      <c r="T37" s="75">
        <f>T23</f>
        <v>0</v>
      </c>
    </row>
    <row r="38" spans="1:23" x14ac:dyDescent="0.2">
      <c r="A38" s="67"/>
      <c r="B38">
        <v>1</v>
      </c>
      <c r="C38">
        <v>2</v>
      </c>
      <c r="D38">
        <v>0.25</v>
      </c>
      <c r="E38">
        <f>E24</f>
        <v>25</v>
      </c>
      <c r="F38">
        <v>0</v>
      </c>
      <c r="G38">
        <f>(SQRT(C38)-SQRT(B38))*H38</f>
        <v>25</v>
      </c>
      <c r="H38" s="43">
        <f>H24</f>
        <v>60.355339059327363</v>
      </c>
      <c r="I38" s="55"/>
      <c r="J38">
        <f t="shared" si="1"/>
        <v>0</v>
      </c>
      <c r="K38">
        <f t="shared" si="1"/>
        <v>0</v>
      </c>
      <c r="L38" s="43"/>
      <c r="M38" s="74"/>
      <c r="N38">
        <v>1</v>
      </c>
      <c r="O38">
        <v>2</v>
      </c>
      <c r="P38">
        <v>0</v>
      </c>
      <c r="Q38">
        <f>$N$31*P38</f>
        <v>0</v>
      </c>
      <c r="R38">
        <v>0</v>
      </c>
      <c r="S38">
        <f>(SQRT(O38)-SQRT(N38))*T38</f>
        <v>0</v>
      </c>
      <c r="T38" s="75">
        <f>T24</f>
        <v>0</v>
      </c>
    </row>
    <row r="39" spans="1:23" x14ac:dyDescent="0.2">
      <c r="A39" s="48"/>
      <c r="H39" s="43"/>
      <c r="I39" s="55"/>
      <c r="J39" s="50">
        <f>SUM(J34:J38)</f>
        <v>0</v>
      </c>
      <c r="K39" s="50">
        <f>SUM(K34:K38)</f>
        <v>59.405983441033726</v>
      </c>
      <c r="L39" s="43"/>
      <c r="M39" s="53"/>
      <c r="T39" s="75"/>
      <c r="V39" s="76"/>
      <c r="W39" s="76"/>
    </row>
    <row r="40" spans="1:23" x14ac:dyDescent="0.2">
      <c r="A40" s="51" t="s">
        <v>44</v>
      </c>
      <c r="B40" s="52"/>
      <c r="C40" s="52"/>
      <c r="D40" s="52"/>
      <c r="E40" s="52"/>
      <c r="F40" s="52">
        <f>SQRT(A34)*SQRT(C37)/(SQRT(C37)-SQRT(A34))</f>
        <v>-7.6842289851718748</v>
      </c>
      <c r="G40" s="52">
        <f>1/(SQRT(A34)-SQRT(B37))</f>
        <v>1.2167605132909616</v>
      </c>
      <c r="H40" s="43"/>
      <c r="I40" s="55" t="s">
        <v>49</v>
      </c>
      <c r="J40">
        <f>J39*A34</f>
        <v>0</v>
      </c>
      <c r="K40">
        <f>K39</f>
        <v>59.405983441033726</v>
      </c>
      <c r="L40" s="43"/>
      <c r="M40" s="61" t="s">
        <v>44</v>
      </c>
      <c r="N40" s="60"/>
      <c r="O40" s="60"/>
      <c r="P40" s="60"/>
      <c r="Q40" s="60"/>
      <c r="R40" s="60" t="e">
        <f>SQRT(M34)*SQRT(O35)/(SQRT(O35)-SQRT(M34))</f>
        <v>#DIV/0!</v>
      </c>
      <c r="S40" s="60">
        <f>1/(SQRT(M34)-SQRT(N35))</f>
        <v>4.236067977499788</v>
      </c>
      <c r="T40" s="43"/>
    </row>
    <row r="41" spans="1:23" x14ac:dyDescent="0.2">
      <c r="A41" s="51" t="s">
        <v>45</v>
      </c>
      <c r="B41" s="52"/>
      <c r="E41" s="33"/>
      <c r="F41" s="33"/>
      <c r="G41" s="33"/>
      <c r="H41" s="43"/>
      <c r="I41" s="55"/>
      <c r="J41" s="50"/>
      <c r="K41" s="50">
        <f>K40+J40</f>
        <v>59.405983441033726</v>
      </c>
      <c r="L41" s="43"/>
      <c r="M41" s="42" t="s">
        <v>45</v>
      </c>
      <c r="Q41" s="33"/>
      <c r="R41" s="33"/>
      <c r="S41" s="33"/>
      <c r="T41" s="43"/>
    </row>
    <row r="42" spans="1:23" ht="17" thickBot="1" x14ac:dyDescent="0.25">
      <c r="A42" s="44" t="s">
        <v>51</v>
      </c>
      <c r="B42" s="45">
        <f>0.003*K41*$K$5</f>
        <v>0.17821795032310117</v>
      </c>
      <c r="C42" s="62">
        <f>B42</f>
        <v>0.17821795032310117</v>
      </c>
      <c r="D42" s="45"/>
      <c r="E42" s="46"/>
      <c r="F42" s="46"/>
      <c r="G42" s="46"/>
      <c r="H42" s="47"/>
      <c r="I42" s="56"/>
      <c r="J42" s="45"/>
      <c r="K42" s="45"/>
      <c r="L42" s="47"/>
      <c r="M42" s="44" t="s">
        <v>51</v>
      </c>
      <c r="N42" s="45">
        <v>0</v>
      </c>
      <c r="O42" s="45"/>
      <c r="P42" s="45"/>
      <c r="Q42" s="46"/>
      <c r="R42" s="46"/>
      <c r="S42" s="46"/>
      <c r="T42" s="47"/>
    </row>
    <row r="43" spans="1:23" x14ac:dyDescent="0.2">
      <c r="A43" s="78"/>
      <c r="B43" s="79" t="s">
        <v>37</v>
      </c>
      <c r="C43" s="79" t="s">
        <v>38</v>
      </c>
      <c r="D43" s="79" t="s">
        <v>39</v>
      </c>
      <c r="E43" s="79" t="s">
        <v>40</v>
      </c>
      <c r="F43" s="79" t="s">
        <v>41</v>
      </c>
      <c r="G43" s="79" t="s">
        <v>42</v>
      </c>
      <c r="H43" s="80"/>
      <c r="I43" s="81"/>
      <c r="J43" s="79"/>
      <c r="K43" s="79"/>
      <c r="L43" s="80"/>
      <c r="M43" s="82"/>
      <c r="N43" s="52"/>
    </row>
    <row r="44" spans="1:23" x14ac:dyDescent="0.2">
      <c r="A44" s="83" t="s">
        <v>36</v>
      </c>
      <c r="B44" s="82">
        <v>2.5</v>
      </c>
      <c r="C44" s="82">
        <v>3.1</v>
      </c>
      <c r="D44" s="82">
        <v>5</v>
      </c>
      <c r="E44" s="84">
        <v>4.5</v>
      </c>
      <c r="F44" s="82">
        <v>5.4</v>
      </c>
      <c r="G44" s="82">
        <v>4.2</v>
      </c>
      <c r="H44" s="85"/>
      <c r="I44" s="86"/>
      <c r="J44" s="82"/>
      <c r="K44" s="82"/>
      <c r="L44" s="85"/>
      <c r="M44" s="82"/>
      <c r="N44" s="52"/>
    </row>
    <row r="45" spans="1:23" x14ac:dyDescent="0.2">
      <c r="A45" s="83" t="s">
        <v>60</v>
      </c>
      <c r="B45" s="82">
        <f>SUM(F48:F52)*A48+SUM(G48:G52)</f>
        <v>96.252802012225359</v>
      </c>
      <c r="C45" s="82"/>
      <c r="D45" s="82"/>
      <c r="E45" s="82"/>
      <c r="F45" s="82"/>
      <c r="G45" s="82"/>
      <c r="H45" s="85"/>
      <c r="I45" s="86"/>
      <c r="J45" s="82"/>
      <c r="K45" s="82"/>
      <c r="L45" s="85"/>
      <c r="M45" s="82"/>
      <c r="N45" s="77"/>
    </row>
    <row r="46" spans="1:23" x14ac:dyDescent="0.2">
      <c r="A46" s="83"/>
      <c r="B46" s="82"/>
      <c r="C46" s="82"/>
      <c r="D46" s="82"/>
      <c r="E46" s="82"/>
      <c r="F46" s="82"/>
      <c r="G46" s="82"/>
      <c r="H46" s="85"/>
      <c r="I46" s="86"/>
      <c r="J46" s="82"/>
      <c r="K46" s="82"/>
      <c r="L46" s="85"/>
      <c r="M46" s="82"/>
      <c r="N46" s="52"/>
    </row>
    <row r="47" spans="1:23" x14ac:dyDescent="0.2">
      <c r="A47" s="82" t="s">
        <v>35</v>
      </c>
      <c r="B47" s="82" t="s">
        <v>0</v>
      </c>
      <c r="C47" s="82" t="s">
        <v>1</v>
      </c>
      <c r="D47" s="82" t="s">
        <v>29</v>
      </c>
      <c r="E47" s="82" t="s">
        <v>43</v>
      </c>
      <c r="F47" s="82" t="s">
        <v>30</v>
      </c>
      <c r="G47" s="82" t="s">
        <v>31</v>
      </c>
      <c r="H47" s="85" t="s">
        <v>4</v>
      </c>
      <c r="I47" s="86"/>
      <c r="J47" s="82" t="s">
        <v>47</v>
      </c>
      <c r="K47" s="82" t="s">
        <v>48</v>
      </c>
      <c r="L47" s="85"/>
      <c r="M47" s="82"/>
      <c r="N47" s="52"/>
    </row>
    <row r="48" spans="1:23" x14ac:dyDescent="0.2">
      <c r="A48" s="87">
        <f>E44</f>
        <v>4.5</v>
      </c>
      <c r="B48" s="82">
        <v>5</v>
      </c>
      <c r="C48" s="82">
        <v>6</v>
      </c>
      <c r="D48" s="82">
        <f>P34</f>
        <v>0.25</v>
      </c>
      <c r="E48" s="82">
        <f>Q34</f>
        <v>25</v>
      </c>
      <c r="F48" s="82">
        <f>(1/SQRT(B48)-1/SQRT(C48))*H48</f>
        <v>4.9999999999999991</v>
      </c>
      <c r="G48" s="82"/>
      <c r="H48" s="85">
        <f>T34</f>
        <v>128.31928289457335</v>
      </c>
      <c r="I48" s="86"/>
      <c r="J48" s="82">
        <f>IF(F48-R34&gt;0,F48-R34,0)</f>
        <v>0</v>
      </c>
      <c r="K48" s="82">
        <f>IF(G48-S34&gt;0,G48-S34,0)</f>
        <v>0</v>
      </c>
      <c r="L48" s="85"/>
      <c r="M48" s="82"/>
      <c r="N48" s="52"/>
    </row>
    <row r="49" spans="1:14" x14ac:dyDescent="0.2">
      <c r="A49" s="87"/>
      <c r="B49" s="88">
        <v>4</v>
      </c>
      <c r="C49" s="88">
        <v>5</v>
      </c>
      <c r="D49" s="88">
        <f t="shared" ref="D49:E52" si="2">P35</f>
        <v>0.5</v>
      </c>
      <c r="E49" s="88">
        <f t="shared" si="2"/>
        <v>50</v>
      </c>
      <c r="F49" s="88">
        <f>(1/SQRT(A48)-1/SQRT(C49))*H49</f>
        <v>5.123720198580374</v>
      </c>
      <c r="G49" s="88">
        <f>(SQRT(A48)-SQRT(B49))*H49</f>
        <v>25.696061118613688</v>
      </c>
      <c r="H49" s="89">
        <f>T35</f>
        <v>211.8033988749894</v>
      </c>
      <c r="I49" s="86"/>
      <c r="J49" s="82">
        <f t="shared" ref="J49:K52" si="3">IF(F49-R35&gt;0,F49-R35,0)</f>
        <v>5.123720198580374</v>
      </c>
      <c r="K49" s="82">
        <f t="shared" si="3"/>
        <v>0</v>
      </c>
      <c r="L49" s="85"/>
      <c r="M49" s="82"/>
      <c r="N49" s="52"/>
    </row>
    <row r="50" spans="1:14" x14ac:dyDescent="0.2">
      <c r="A50" s="87"/>
      <c r="B50" s="82">
        <v>3</v>
      </c>
      <c r="C50" s="82">
        <v>4</v>
      </c>
      <c r="D50" s="82">
        <f t="shared" si="2"/>
        <v>0.25</v>
      </c>
      <c r="E50" s="82">
        <f t="shared" si="2"/>
        <v>25</v>
      </c>
      <c r="F50" s="82">
        <v>0</v>
      </c>
      <c r="G50" s="82">
        <f>(SQRT(C50)-SQRT(B50))*H50</f>
        <v>25</v>
      </c>
      <c r="H50" s="85">
        <f>T36</f>
        <v>93.301270189221896</v>
      </c>
      <c r="I50" s="86"/>
      <c r="J50" s="82">
        <f t="shared" si="3"/>
        <v>0</v>
      </c>
      <c r="K50" s="82">
        <v>0</v>
      </c>
      <c r="L50" s="85"/>
      <c r="M50" s="82"/>
      <c r="N50" s="52"/>
    </row>
    <row r="51" spans="1:14" x14ac:dyDescent="0.2">
      <c r="A51" s="87"/>
      <c r="B51" s="82">
        <v>2</v>
      </c>
      <c r="C51" s="82">
        <v>3</v>
      </c>
      <c r="D51" s="82">
        <f t="shared" si="2"/>
        <v>0</v>
      </c>
      <c r="E51" s="82">
        <f t="shared" si="2"/>
        <v>0</v>
      </c>
      <c r="F51" s="82">
        <v>0</v>
      </c>
      <c r="G51" s="82">
        <f>(SQRT(C51)-SQRT(B51))*H51</f>
        <v>0</v>
      </c>
      <c r="H51" s="85">
        <f>T37</f>
        <v>0</v>
      </c>
      <c r="I51" s="86"/>
      <c r="J51" s="82">
        <f t="shared" si="3"/>
        <v>0</v>
      </c>
      <c r="K51" s="82">
        <f t="shared" si="3"/>
        <v>0</v>
      </c>
      <c r="L51" s="85"/>
      <c r="M51" s="82"/>
      <c r="N51" s="52"/>
    </row>
    <row r="52" spans="1:14" x14ac:dyDescent="0.2">
      <c r="A52" s="87"/>
      <c r="B52" s="82">
        <v>1</v>
      </c>
      <c r="C52" s="82">
        <v>2</v>
      </c>
      <c r="D52" s="82">
        <f t="shared" si="2"/>
        <v>0</v>
      </c>
      <c r="E52" s="82">
        <f t="shared" si="2"/>
        <v>0</v>
      </c>
      <c r="F52" s="82">
        <v>0</v>
      </c>
      <c r="G52" s="82">
        <f>(SQRT(C52)-SQRT(B52))*H52</f>
        <v>0</v>
      </c>
      <c r="H52" s="85">
        <f>T38</f>
        <v>0</v>
      </c>
      <c r="I52" s="86"/>
      <c r="J52" s="82">
        <f t="shared" si="3"/>
        <v>0</v>
      </c>
      <c r="K52" s="82">
        <f t="shared" si="3"/>
        <v>0</v>
      </c>
      <c r="L52" s="85"/>
      <c r="M52" s="82"/>
      <c r="N52" s="52"/>
    </row>
    <row r="53" spans="1:14" x14ac:dyDescent="0.2">
      <c r="A53" s="90"/>
      <c r="B53" s="82"/>
      <c r="C53" s="82"/>
      <c r="D53" s="82"/>
      <c r="E53" s="82"/>
      <c r="F53" s="82"/>
      <c r="G53" s="82"/>
      <c r="H53" s="85"/>
      <c r="I53" s="86"/>
      <c r="J53" s="91">
        <f>SUM(J48:J52)</f>
        <v>5.123720198580374</v>
      </c>
      <c r="K53" s="91">
        <f>SUM(K48:K52)</f>
        <v>0</v>
      </c>
      <c r="L53" s="85"/>
      <c r="M53" s="82"/>
      <c r="N53" s="52"/>
    </row>
    <row r="54" spans="1:14" x14ac:dyDescent="0.2">
      <c r="A54" s="83" t="s">
        <v>44</v>
      </c>
      <c r="B54" s="82"/>
      <c r="C54" s="82"/>
      <c r="D54" s="82"/>
      <c r="E54" s="82"/>
      <c r="F54" s="82">
        <f>SQRT(A48)*SQRT(C51)/(SQRT(C51)-SQRT(A48))</f>
        <v>-9.4387931098259177</v>
      </c>
      <c r="G54" s="82">
        <f>1/(SQRT(A48)-SQRT(B51))</f>
        <v>1.4142135623730956</v>
      </c>
      <c r="H54" s="85"/>
      <c r="I54" s="86" t="s">
        <v>49</v>
      </c>
      <c r="J54" s="82">
        <f>J53*A48</f>
        <v>23.056740893611682</v>
      </c>
      <c r="K54" s="82">
        <f>K53</f>
        <v>0</v>
      </c>
      <c r="L54" s="85"/>
      <c r="M54" s="82"/>
      <c r="N54" s="52"/>
    </row>
    <row r="55" spans="1:14" x14ac:dyDescent="0.2">
      <c r="A55" s="83" t="s">
        <v>45</v>
      </c>
      <c r="B55" s="82"/>
      <c r="C55" s="82"/>
      <c r="D55" s="82"/>
      <c r="E55" s="82"/>
      <c r="F55" s="82"/>
      <c r="G55" s="82"/>
      <c r="H55" s="85"/>
      <c r="I55" s="86"/>
      <c r="J55" s="91"/>
      <c r="K55" s="91">
        <f>K54+J54</f>
        <v>23.056740893611682</v>
      </c>
      <c r="L55" s="85"/>
      <c r="M55" s="82"/>
      <c r="N55" s="52"/>
    </row>
    <row r="56" spans="1:14" ht="17" thickBot="1" x14ac:dyDescent="0.25">
      <c r="A56" s="92" t="s">
        <v>51</v>
      </c>
      <c r="B56" s="93">
        <f>0.003*K55*$K$5</f>
        <v>6.9170222680835045E-2</v>
      </c>
      <c r="C56" s="93">
        <f>B56</f>
        <v>6.9170222680835045E-2</v>
      </c>
      <c r="D56" s="93"/>
      <c r="E56" s="93"/>
      <c r="F56" s="93"/>
      <c r="G56" s="93"/>
      <c r="H56" s="94"/>
      <c r="I56" s="95"/>
      <c r="J56" s="93"/>
      <c r="K56" s="93"/>
      <c r="L56" s="94"/>
      <c r="M56" s="82"/>
      <c r="N56" s="52"/>
    </row>
    <row r="57" spans="1:14" x14ac:dyDescent="0.2">
      <c r="A57" s="78"/>
      <c r="B57" s="79" t="s">
        <v>37</v>
      </c>
      <c r="C57" s="79" t="s">
        <v>38</v>
      </c>
      <c r="D57" s="79" t="s">
        <v>39</v>
      </c>
      <c r="E57" s="79" t="s">
        <v>40</v>
      </c>
      <c r="F57" s="79" t="s">
        <v>41</v>
      </c>
      <c r="G57" s="79" t="s">
        <v>42</v>
      </c>
      <c r="H57" s="80"/>
      <c r="I57" s="81"/>
      <c r="J57" s="79"/>
      <c r="K57" s="79"/>
      <c r="L57" s="80"/>
      <c r="M57" s="82"/>
      <c r="N57" s="52"/>
    </row>
    <row r="58" spans="1:14" x14ac:dyDescent="0.2">
      <c r="A58" s="83" t="s">
        <v>36</v>
      </c>
      <c r="B58" s="82">
        <v>2.5</v>
      </c>
      <c r="C58" s="82">
        <v>3.1</v>
      </c>
      <c r="D58" s="82">
        <v>5</v>
      </c>
      <c r="E58" s="82">
        <v>4.5</v>
      </c>
      <c r="F58" s="84">
        <v>5.4</v>
      </c>
      <c r="G58" s="82">
        <v>4.2</v>
      </c>
      <c r="H58" s="85"/>
      <c r="I58" s="86"/>
      <c r="J58" s="82"/>
      <c r="K58" s="82"/>
      <c r="L58" s="85"/>
      <c r="M58" s="82"/>
      <c r="N58" s="52"/>
    </row>
    <row r="59" spans="1:14" x14ac:dyDescent="0.2">
      <c r="A59" s="83" t="s">
        <v>61</v>
      </c>
      <c r="B59" s="82">
        <f>SUM(F62:F66)*A62+SUM(G62:G66)</f>
        <v>101.55840487486566</v>
      </c>
      <c r="C59" s="82"/>
      <c r="D59" s="82"/>
      <c r="E59" s="82"/>
      <c r="F59" s="82"/>
      <c r="G59" s="82"/>
      <c r="H59" s="85"/>
      <c r="I59" s="86"/>
      <c r="J59" s="82"/>
      <c r="K59" s="82"/>
      <c r="L59" s="85"/>
      <c r="M59" s="82"/>
      <c r="N59" s="52"/>
    </row>
    <row r="60" spans="1:14" x14ac:dyDescent="0.2">
      <c r="A60" s="83"/>
      <c r="B60" s="82"/>
      <c r="C60" s="82"/>
      <c r="D60" s="82"/>
      <c r="E60" s="82"/>
      <c r="F60" s="82"/>
      <c r="G60" s="82"/>
      <c r="H60" s="85"/>
      <c r="I60" s="86"/>
      <c r="J60" s="82"/>
      <c r="K60" s="82"/>
      <c r="L60" s="85"/>
      <c r="M60" s="82"/>
      <c r="N60" s="52"/>
    </row>
    <row r="61" spans="1:14" x14ac:dyDescent="0.2">
      <c r="A61" s="82" t="s">
        <v>35</v>
      </c>
      <c r="B61" s="82" t="s">
        <v>0</v>
      </c>
      <c r="C61" s="82" t="s">
        <v>1</v>
      </c>
      <c r="D61" s="82" t="s">
        <v>29</v>
      </c>
      <c r="E61" s="82" t="s">
        <v>43</v>
      </c>
      <c r="F61" s="82" t="s">
        <v>30</v>
      </c>
      <c r="G61" s="82" t="s">
        <v>31</v>
      </c>
      <c r="H61" s="85" t="s">
        <v>4</v>
      </c>
      <c r="I61" s="86"/>
      <c r="J61" s="82" t="s">
        <v>47</v>
      </c>
      <c r="K61" s="82" t="s">
        <v>48</v>
      </c>
      <c r="L61" s="85"/>
      <c r="M61" s="82"/>
      <c r="N61" s="52"/>
    </row>
    <row r="62" spans="1:14" x14ac:dyDescent="0.2">
      <c r="A62" s="87">
        <f>F58</f>
        <v>5.4</v>
      </c>
      <c r="B62" s="88">
        <v>5</v>
      </c>
      <c r="C62" s="88">
        <v>6</v>
      </c>
      <c r="D62" s="88">
        <f t="shared" ref="D62:E66" si="4">D48</f>
        <v>0.25</v>
      </c>
      <c r="E62" s="88">
        <f t="shared" si="4"/>
        <v>25</v>
      </c>
      <c r="F62" s="88">
        <f>(1/SQRT(A62)-1/SQRT(C62))*H62</f>
        <v>2.8336994189594709</v>
      </c>
      <c r="G62" s="88">
        <f>(SQRT(A62)-SQRT(B62))*H62</f>
        <v>11.256428012484513</v>
      </c>
      <c r="H62" s="89">
        <f>H48</f>
        <v>128.31928289457335</v>
      </c>
      <c r="I62" s="86"/>
      <c r="J62" s="82">
        <f t="shared" ref="J62:K66" si="5">IF(F62-F48&gt;0,F62-F48,0)+J48</f>
        <v>0</v>
      </c>
      <c r="K62" s="82">
        <f t="shared" si="5"/>
        <v>11.256428012484513</v>
      </c>
      <c r="L62" s="85"/>
      <c r="M62" s="82"/>
      <c r="N62" s="52"/>
    </row>
    <row r="63" spans="1:14" x14ac:dyDescent="0.2">
      <c r="A63" s="87"/>
      <c r="B63" s="82">
        <v>4</v>
      </c>
      <c r="C63" s="82">
        <v>5</v>
      </c>
      <c r="D63" s="82">
        <f t="shared" si="4"/>
        <v>0.5</v>
      </c>
      <c r="E63" s="82">
        <f t="shared" si="4"/>
        <v>50</v>
      </c>
      <c r="F63" s="82">
        <v>0</v>
      </c>
      <c r="G63" s="82">
        <f>(SQRT(C63)-SQRT(B63))*H63</f>
        <v>50</v>
      </c>
      <c r="H63" s="85">
        <f>H49</f>
        <v>211.8033988749894</v>
      </c>
      <c r="I63" s="86"/>
      <c r="J63" s="82">
        <f t="shared" si="5"/>
        <v>5.123720198580374</v>
      </c>
      <c r="K63" s="82">
        <f t="shared" si="5"/>
        <v>24.303938881386312</v>
      </c>
      <c r="L63" s="85"/>
      <c r="M63" s="82"/>
      <c r="N63" s="52"/>
    </row>
    <row r="64" spans="1:14" x14ac:dyDescent="0.2">
      <c r="A64" s="87"/>
      <c r="B64" s="82">
        <v>3</v>
      </c>
      <c r="C64" s="82">
        <v>4</v>
      </c>
      <c r="D64" s="82">
        <f t="shared" si="4"/>
        <v>0.25</v>
      </c>
      <c r="E64" s="82">
        <f t="shared" si="4"/>
        <v>25</v>
      </c>
      <c r="F64" s="82">
        <v>0</v>
      </c>
      <c r="G64" s="82">
        <f>(SQRT(C64)-SQRT(B64))*H64</f>
        <v>25</v>
      </c>
      <c r="H64" s="85">
        <f>H50</f>
        <v>93.301270189221896</v>
      </c>
      <c r="I64" s="86"/>
      <c r="J64" s="82">
        <f t="shared" si="5"/>
        <v>0</v>
      </c>
      <c r="K64" s="82">
        <f t="shared" si="5"/>
        <v>0</v>
      </c>
      <c r="L64" s="85"/>
      <c r="M64" s="82"/>
      <c r="N64" s="52"/>
    </row>
    <row r="65" spans="1:14" x14ac:dyDescent="0.2">
      <c r="A65" s="87"/>
      <c r="B65" s="82">
        <v>2</v>
      </c>
      <c r="C65" s="82">
        <v>3</v>
      </c>
      <c r="D65" s="82">
        <f t="shared" si="4"/>
        <v>0</v>
      </c>
      <c r="E65" s="82">
        <f t="shared" si="4"/>
        <v>0</v>
      </c>
      <c r="F65" s="82">
        <v>0</v>
      </c>
      <c r="G65" s="82">
        <f>(SQRT(C65)-SQRT(B65))*H65</f>
        <v>0</v>
      </c>
      <c r="H65" s="85">
        <f>T51</f>
        <v>0</v>
      </c>
      <c r="I65" s="86"/>
      <c r="J65" s="82">
        <f t="shared" si="5"/>
        <v>0</v>
      </c>
      <c r="K65" s="82">
        <f t="shared" si="5"/>
        <v>0</v>
      </c>
      <c r="L65" s="85"/>
      <c r="M65" s="82"/>
      <c r="N65" s="52"/>
    </row>
    <row r="66" spans="1:14" x14ac:dyDescent="0.2">
      <c r="A66" s="87"/>
      <c r="B66" s="82">
        <v>1</v>
      </c>
      <c r="C66" s="82">
        <v>2</v>
      </c>
      <c r="D66" s="82">
        <f t="shared" si="4"/>
        <v>0</v>
      </c>
      <c r="E66" s="82">
        <f t="shared" si="4"/>
        <v>0</v>
      </c>
      <c r="F66" s="82">
        <v>0</v>
      </c>
      <c r="G66" s="82">
        <f>(SQRT(C66)-SQRT(B66))*H66</f>
        <v>0</v>
      </c>
      <c r="H66" s="85">
        <f>T52</f>
        <v>0</v>
      </c>
      <c r="I66" s="86"/>
      <c r="J66" s="82">
        <f t="shared" si="5"/>
        <v>0</v>
      </c>
      <c r="K66" s="82">
        <f t="shared" si="5"/>
        <v>0</v>
      </c>
      <c r="L66" s="85"/>
      <c r="M66" s="82"/>
      <c r="N66" s="52"/>
    </row>
    <row r="67" spans="1:14" x14ac:dyDescent="0.2">
      <c r="A67" s="90"/>
      <c r="B67" s="82"/>
      <c r="C67" s="82"/>
      <c r="D67" s="82"/>
      <c r="E67" s="82"/>
      <c r="F67" s="82"/>
      <c r="G67" s="82"/>
      <c r="H67" s="85"/>
      <c r="I67" s="86"/>
      <c r="J67" s="91">
        <f>SUM(J62:J66)</f>
        <v>5.123720198580374</v>
      </c>
      <c r="K67" s="91">
        <f>SUM(K62:K66)</f>
        <v>35.560366893870821</v>
      </c>
      <c r="L67" s="85"/>
      <c r="M67" s="82"/>
      <c r="N67" s="52"/>
    </row>
    <row r="68" spans="1:14" x14ac:dyDescent="0.2">
      <c r="A68" s="83" t="s">
        <v>44</v>
      </c>
      <c r="B68" s="82"/>
      <c r="C68" s="82"/>
      <c r="D68" s="82"/>
      <c r="E68" s="82"/>
      <c r="F68" s="82">
        <f>SQRT(A62)*SQRT(C65)/(SQRT(C65)-SQRT(A62))</f>
        <v>-6.8018518266855343</v>
      </c>
      <c r="G68" s="82">
        <f>1/(SQRT(A62)-SQRT(B65))</f>
        <v>1.0994128147345721</v>
      </c>
      <c r="H68" s="85"/>
      <c r="I68" s="86" t="s">
        <v>49</v>
      </c>
      <c r="J68" s="82">
        <f>J67*A62</f>
        <v>27.66808907233402</v>
      </c>
      <c r="K68" s="82">
        <f>K67</f>
        <v>35.560366893870821</v>
      </c>
      <c r="L68" s="85"/>
      <c r="M68" s="82"/>
      <c r="N68" s="52"/>
    </row>
    <row r="69" spans="1:14" x14ac:dyDescent="0.2">
      <c r="A69" s="83" t="s">
        <v>45</v>
      </c>
      <c r="B69" s="82"/>
      <c r="C69" s="82"/>
      <c r="D69" s="82"/>
      <c r="E69" s="82"/>
      <c r="F69" s="82"/>
      <c r="G69" s="82"/>
      <c r="H69" s="85"/>
      <c r="I69" s="86"/>
      <c r="J69" s="91"/>
      <c r="K69" s="91">
        <f>K68+J68</f>
        <v>63.228455966204841</v>
      </c>
      <c r="L69" s="85"/>
      <c r="M69" s="82"/>
      <c r="N69" s="52"/>
    </row>
    <row r="70" spans="1:14" ht="17" thickBot="1" x14ac:dyDescent="0.25">
      <c r="A70" s="92" t="s">
        <v>51</v>
      </c>
      <c r="B70" s="93">
        <f>0.003*K69*$K$5</f>
        <v>0.18968536789861454</v>
      </c>
      <c r="C70" s="93">
        <f>B70</f>
        <v>0.18968536789861454</v>
      </c>
      <c r="D70" s="93"/>
      <c r="E70" s="93"/>
      <c r="F70" s="93"/>
      <c r="G70" s="93"/>
      <c r="H70" s="94"/>
      <c r="I70" s="95"/>
      <c r="J70" s="93"/>
      <c r="K70" s="93"/>
      <c r="L70" s="94"/>
      <c r="M70" s="82"/>
      <c r="N70" s="52"/>
    </row>
    <row r="71" spans="1:14" x14ac:dyDescent="0.2">
      <c r="A71" s="78"/>
      <c r="B71" s="79" t="s">
        <v>37</v>
      </c>
      <c r="C71" s="79" t="s">
        <v>38</v>
      </c>
      <c r="D71" s="79" t="s">
        <v>39</v>
      </c>
      <c r="E71" s="79" t="s">
        <v>40</v>
      </c>
      <c r="F71" s="79" t="s">
        <v>41</v>
      </c>
      <c r="G71" s="79" t="s">
        <v>42</v>
      </c>
      <c r="H71" s="80"/>
      <c r="I71" s="81"/>
      <c r="J71" s="79"/>
      <c r="K71" s="79"/>
      <c r="L71" s="80"/>
      <c r="M71" s="82"/>
      <c r="N71" s="52"/>
    </row>
    <row r="72" spans="1:14" x14ac:dyDescent="0.2">
      <c r="A72" s="83" t="s">
        <v>36</v>
      </c>
      <c r="B72" s="82">
        <v>2.5</v>
      </c>
      <c r="C72" s="82">
        <v>3.1</v>
      </c>
      <c r="D72" s="82">
        <v>5</v>
      </c>
      <c r="E72" s="82">
        <v>4.5</v>
      </c>
      <c r="F72" s="82">
        <v>5.4</v>
      </c>
      <c r="G72" s="84">
        <v>4.2</v>
      </c>
      <c r="H72" s="85"/>
      <c r="I72" s="86"/>
      <c r="J72" s="82"/>
      <c r="K72" s="82"/>
      <c r="L72" s="85"/>
      <c r="M72" s="82"/>
      <c r="N72" s="52"/>
    </row>
    <row r="73" spans="1:14" x14ac:dyDescent="0.2">
      <c r="A73" s="83" t="s">
        <v>62</v>
      </c>
      <c r="B73" s="82">
        <f>SUM(F76:F80)*A76+SUM(G76:G80)</f>
        <v>92.699092274006631</v>
      </c>
      <c r="C73" s="82"/>
      <c r="D73" s="82"/>
      <c r="E73" s="82"/>
      <c r="F73" s="82"/>
      <c r="G73" s="82"/>
      <c r="H73" s="85"/>
      <c r="I73" s="86"/>
      <c r="J73" s="82"/>
      <c r="K73" s="82"/>
      <c r="L73" s="85"/>
      <c r="M73" s="82"/>
      <c r="N73" s="52"/>
    </row>
    <row r="74" spans="1:14" x14ac:dyDescent="0.2">
      <c r="A74" s="83"/>
      <c r="B74" s="82"/>
      <c r="C74" s="82"/>
      <c r="D74" s="82"/>
      <c r="E74" s="82"/>
      <c r="F74" s="82"/>
      <c r="G74" s="82"/>
      <c r="H74" s="85"/>
      <c r="I74" s="86"/>
      <c r="J74" s="82"/>
      <c r="K74" s="82"/>
      <c r="L74" s="85"/>
      <c r="M74" s="82"/>
      <c r="N74" s="52"/>
    </row>
    <row r="75" spans="1:14" x14ac:dyDescent="0.2">
      <c r="A75" s="82" t="s">
        <v>35</v>
      </c>
      <c r="B75" s="82" t="s">
        <v>0</v>
      </c>
      <c r="C75" s="82" t="s">
        <v>1</v>
      </c>
      <c r="D75" s="82" t="s">
        <v>29</v>
      </c>
      <c r="E75" s="82" t="s">
        <v>43</v>
      </c>
      <c r="F75" s="82" t="s">
        <v>30</v>
      </c>
      <c r="G75" s="82" t="s">
        <v>31</v>
      </c>
      <c r="H75" s="85" t="s">
        <v>4</v>
      </c>
      <c r="I75" s="86"/>
      <c r="J75" s="82" t="s">
        <v>47</v>
      </c>
      <c r="K75" s="82" t="s">
        <v>48</v>
      </c>
      <c r="L75" s="85"/>
      <c r="M75" s="82"/>
      <c r="N75" s="52"/>
    </row>
    <row r="76" spans="1:14" x14ac:dyDescent="0.2">
      <c r="A76" s="87">
        <f>G72</f>
        <v>4.2</v>
      </c>
      <c r="B76" s="82">
        <v>5</v>
      </c>
      <c r="C76" s="82">
        <v>6</v>
      </c>
      <c r="D76" s="82">
        <f t="shared" ref="D76:E80" si="6">D62</f>
        <v>0.25</v>
      </c>
      <c r="E76" s="82">
        <f t="shared" si="6"/>
        <v>25</v>
      </c>
      <c r="F76" s="82">
        <f>(1/SQRT(B76)-1/SQRT(C76))*H76</f>
        <v>4.9999999999999991</v>
      </c>
      <c r="G76" s="82">
        <v>0</v>
      </c>
      <c r="H76" s="85">
        <f>H62</f>
        <v>128.31928289457335</v>
      </c>
      <c r="I76" s="86"/>
      <c r="J76" s="82">
        <f t="shared" ref="J76:K80" si="7">IF(F76-F62&gt;0,F76-F62,0)+J62</f>
        <v>2.1663005810405283</v>
      </c>
      <c r="K76" s="82">
        <f t="shared" si="7"/>
        <v>11.256428012484513</v>
      </c>
      <c r="L76" s="85"/>
      <c r="M76" s="82"/>
      <c r="N76" s="52"/>
    </row>
    <row r="77" spans="1:14" x14ac:dyDescent="0.2">
      <c r="A77" s="87"/>
      <c r="B77" s="88">
        <v>4</v>
      </c>
      <c r="C77" s="88">
        <v>5</v>
      </c>
      <c r="D77" s="88">
        <f t="shared" si="6"/>
        <v>0.5</v>
      </c>
      <c r="E77" s="88">
        <f t="shared" si="6"/>
        <v>50</v>
      </c>
      <c r="F77" s="88">
        <f>(1/SQRT(A76)-1/SQRT(C77))*H77</f>
        <v>8.6281166564289506</v>
      </c>
      <c r="G77" s="88">
        <f>(SQRT(A76)-SQRT(B77))*H77</f>
        <v>10.461002317005033</v>
      </c>
      <c r="H77" s="89">
        <f>H63</f>
        <v>211.8033988749894</v>
      </c>
      <c r="I77" s="86"/>
      <c r="J77" s="82">
        <f t="shared" si="7"/>
        <v>13.751836855009325</v>
      </c>
      <c r="K77" s="82">
        <f t="shared" si="7"/>
        <v>24.303938881386312</v>
      </c>
      <c r="L77" s="85"/>
      <c r="M77" s="82"/>
      <c r="N77" s="52"/>
    </row>
    <row r="78" spans="1:14" x14ac:dyDescent="0.2">
      <c r="A78" s="87"/>
      <c r="B78" s="82">
        <v>3</v>
      </c>
      <c r="C78" s="82">
        <v>4</v>
      </c>
      <c r="D78" s="82">
        <f t="shared" si="6"/>
        <v>0.25</v>
      </c>
      <c r="E78" s="82">
        <f t="shared" si="6"/>
        <v>25</v>
      </c>
      <c r="F78" s="82">
        <v>0</v>
      </c>
      <c r="G78" s="82">
        <f>(SQRT(C78)-SQRT(B78))*H78</f>
        <v>25</v>
      </c>
      <c r="H78" s="85">
        <f>H64</f>
        <v>93.301270189221896</v>
      </c>
      <c r="I78" s="86"/>
      <c r="J78" s="82">
        <f t="shared" si="7"/>
        <v>0</v>
      </c>
      <c r="K78" s="82">
        <f t="shared" si="7"/>
        <v>0</v>
      </c>
      <c r="L78" s="85"/>
      <c r="M78" s="82"/>
      <c r="N78" s="52"/>
    </row>
    <row r="79" spans="1:14" x14ac:dyDescent="0.2">
      <c r="A79" s="87"/>
      <c r="B79" s="82">
        <v>2</v>
      </c>
      <c r="C79" s="82">
        <v>3</v>
      </c>
      <c r="D79" s="82">
        <f t="shared" si="6"/>
        <v>0</v>
      </c>
      <c r="E79" s="82">
        <f t="shared" si="6"/>
        <v>0</v>
      </c>
      <c r="F79" s="82">
        <v>0</v>
      </c>
      <c r="G79" s="82">
        <f>(SQRT(C79)-SQRT(B79))*H79</f>
        <v>0</v>
      </c>
      <c r="H79" s="85">
        <f>T65</f>
        <v>0</v>
      </c>
      <c r="I79" s="86"/>
      <c r="J79" s="82">
        <f t="shared" si="7"/>
        <v>0</v>
      </c>
      <c r="K79" s="82">
        <f t="shared" si="7"/>
        <v>0</v>
      </c>
      <c r="L79" s="85"/>
      <c r="M79" s="82"/>
      <c r="N79" s="52"/>
    </row>
    <row r="80" spans="1:14" x14ac:dyDescent="0.2">
      <c r="A80" s="87"/>
      <c r="B80" s="82">
        <v>1</v>
      </c>
      <c r="C80" s="82">
        <v>2</v>
      </c>
      <c r="D80" s="82">
        <f t="shared" si="6"/>
        <v>0</v>
      </c>
      <c r="E80" s="82">
        <f t="shared" si="6"/>
        <v>0</v>
      </c>
      <c r="F80" s="82">
        <v>0</v>
      </c>
      <c r="G80" s="82">
        <f>(SQRT(C80)-SQRT(B80))*H80</f>
        <v>0</v>
      </c>
      <c r="H80" s="85">
        <f>T66</f>
        <v>0</v>
      </c>
      <c r="I80" s="86"/>
      <c r="J80" s="82">
        <f t="shared" si="7"/>
        <v>0</v>
      </c>
      <c r="K80" s="82">
        <f t="shared" si="7"/>
        <v>0</v>
      </c>
      <c r="L80" s="85"/>
      <c r="M80" s="82"/>
      <c r="N80" s="52"/>
    </row>
    <row r="81" spans="1:14" x14ac:dyDescent="0.2">
      <c r="A81" s="90"/>
      <c r="B81" s="82"/>
      <c r="C81" s="82"/>
      <c r="D81" s="82"/>
      <c r="E81" s="82"/>
      <c r="F81" s="82"/>
      <c r="G81" s="82"/>
      <c r="H81" s="85"/>
      <c r="I81" s="86"/>
      <c r="J81" s="91">
        <f>SUM(J76:J80)</f>
        <v>15.918137436049854</v>
      </c>
      <c r="K81" s="91">
        <f>SUM(K76:K80)</f>
        <v>35.560366893870821</v>
      </c>
      <c r="L81" s="85"/>
      <c r="M81" s="82"/>
      <c r="N81" s="52"/>
    </row>
    <row r="82" spans="1:14" x14ac:dyDescent="0.2">
      <c r="A82" s="83" t="s">
        <v>44</v>
      </c>
      <c r="B82" s="82"/>
      <c r="C82" s="82"/>
      <c r="D82" s="82"/>
      <c r="E82" s="82"/>
      <c r="F82" s="82">
        <f>SQRT(A76)*SQRT(C79)/(SQRT(C79)-SQRT(A76))</f>
        <v>-11.185653209470861</v>
      </c>
      <c r="G82" s="82">
        <f>1/(SQRT(A76)-SQRT(B79))</f>
        <v>1.5743653252568246</v>
      </c>
      <c r="H82" s="85"/>
      <c r="I82" s="86" t="s">
        <v>49</v>
      </c>
      <c r="J82" s="82">
        <f>J81*A76</f>
        <v>66.85617723140939</v>
      </c>
      <c r="K82" s="82">
        <f>K81</f>
        <v>35.560366893870821</v>
      </c>
      <c r="L82" s="85"/>
      <c r="M82" s="82"/>
      <c r="N82" s="52"/>
    </row>
    <row r="83" spans="1:14" x14ac:dyDescent="0.2">
      <c r="A83" s="83" t="s">
        <v>45</v>
      </c>
      <c r="B83" s="82"/>
      <c r="C83" s="82"/>
      <c r="D83" s="82"/>
      <c r="E83" s="82"/>
      <c r="F83" s="82"/>
      <c r="G83" s="82"/>
      <c r="H83" s="85"/>
      <c r="I83" s="86"/>
      <c r="J83" s="91"/>
      <c r="K83" s="91">
        <f>K82+J82</f>
        <v>102.41654412528021</v>
      </c>
      <c r="L83" s="85"/>
      <c r="M83" s="82"/>
      <c r="N83" s="52"/>
    </row>
    <row r="84" spans="1:14" ht="17" thickBot="1" x14ac:dyDescent="0.25">
      <c r="A84" s="92" t="s">
        <v>51</v>
      </c>
      <c r="B84" s="93">
        <f>0.003*K83*$K$5</f>
        <v>0.30724963237584063</v>
      </c>
      <c r="C84" s="93">
        <f>B84</f>
        <v>0.30724963237584063</v>
      </c>
      <c r="D84" s="93"/>
      <c r="E84" s="93"/>
      <c r="F84" s="93"/>
      <c r="G84" s="93"/>
      <c r="H84" s="94"/>
      <c r="I84" s="95"/>
      <c r="J84" s="93"/>
      <c r="K84" s="93"/>
      <c r="L84" s="94"/>
      <c r="M84" s="82"/>
      <c r="N84" s="52"/>
    </row>
    <row r="85" spans="1:14" ht="17" thickBot="1" x14ac:dyDescent="0.25">
      <c r="A85" s="96" t="s">
        <v>63</v>
      </c>
      <c r="B85" s="97">
        <f>B73+C84-B83</f>
        <v>93.006341906382474</v>
      </c>
      <c r="C85" s="97">
        <f>C84+C42</f>
        <v>0.4854675826989418</v>
      </c>
      <c r="D85" s="97">
        <f>B83+N41+B13</f>
        <v>0</v>
      </c>
      <c r="E85" s="97"/>
      <c r="F85" s="97"/>
      <c r="G85" s="97"/>
      <c r="H85" s="98"/>
      <c r="I85" s="82"/>
      <c r="J85" s="82"/>
      <c r="K85" s="82"/>
      <c r="L85" s="82"/>
      <c r="M85" s="82"/>
      <c r="N85" s="52"/>
    </row>
    <row r="86" spans="1:14" x14ac:dyDescent="0.2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52"/>
    </row>
    <row r="87" spans="1:14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</row>
    <row r="88" spans="1:14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</row>
    <row r="89" spans="1:14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</row>
  </sheetData>
  <mergeCells count="7">
    <mergeCell ref="A62:A66"/>
    <mergeCell ref="A76:A80"/>
    <mergeCell ref="A6:A10"/>
    <mergeCell ref="A20:A24"/>
    <mergeCell ref="A34:A38"/>
    <mergeCell ref="M34:M38"/>
    <mergeCell ref="A48:A5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3FE0-1CA8-A549-8DE6-2864F2A6C24E}">
  <dimension ref="A1:Z85"/>
  <sheetViews>
    <sheetView zoomScale="82" zoomScaleNormal="90" workbookViewId="0">
      <selection activeCell="I97" sqref="I97"/>
    </sheetView>
  </sheetViews>
  <sheetFormatPr baseColWidth="10" defaultRowHeight="16" x14ac:dyDescent="0.2"/>
  <cols>
    <col min="1" max="1" width="24.1640625" customWidth="1"/>
    <col min="2" max="2" width="12.6640625" customWidth="1"/>
    <col min="3" max="3" width="17.83203125" customWidth="1"/>
    <col min="4" max="5" width="9.33203125" customWidth="1"/>
    <col min="10" max="10" width="16.1640625" customWidth="1"/>
    <col min="11" max="11" width="13.5" bestFit="1" customWidth="1"/>
    <col min="14" max="14" width="18" customWidth="1"/>
    <col min="22" max="22" width="16.1640625" customWidth="1"/>
    <col min="23" max="24" width="11.6640625" customWidth="1"/>
  </cols>
  <sheetData>
    <row r="1" spans="1:21" ht="17" thickBot="1" x14ac:dyDescent="0.25">
      <c r="A1" s="39"/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1"/>
    </row>
    <row r="2" spans="1:21" ht="17" thickBot="1" x14ac:dyDescent="0.25">
      <c r="A2" s="42" t="s">
        <v>36</v>
      </c>
      <c r="B2" s="38">
        <v>2.5</v>
      </c>
      <c r="C2">
        <v>3.1</v>
      </c>
      <c r="D2" s="63">
        <v>5</v>
      </c>
      <c r="E2">
        <v>4.5</v>
      </c>
      <c r="F2">
        <v>5.4</v>
      </c>
      <c r="G2">
        <v>4.2</v>
      </c>
      <c r="H2" s="43"/>
      <c r="J2" s="99" t="s">
        <v>69</v>
      </c>
      <c r="K2" s="99">
        <f>MIN(B2:G2)*0.95</f>
        <v>2.375</v>
      </c>
      <c r="O2" s="36"/>
      <c r="P2" s="36"/>
      <c r="Q2" s="36"/>
      <c r="R2" s="36"/>
      <c r="S2" s="36"/>
      <c r="T2" s="36"/>
    </row>
    <row r="3" spans="1:21" x14ac:dyDescent="0.2">
      <c r="A3" s="42" t="s">
        <v>34</v>
      </c>
      <c r="B3">
        <v>100</v>
      </c>
      <c r="H3" s="43"/>
      <c r="J3" s="99" t="s">
        <v>70</v>
      </c>
      <c r="K3" s="99">
        <f>MAX(B2:G2)*1.05</f>
        <v>5.6700000000000008</v>
      </c>
      <c r="O3" s="36"/>
      <c r="P3" s="35"/>
      <c r="Q3" s="35"/>
      <c r="R3" s="35"/>
      <c r="S3" s="35"/>
      <c r="T3" s="35"/>
      <c r="U3" s="35"/>
    </row>
    <row r="4" spans="1:21" x14ac:dyDescent="0.2">
      <c r="A4" t="s">
        <v>64</v>
      </c>
      <c r="B4">
        <f>B3-B13</f>
        <v>99.90325</v>
      </c>
      <c r="H4" s="43"/>
      <c r="J4" t="s">
        <v>58</v>
      </c>
      <c r="K4">
        <v>30</v>
      </c>
      <c r="O4" s="36"/>
      <c r="P4" s="35"/>
      <c r="Q4" s="35"/>
      <c r="R4" s="35"/>
      <c r="S4" s="35"/>
      <c r="T4" s="35"/>
      <c r="U4" s="35"/>
    </row>
    <row r="5" spans="1:21" x14ac:dyDescent="0.2">
      <c r="A5" t="s">
        <v>35</v>
      </c>
      <c r="B5" t="s">
        <v>0</v>
      </c>
      <c r="C5" t="s">
        <v>1</v>
      </c>
      <c r="D5" t="s">
        <v>29</v>
      </c>
      <c r="E5" t="s">
        <v>43</v>
      </c>
      <c r="F5" t="s">
        <v>30</v>
      </c>
      <c r="G5" t="s">
        <v>31</v>
      </c>
      <c r="H5" s="43" t="s">
        <v>4</v>
      </c>
      <c r="J5" t="s">
        <v>59</v>
      </c>
      <c r="K5">
        <v>1</v>
      </c>
      <c r="O5" s="36"/>
      <c r="P5" s="35"/>
      <c r="Q5" s="35"/>
      <c r="R5" s="35"/>
      <c r="S5" s="35"/>
      <c r="T5" s="35"/>
      <c r="U5" s="35"/>
    </row>
    <row r="6" spans="1:21" x14ac:dyDescent="0.2">
      <c r="A6" s="67">
        <f>B2</f>
        <v>2.5</v>
      </c>
      <c r="B6">
        <v>5</v>
      </c>
      <c r="C6">
        <v>6</v>
      </c>
      <c r="D6">
        <v>0</v>
      </c>
      <c r="E6">
        <f>$B$4*D6</f>
        <v>0</v>
      </c>
      <c r="F6">
        <f>E6/A6</f>
        <v>0</v>
      </c>
      <c r="G6">
        <v>0</v>
      </c>
      <c r="H6" s="43">
        <f>F6*SQRT(B6*C6)/(SQRT(C6)-SQRT(B6))</f>
        <v>0</v>
      </c>
      <c r="O6" s="36"/>
      <c r="P6" s="35"/>
      <c r="Q6" s="35"/>
      <c r="R6" s="35"/>
      <c r="S6" s="35"/>
      <c r="T6" s="35"/>
      <c r="U6" s="35"/>
    </row>
    <row r="7" spans="1:21" x14ac:dyDescent="0.2">
      <c r="A7" s="67"/>
      <c r="B7">
        <v>4</v>
      </c>
      <c r="C7">
        <v>5</v>
      </c>
      <c r="D7">
        <v>0</v>
      </c>
      <c r="E7">
        <f>$B$4*D7</f>
        <v>0</v>
      </c>
      <c r="F7">
        <f>E7/A6</f>
        <v>0</v>
      </c>
      <c r="G7">
        <v>0</v>
      </c>
      <c r="H7" s="43">
        <f>F7*SQRT(B7*C7)/(SQRT(C7)-SQRT(B7))</f>
        <v>0</v>
      </c>
      <c r="O7" s="36"/>
      <c r="P7" s="35"/>
      <c r="Q7" s="35"/>
      <c r="R7" s="35"/>
      <c r="S7" s="35"/>
      <c r="T7" s="35"/>
      <c r="U7" s="35"/>
    </row>
    <row r="8" spans="1:21" x14ac:dyDescent="0.2">
      <c r="A8" s="67"/>
      <c r="B8">
        <v>3</v>
      </c>
      <c r="C8">
        <v>4</v>
      </c>
      <c r="D8">
        <v>0.25</v>
      </c>
      <c r="E8">
        <f>$B$4*D8</f>
        <v>24.9758125</v>
      </c>
      <c r="F8">
        <f>E8/A6</f>
        <v>9.9903250000000003</v>
      </c>
      <c r="G8">
        <v>0</v>
      </c>
      <c r="H8" s="43">
        <f>F8*SQRT(B8*C8)/(SQRT(C8)-SQRT(B8))</f>
        <v>129.15695193650214</v>
      </c>
      <c r="O8" s="36"/>
      <c r="P8" s="35"/>
      <c r="Q8" s="35"/>
      <c r="R8" s="35"/>
      <c r="S8" s="35"/>
      <c r="T8" s="35"/>
      <c r="U8" s="35"/>
    </row>
    <row r="9" spans="1:21" x14ac:dyDescent="0.2">
      <c r="A9" s="67"/>
      <c r="B9" s="34">
        <v>2</v>
      </c>
      <c r="C9" s="34">
        <v>3</v>
      </c>
      <c r="D9" s="34">
        <v>0.5</v>
      </c>
      <c r="E9" s="34">
        <f>$B$4*D9</f>
        <v>49.951625</v>
      </c>
      <c r="F9" s="34">
        <f>E9/(A6+F12/G12)</f>
        <v>9.0341384866443377</v>
      </c>
      <c r="G9" s="34">
        <f>F12/G12*F9</f>
        <v>27.366278783389156</v>
      </c>
      <c r="H9" s="49">
        <f>IF(F9*F12=G9*G12,
F9*F12,
"ошибка")</f>
        <v>163.94329725295549</v>
      </c>
      <c r="O9" s="36"/>
      <c r="P9" s="35"/>
      <c r="Q9" s="35"/>
      <c r="R9" s="35"/>
      <c r="S9" s="35"/>
      <c r="T9" s="35"/>
      <c r="U9" s="35"/>
    </row>
    <row r="10" spans="1:21" x14ac:dyDescent="0.2">
      <c r="A10" s="67"/>
      <c r="B10">
        <v>1</v>
      </c>
      <c r="C10">
        <v>2</v>
      </c>
      <c r="D10">
        <v>0.25</v>
      </c>
      <c r="E10">
        <f>$B$4*D10</f>
        <v>24.9758125</v>
      </c>
      <c r="F10">
        <v>0</v>
      </c>
      <c r="G10">
        <f>E10</f>
        <v>24.9758125</v>
      </c>
      <c r="H10" s="43">
        <f>G10/(SQRT(C10)-SQRT(B10))</f>
        <v>60.296945268787461</v>
      </c>
      <c r="O10" s="36"/>
      <c r="P10" s="35"/>
      <c r="Q10" s="35"/>
      <c r="R10" s="35"/>
      <c r="S10" s="35"/>
      <c r="T10" s="35"/>
      <c r="U10" s="35"/>
    </row>
    <row r="11" spans="1:21" x14ac:dyDescent="0.2">
      <c r="H11" s="43"/>
    </row>
    <row r="12" spans="1:21" x14ac:dyDescent="0.2">
      <c r="A12" s="42" t="s">
        <v>44</v>
      </c>
      <c r="E12" s="33"/>
      <c r="F12">
        <f>SQRT(A6)*SQRT(C9)/(SQRT(C9)-SQRT(A6))</f>
        <v>18.147087018349549</v>
      </c>
      <c r="G12">
        <f>1/(SQRT(A6)-SQRT(B9))</f>
        <v>5.9907047849145698</v>
      </c>
      <c r="H12" s="43"/>
    </row>
    <row r="13" spans="1:21" x14ac:dyDescent="0.2">
      <c r="A13" s="42" t="s">
        <v>45</v>
      </c>
      <c r="B13">
        <f>215000*$K$4*10^(-9)*A6*3*2</f>
        <v>9.6750000000000003E-2</v>
      </c>
      <c r="E13" s="33"/>
      <c r="F13" s="33"/>
      <c r="G13" s="33"/>
      <c r="H13" s="43"/>
    </row>
    <row r="14" spans="1:21" ht="17" thickBot="1" x14ac:dyDescent="0.25">
      <c r="A14" s="44" t="s">
        <v>51</v>
      </c>
      <c r="B14" s="45">
        <v>0</v>
      </c>
      <c r="C14" s="45"/>
      <c r="D14" s="45"/>
      <c r="E14" s="46"/>
      <c r="F14" s="46"/>
      <c r="G14" s="46"/>
      <c r="H14" s="47"/>
    </row>
    <row r="15" spans="1:21" x14ac:dyDescent="0.2">
      <c r="A15" s="39"/>
      <c r="B15" s="40" t="s">
        <v>37</v>
      </c>
      <c r="C15" s="40" t="s">
        <v>38</v>
      </c>
      <c r="D15" s="40" t="s">
        <v>39</v>
      </c>
      <c r="E15" s="40" t="s">
        <v>40</v>
      </c>
      <c r="F15" s="40" t="s">
        <v>41</v>
      </c>
      <c r="G15" s="40" t="s">
        <v>42</v>
      </c>
      <c r="H15" s="41"/>
      <c r="I15" s="39" t="s">
        <v>50</v>
      </c>
      <c r="J15" s="40"/>
      <c r="K15" s="40"/>
      <c r="L15" s="41"/>
    </row>
    <row r="16" spans="1:21" x14ac:dyDescent="0.2">
      <c r="A16" s="42" t="s">
        <v>36</v>
      </c>
      <c r="B16">
        <v>2.5</v>
      </c>
      <c r="C16" s="38">
        <v>3.1</v>
      </c>
      <c r="D16">
        <v>5</v>
      </c>
      <c r="E16">
        <v>4.5</v>
      </c>
      <c r="F16">
        <v>5.4</v>
      </c>
      <c r="G16">
        <v>4.2</v>
      </c>
      <c r="H16" s="43"/>
      <c r="I16" s="42"/>
      <c r="L16" s="43"/>
    </row>
    <row r="17" spans="1:26" x14ac:dyDescent="0.2">
      <c r="A17" s="51" t="s">
        <v>46</v>
      </c>
      <c r="B17" s="52">
        <f>SUM(F20:F24)*A20+SUM(G20:G24)</f>
        <v>107.99197989207872</v>
      </c>
      <c r="H17" s="43"/>
      <c r="I17" s="42"/>
      <c r="L17" s="43"/>
    </row>
    <row r="18" spans="1:26" x14ac:dyDescent="0.2">
      <c r="A18" s="42"/>
      <c r="H18" s="43"/>
      <c r="I18" s="42"/>
      <c r="L18" s="43"/>
    </row>
    <row r="19" spans="1:26" x14ac:dyDescent="0.2">
      <c r="A19" t="s">
        <v>35</v>
      </c>
      <c r="B19" t="s">
        <v>0</v>
      </c>
      <c r="C19" t="s">
        <v>1</v>
      </c>
      <c r="D19" t="s">
        <v>29</v>
      </c>
      <c r="E19" t="s">
        <v>43</v>
      </c>
      <c r="F19" t="s">
        <v>30</v>
      </c>
      <c r="G19" t="s">
        <v>31</v>
      </c>
      <c r="H19" s="43" t="s">
        <v>4</v>
      </c>
      <c r="I19" s="42"/>
      <c r="J19" t="s">
        <v>47</v>
      </c>
      <c r="K19" t="s">
        <v>48</v>
      </c>
      <c r="L19" s="43"/>
    </row>
    <row r="20" spans="1:26" x14ac:dyDescent="0.2">
      <c r="A20" s="67">
        <f>C16</f>
        <v>3.1</v>
      </c>
      <c r="B20">
        <v>5</v>
      </c>
      <c r="C20">
        <v>6</v>
      </c>
      <c r="D20">
        <v>0</v>
      </c>
      <c r="E20">
        <f>E6</f>
        <v>0</v>
      </c>
      <c r="F20">
        <f>(1/SQRT(B20)-1/SQRT(C20))*H20</f>
        <v>0</v>
      </c>
      <c r="H20" s="43">
        <f>H6</f>
        <v>0</v>
      </c>
      <c r="I20" s="42"/>
      <c r="J20">
        <f>IF(F20-F6&gt;0,F20-F6,0)</f>
        <v>0</v>
      </c>
      <c r="K20">
        <f>IF(G20-G6&gt;0,G20-G6,0)</f>
        <v>0</v>
      </c>
      <c r="L20" s="43"/>
    </row>
    <row r="21" spans="1:26" x14ac:dyDescent="0.2">
      <c r="A21" s="67"/>
      <c r="B21">
        <v>4</v>
      </c>
      <c r="C21">
        <v>5</v>
      </c>
      <c r="D21">
        <v>0</v>
      </c>
      <c r="E21">
        <f>E7</f>
        <v>0</v>
      </c>
      <c r="F21">
        <f>(1/SQRT(B21)-1/SQRT(C21))*H21</f>
        <v>0</v>
      </c>
      <c r="H21" s="43">
        <f>H7</f>
        <v>0</v>
      </c>
      <c r="I21" s="42"/>
      <c r="J21">
        <f t="shared" ref="J21:K24" si="0">IF(F21-F7&gt;0,F21-F7,0)</f>
        <v>0</v>
      </c>
      <c r="K21">
        <f t="shared" si="0"/>
        <v>0</v>
      </c>
      <c r="L21" s="43"/>
    </row>
    <row r="22" spans="1:26" x14ac:dyDescent="0.2">
      <c r="A22" s="67"/>
      <c r="B22" s="34">
        <v>3</v>
      </c>
      <c r="C22" s="34">
        <v>4</v>
      </c>
      <c r="D22" s="34">
        <v>0.25</v>
      </c>
      <c r="E22" s="34">
        <f>E8</f>
        <v>24.9758125</v>
      </c>
      <c r="F22" s="34">
        <f>(1/SQRT(A20)-1/SQRT(C22))*H22</f>
        <v>8.7777433593646741</v>
      </c>
      <c r="G22" s="34">
        <f>(SQRT(A20)-SQRT(B22))*H22</f>
        <v>3.6978770108556223</v>
      </c>
      <c r="H22" s="49">
        <f>H8</f>
        <v>129.15695193650214</v>
      </c>
      <c r="I22" s="42"/>
      <c r="J22">
        <f t="shared" si="0"/>
        <v>0</v>
      </c>
      <c r="K22">
        <f t="shared" si="0"/>
        <v>3.6978770108556223</v>
      </c>
      <c r="L22" s="43"/>
    </row>
    <row r="23" spans="1:26" x14ac:dyDescent="0.2">
      <c r="A23" s="67"/>
      <c r="B23">
        <v>2</v>
      </c>
      <c r="C23">
        <v>3</v>
      </c>
      <c r="D23">
        <v>0.5</v>
      </c>
      <c r="E23">
        <f>E9</f>
        <v>49.951625</v>
      </c>
      <c r="F23">
        <v>0</v>
      </c>
      <c r="G23">
        <f>(SQRT(C23)-SQRT(B23))*H23</f>
        <v>52.107285967192595</v>
      </c>
      <c r="H23" s="43">
        <f>H9</f>
        <v>163.94329725295549</v>
      </c>
      <c r="I23" s="42"/>
      <c r="J23">
        <f t="shared" si="0"/>
        <v>0</v>
      </c>
      <c r="K23">
        <f t="shared" si="0"/>
        <v>24.74100718380344</v>
      </c>
      <c r="L23" s="43"/>
    </row>
    <row r="24" spans="1:26" x14ac:dyDescent="0.2">
      <c r="A24" s="67"/>
      <c r="B24">
        <v>1</v>
      </c>
      <c r="C24">
        <v>2</v>
      </c>
      <c r="D24">
        <v>0.25</v>
      </c>
      <c r="E24">
        <f>E10</f>
        <v>24.9758125</v>
      </c>
      <c r="F24">
        <v>0</v>
      </c>
      <c r="G24">
        <f>(SQRT(C24)-SQRT(B24))*H24</f>
        <v>24.9758125</v>
      </c>
      <c r="H24" s="43">
        <f>H10</f>
        <v>60.296945268787461</v>
      </c>
      <c r="I24" s="55"/>
      <c r="J24">
        <f t="shared" si="0"/>
        <v>0</v>
      </c>
      <c r="K24">
        <f t="shared" si="0"/>
        <v>0</v>
      </c>
      <c r="L24" s="43"/>
    </row>
    <row r="25" spans="1:26" x14ac:dyDescent="0.2">
      <c r="A25" s="48"/>
      <c r="H25" s="43"/>
      <c r="I25" s="55"/>
      <c r="J25" s="50">
        <f>SUM(J20:J24)</f>
        <v>0</v>
      </c>
      <c r="K25" s="50">
        <f>SUM(K20:K24)</f>
        <v>28.43888419465906</v>
      </c>
      <c r="L25" s="43"/>
    </row>
    <row r="26" spans="1:26" x14ac:dyDescent="0.2">
      <c r="A26" s="51" t="s">
        <v>44</v>
      </c>
      <c r="B26" s="52"/>
      <c r="C26" s="52"/>
      <c r="D26" s="52"/>
      <c r="E26" s="52"/>
      <c r="F26" s="52">
        <f>SQRT(A20)*SQRT(C23)/(SQRT(C23)-SQRT(A20))</f>
        <v>-106.5140256196118</v>
      </c>
      <c r="G26" s="52">
        <f>1/(SQRT(A20)-SQRT(B23))</f>
        <v>2.8862684077627243</v>
      </c>
      <c r="H26" s="43"/>
      <c r="I26" s="55" t="s">
        <v>49</v>
      </c>
      <c r="J26">
        <f>J25*A20</f>
        <v>0</v>
      </c>
      <c r="K26">
        <f>K25</f>
        <v>28.43888419465906</v>
      </c>
      <c r="L26" s="43"/>
    </row>
    <row r="27" spans="1:26" x14ac:dyDescent="0.2">
      <c r="A27" s="51" t="s">
        <v>45</v>
      </c>
      <c r="B27" s="52">
        <v>0</v>
      </c>
      <c r="E27" s="33"/>
      <c r="F27" s="33"/>
      <c r="G27" s="33"/>
      <c r="H27" s="43"/>
      <c r="I27" s="55"/>
      <c r="J27" s="50"/>
      <c r="K27" s="50">
        <f>K26+J26</f>
        <v>28.43888419465906</v>
      </c>
      <c r="L27" s="43"/>
    </row>
    <row r="28" spans="1:26" ht="17" thickBot="1" x14ac:dyDescent="0.25">
      <c r="A28" s="44" t="s">
        <v>51</v>
      </c>
      <c r="B28" s="45">
        <f>0.003*K27*$K$5</f>
        <v>8.5316652583977179E-2</v>
      </c>
      <c r="C28" s="45"/>
      <c r="D28" s="45"/>
      <c r="E28" s="46"/>
      <c r="F28" s="46"/>
      <c r="G28" s="46"/>
      <c r="H28" s="47"/>
      <c r="I28" s="56"/>
      <c r="J28" s="45"/>
      <c r="K28" s="45"/>
      <c r="L28" s="47"/>
      <c r="U28" s="99"/>
      <c r="V28" s="99"/>
      <c r="W28" s="99"/>
      <c r="X28" s="99"/>
      <c r="Y28" s="99"/>
      <c r="Z28" s="99"/>
    </row>
    <row r="29" spans="1:26" x14ac:dyDescent="0.2">
      <c r="A29" s="39"/>
      <c r="B29" s="40" t="s">
        <v>37</v>
      </c>
      <c r="C29" s="40" t="s">
        <v>38</v>
      </c>
      <c r="D29" s="40" t="s">
        <v>39</v>
      </c>
      <c r="E29" s="40" t="s">
        <v>40</v>
      </c>
      <c r="F29" s="40" t="s">
        <v>41</v>
      </c>
      <c r="G29" s="40" t="s">
        <v>42</v>
      </c>
      <c r="H29" s="41"/>
      <c r="I29" s="57"/>
      <c r="J29" s="40"/>
      <c r="K29" s="40"/>
      <c r="L29" s="41"/>
      <c r="M29" s="39"/>
      <c r="N29" s="40" t="s">
        <v>37</v>
      </c>
      <c r="O29" s="40" t="s">
        <v>38</v>
      </c>
      <c r="P29" s="40" t="s">
        <v>39</v>
      </c>
      <c r="Q29" s="40" t="s">
        <v>40</v>
      </c>
      <c r="R29" s="40" t="s">
        <v>41</v>
      </c>
      <c r="S29" s="40" t="s">
        <v>42</v>
      </c>
      <c r="T29" s="41"/>
      <c r="U29" s="99" t="s">
        <v>57</v>
      </c>
      <c r="V29" s="99"/>
      <c r="W29" s="99"/>
      <c r="X29" s="99"/>
      <c r="Y29" s="99"/>
      <c r="Z29" s="99"/>
    </row>
    <row r="30" spans="1:26" x14ac:dyDescent="0.2">
      <c r="A30" s="42" t="s">
        <v>36</v>
      </c>
      <c r="B30">
        <v>2.5</v>
      </c>
      <c r="C30">
        <v>3.1</v>
      </c>
      <c r="D30" s="38">
        <v>5</v>
      </c>
      <c r="E30">
        <v>4.5</v>
      </c>
      <c r="F30">
        <v>5.4</v>
      </c>
      <c r="G30">
        <v>4.2</v>
      </c>
      <c r="H30" s="43"/>
      <c r="I30" s="55"/>
      <c r="L30" s="43"/>
      <c r="M30" s="42" t="s">
        <v>36</v>
      </c>
      <c r="N30">
        <v>2.5</v>
      </c>
      <c r="O30">
        <v>3.1</v>
      </c>
      <c r="P30" s="38">
        <v>5</v>
      </c>
      <c r="Q30">
        <v>4.5</v>
      </c>
      <c r="R30">
        <v>5.4</v>
      </c>
      <c r="S30">
        <v>4.2</v>
      </c>
      <c r="T30" s="43"/>
      <c r="U30" s="99"/>
      <c r="V30" s="99"/>
      <c r="W30" s="99"/>
      <c r="X30" s="99"/>
      <c r="Y30" s="99"/>
      <c r="Z30" s="99"/>
    </row>
    <row r="31" spans="1:26" x14ac:dyDescent="0.2">
      <c r="A31" s="51" t="s">
        <v>52</v>
      </c>
      <c r="B31" s="52">
        <f>SUM(F34:F38)*A34+SUM(G34:G38)</f>
        <v>111.69059943544369</v>
      </c>
      <c r="H31" s="43"/>
      <c r="I31" s="55"/>
      <c r="L31" s="43"/>
      <c r="M31" s="42" t="s">
        <v>52</v>
      </c>
      <c r="N31" s="59">
        <f>B31-N41+C42</f>
        <v>111.61064495989986</v>
      </c>
      <c r="T31" s="43"/>
      <c r="U31" s="99"/>
      <c r="V31" s="99"/>
      <c r="W31" s="99"/>
      <c r="X31" s="99"/>
      <c r="Y31" s="99"/>
      <c r="Z31" s="99"/>
    </row>
    <row r="32" spans="1:26" x14ac:dyDescent="0.2">
      <c r="A32" s="42"/>
      <c r="H32" s="43"/>
      <c r="I32" s="55"/>
      <c r="L32" s="43"/>
      <c r="M32" s="42"/>
      <c r="T32" s="43"/>
      <c r="U32" s="99"/>
      <c r="V32" s="99"/>
      <c r="W32" s="99"/>
      <c r="X32" s="99"/>
      <c r="Y32" s="99"/>
      <c r="Z32" s="99"/>
    </row>
    <row r="33" spans="1:26" x14ac:dyDescent="0.2">
      <c r="A33" t="s">
        <v>35</v>
      </c>
      <c r="B33" t="s">
        <v>0</v>
      </c>
      <c r="C33" t="s">
        <v>1</v>
      </c>
      <c r="D33" t="s">
        <v>29</v>
      </c>
      <c r="E33" t="s">
        <v>43</v>
      </c>
      <c r="F33" t="s">
        <v>30</v>
      </c>
      <c r="G33" t="s">
        <v>31</v>
      </c>
      <c r="H33" s="43" t="s">
        <v>4</v>
      </c>
      <c r="I33" s="55"/>
      <c r="J33" t="s">
        <v>47</v>
      </c>
      <c r="K33" t="s">
        <v>48</v>
      </c>
      <c r="L33" s="43"/>
      <c r="M33" s="42" t="s">
        <v>35</v>
      </c>
      <c r="N33" t="s">
        <v>0</v>
      </c>
      <c r="O33" t="s">
        <v>1</v>
      </c>
      <c r="P33" t="s">
        <v>29</v>
      </c>
      <c r="Q33" t="s">
        <v>43</v>
      </c>
      <c r="R33" t="s">
        <v>30</v>
      </c>
      <c r="S33" t="s">
        <v>31</v>
      </c>
      <c r="T33" s="43" t="s">
        <v>4</v>
      </c>
      <c r="U33" s="99"/>
      <c r="V33" s="99" t="s">
        <v>53</v>
      </c>
      <c r="W33" s="99" t="s">
        <v>54</v>
      </c>
      <c r="X33" s="99" t="s">
        <v>55</v>
      </c>
      <c r="Y33" s="99"/>
      <c r="Z33" s="99"/>
    </row>
    <row r="34" spans="1:26" x14ac:dyDescent="0.2">
      <c r="A34" s="67">
        <f>D30</f>
        <v>5</v>
      </c>
      <c r="B34">
        <v>5</v>
      </c>
      <c r="C34">
        <v>6</v>
      </c>
      <c r="D34">
        <v>0</v>
      </c>
      <c r="E34">
        <f>E20</f>
        <v>0</v>
      </c>
      <c r="F34">
        <f>(1/SQRT(B34)-1/SQRT(C34))*H34</f>
        <v>0</v>
      </c>
      <c r="H34" s="43">
        <f>H20</f>
        <v>0</v>
      </c>
      <c r="I34" s="55"/>
      <c r="J34">
        <f t="shared" ref="J34:K38" si="1">IF(F34-F20&gt;0,F34-F20,0)+J20</f>
        <v>0</v>
      </c>
      <c r="K34">
        <f t="shared" si="1"/>
        <v>0</v>
      </c>
      <c r="L34" s="43"/>
      <c r="M34" s="74">
        <f>P30</f>
        <v>5</v>
      </c>
      <c r="N34">
        <v>5</v>
      </c>
      <c r="O34">
        <v>6</v>
      </c>
      <c r="P34">
        <v>0.25</v>
      </c>
      <c r="Q34">
        <f>$N$31*P34</f>
        <v>27.902661239974965</v>
      </c>
      <c r="R34">
        <f>Q34/M34</f>
        <v>5.5805322479949933</v>
      </c>
      <c r="T34" s="43">
        <f>R34*SQRT(N34*O34)/(SQRT(O34)-SQRT(N34))</f>
        <v>143.21797924655178</v>
      </c>
      <c r="U34" s="99"/>
      <c r="V34" s="99">
        <f>P34*($B$31+$C$42)</f>
        <v>27.967161239974963</v>
      </c>
      <c r="W34" s="99">
        <f>E34</f>
        <v>0</v>
      </c>
      <c r="X34" s="99">
        <f>V34-W34</f>
        <v>27.967161239974963</v>
      </c>
      <c r="Y34" s="99"/>
      <c r="Z34" s="99"/>
    </row>
    <row r="35" spans="1:26" x14ac:dyDescent="0.2">
      <c r="A35" s="67"/>
      <c r="B35" s="34">
        <v>4</v>
      </c>
      <c r="C35" s="34">
        <v>5</v>
      </c>
      <c r="D35" s="34">
        <v>0</v>
      </c>
      <c r="E35" s="34">
        <f>E21</f>
        <v>0</v>
      </c>
      <c r="F35" s="34">
        <f>(1/SQRT(B35)-1/SQRT(C35))*H35</f>
        <v>0</v>
      </c>
      <c r="G35" s="34"/>
      <c r="H35" s="49">
        <f>H21</f>
        <v>0</v>
      </c>
      <c r="I35" s="55"/>
      <c r="J35">
        <f t="shared" si="1"/>
        <v>0</v>
      </c>
      <c r="K35">
        <f t="shared" si="1"/>
        <v>0</v>
      </c>
      <c r="L35" s="43"/>
      <c r="M35" s="74"/>
      <c r="N35" s="34">
        <v>4</v>
      </c>
      <c r="O35" s="34">
        <v>5</v>
      </c>
      <c r="P35" s="34">
        <v>0.5</v>
      </c>
      <c r="Q35" s="34">
        <f>$N$31*P35</f>
        <v>55.805322479949929</v>
      </c>
      <c r="R35">
        <v>0</v>
      </c>
      <c r="S35">
        <f>Q35</f>
        <v>55.805322479949929</v>
      </c>
      <c r="T35" s="43">
        <f>S35/(SQRT(O35)-SQRT(N35))</f>
        <v>236.39513953136495</v>
      </c>
      <c r="U35" s="99"/>
      <c r="V35" s="99">
        <f>P35*($B$31+$C$42)</f>
        <v>55.934322479949927</v>
      </c>
      <c r="W35" s="99">
        <f>E35</f>
        <v>0</v>
      </c>
      <c r="X35" s="99">
        <f>V35-W35</f>
        <v>55.934322479949927</v>
      </c>
      <c r="Y35" s="99"/>
      <c r="Z35" s="99"/>
    </row>
    <row r="36" spans="1:26" x14ac:dyDescent="0.2">
      <c r="A36" s="67"/>
      <c r="B36">
        <v>3</v>
      </c>
      <c r="C36">
        <v>4</v>
      </c>
      <c r="D36">
        <v>0.25</v>
      </c>
      <c r="E36">
        <f>E22</f>
        <v>24.9758125</v>
      </c>
      <c r="F36">
        <v>0</v>
      </c>
      <c r="G36">
        <f>(SQRT(C36)-SQRT(B36))*H36</f>
        <v>34.607500968251088</v>
      </c>
      <c r="H36" s="43">
        <f>H22</f>
        <v>129.15695193650214</v>
      </c>
      <c r="I36" s="55"/>
      <c r="J36">
        <f t="shared" si="1"/>
        <v>0</v>
      </c>
      <c r="K36">
        <f t="shared" si="1"/>
        <v>34.607500968251088</v>
      </c>
      <c r="L36" s="43"/>
      <c r="M36" s="74"/>
      <c r="N36">
        <v>3</v>
      </c>
      <c r="O36">
        <v>4</v>
      </c>
      <c r="P36">
        <v>0.25</v>
      </c>
      <c r="Q36">
        <f>$N$31*P36</f>
        <v>27.902661239974965</v>
      </c>
      <c r="R36">
        <v>0</v>
      </c>
      <c r="S36">
        <f>Q36</f>
        <v>27.902661239974965</v>
      </c>
      <c r="T36" s="43">
        <f>S36/(SQRT(O36)-SQRT(N36))</f>
        <v>104.13414941396934</v>
      </c>
      <c r="U36" s="99"/>
      <c r="V36" s="99">
        <f>P36*($B$31+$C$42)</f>
        <v>27.967161239974963</v>
      </c>
      <c r="W36" s="99">
        <f>E36</f>
        <v>24.9758125</v>
      </c>
      <c r="X36" s="99">
        <f>V36-W36</f>
        <v>2.9913487399749634</v>
      </c>
      <c r="Y36" s="99"/>
      <c r="Z36" s="99"/>
    </row>
    <row r="37" spans="1:26" x14ac:dyDescent="0.2">
      <c r="A37" s="67"/>
      <c r="B37">
        <v>2</v>
      </c>
      <c r="C37">
        <v>3</v>
      </c>
      <c r="D37">
        <v>0.5</v>
      </c>
      <c r="E37">
        <f>E23</f>
        <v>49.951625</v>
      </c>
      <c r="F37">
        <v>0</v>
      </c>
      <c r="G37">
        <f>(SQRT(C37)-SQRT(B37))*H37</f>
        <v>52.107285967192595</v>
      </c>
      <c r="H37" s="43">
        <f>H23</f>
        <v>163.94329725295549</v>
      </c>
      <c r="I37" s="55"/>
      <c r="J37">
        <f t="shared" si="1"/>
        <v>0</v>
      </c>
      <c r="K37">
        <f t="shared" si="1"/>
        <v>24.74100718380344</v>
      </c>
      <c r="L37" s="43"/>
      <c r="M37" s="74"/>
      <c r="N37">
        <v>2</v>
      </c>
      <c r="O37">
        <v>3</v>
      </c>
      <c r="P37">
        <v>0</v>
      </c>
      <c r="Q37">
        <f>$N$31*P37</f>
        <v>0</v>
      </c>
      <c r="R37">
        <v>0</v>
      </c>
      <c r="S37">
        <f>(SQRT(O37)-SQRT(N37))*T37</f>
        <v>0</v>
      </c>
      <c r="T37" s="43">
        <f>T23</f>
        <v>0</v>
      </c>
      <c r="U37" s="99"/>
      <c r="V37" s="99">
        <f>P37*($B$31+$C$42)</f>
        <v>0</v>
      </c>
      <c r="W37" s="99">
        <f>E37</f>
        <v>49.951625</v>
      </c>
      <c r="X37" s="99">
        <f>V37-W37</f>
        <v>-49.951625</v>
      </c>
      <c r="Y37" s="99"/>
      <c r="Z37" s="99"/>
    </row>
    <row r="38" spans="1:26" x14ac:dyDescent="0.2">
      <c r="A38" s="67"/>
      <c r="B38">
        <v>1</v>
      </c>
      <c r="C38">
        <v>2</v>
      </c>
      <c r="D38">
        <v>0.25</v>
      </c>
      <c r="E38">
        <f>E24</f>
        <v>24.9758125</v>
      </c>
      <c r="F38">
        <v>0</v>
      </c>
      <c r="G38">
        <f>(SQRT(C38)-SQRT(B38))*H38</f>
        <v>24.9758125</v>
      </c>
      <c r="H38" s="43">
        <f>H24</f>
        <v>60.296945268787461</v>
      </c>
      <c r="I38" s="55"/>
      <c r="J38">
        <f t="shared" si="1"/>
        <v>0</v>
      </c>
      <c r="K38">
        <f t="shared" si="1"/>
        <v>0</v>
      </c>
      <c r="L38" s="43"/>
      <c r="M38" s="74"/>
      <c r="N38">
        <v>1</v>
      </c>
      <c r="O38">
        <v>2</v>
      </c>
      <c r="P38">
        <v>0</v>
      </c>
      <c r="Q38">
        <f>$N$31*P38</f>
        <v>0</v>
      </c>
      <c r="R38">
        <v>0</v>
      </c>
      <c r="S38">
        <f>(SQRT(O38)-SQRT(N38))*T38</f>
        <v>0</v>
      </c>
      <c r="T38" s="43">
        <f>T24</f>
        <v>0</v>
      </c>
      <c r="U38" s="99"/>
      <c r="V38" s="99">
        <f>P38*($B$31+$C$42)</f>
        <v>0</v>
      </c>
      <c r="W38" s="99">
        <f>E38</f>
        <v>24.9758125</v>
      </c>
      <c r="X38" s="99">
        <f>V38-W38</f>
        <v>-24.9758125</v>
      </c>
      <c r="Y38" s="99"/>
      <c r="Z38" s="99"/>
    </row>
    <row r="39" spans="1:26" x14ac:dyDescent="0.2">
      <c r="A39" s="48"/>
      <c r="H39" s="43"/>
      <c r="I39" s="55"/>
      <c r="J39" s="50">
        <f>SUM(J34:J38)</f>
        <v>0</v>
      </c>
      <c r="K39" s="50">
        <f>SUM(K34:K38)</f>
        <v>59.348508152054528</v>
      </c>
      <c r="L39" s="43"/>
      <c r="M39" s="53"/>
      <c r="T39" s="43"/>
      <c r="U39" s="99"/>
      <c r="V39" s="100" t="s">
        <v>56</v>
      </c>
      <c r="W39" s="100"/>
      <c r="X39" s="99">
        <f>SUMIF(X34:X38,"&gt;0",X34:X38)-SUMIF(X34:X38,"&lt;0",X34:X38)</f>
        <v>161.82026995989986</v>
      </c>
      <c r="Y39" s="99"/>
      <c r="Z39" s="99"/>
    </row>
    <row r="40" spans="1:26" x14ac:dyDescent="0.2">
      <c r="A40" s="51" t="s">
        <v>44</v>
      </c>
      <c r="B40" s="52"/>
      <c r="C40" s="52"/>
      <c r="D40" s="52"/>
      <c r="E40" s="52"/>
      <c r="F40" s="52">
        <f>SQRT(A34)*SQRT(C37)/(SQRT(C37)-SQRT(A34))</f>
        <v>-7.6842289851718748</v>
      </c>
      <c r="G40" s="52">
        <f>1/(SQRT(A34)-SQRT(B37))</f>
        <v>1.2167605132909616</v>
      </c>
      <c r="H40" s="43"/>
      <c r="I40" s="55" t="s">
        <v>49</v>
      </c>
      <c r="J40">
        <f>J39*A34</f>
        <v>0</v>
      </c>
      <c r="K40">
        <f>K39</f>
        <v>59.348508152054528</v>
      </c>
      <c r="L40" s="43"/>
      <c r="M40" s="61" t="s">
        <v>44</v>
      </c>
      <c r="N40" s="60"/>
      <c r="O40" s="60"/>
      <c r="P40" s="60"/>
      <c r="Q40" s="60"/>
      <c r="R40" s="60" t="e">
        <f>SQRT(M34)*SQRT(O35)/(SQRT(O35)-SQRT(M34))</f>
        <v>#DIV/0!</v>
      </c>
      <c r="S40" s="60">
        <f>1/(SQRT(M34)-SQRT(N35))</f>
        <v>4.236067977499788</v>
      </c>
      <c r="T40" s="43"/>
      <c r="U40" s="99"/>
      <c r="V40" s="99"/>
      <c r="W40" s="99"/>
      <c r="X40" s="99"/>
      <c r="Y40" s="99"/>
      <c r="Z40" s="99"/>
    </row>
    <row r="41" spans="1:26" x14ac:dyDescent="0.2">
      <c r="A41" s="51" t="s">
        <v>45</v>
      </c>
      <c r="B41" s="52">
        <v>0</v>
      </c>
      <c r="E41" s="33"/>
      <c r="F41" s="33"/>
      <c r="G41" s="33"/>
      <c r="H41" s="43"/>
      <c r="I41" s="55"/>
      <c r="J41" s="50"/>
      <c r="K41" s="50">
        <f>K40+J40</f>
        <v>59.348508152054528</v>
      </c>
      <c r="L41" s="43"/>
      <c r="M41" s="42" t="s">
        <v>45</v>
      </c>
      <c r="N41">
        <f>215000*$K$4*10^(-9)*M34*(2+2*3)</f>
        <v>0.25800000000000001</v>
      </c>
      <c r="Q41" s="33"/>
      <c r="R41" s="33"/>
      <c r="S41" s="33"/>
      <c r="T41" s="43"/>
      <c r="U41" s="99"/>
      <c r="V41" s="99"/>
      <c r="W41" s="99"/>
      <c r="X41" s="99"/>
      <c r="Y41" s="99"/>
      <c r="Z41" s="99"/>
    </row>
    <row r="42" spans="1:26" ht="17" thickBot="1" x14ac:dyDescent="0.25">
      <c r="A42" s="44" t="s">
        <v>51</v>
      </c>
      <c r="B42" s="45">
        <f>0.003*K41*$K$5</f>
        <v>0.17804552445616359</v>
      </c>
      <c r="C42" s="62">
        <f>B42</f>
        <v>0.17804552445616359</v>
      </c>
      <c r="D42" s="45"/>
      <c r="E42" s="46"/>
      <c r="F42" s="46"/>
      <c r="G42" s="46"/>
      <c r="H42" s="47"/>
      <c r="I42" s="56"/>
      <c r="J42" s="45"/>
      <c r="K42" s="45"/>
      <c r="L42" s="47"/>
      <c r="M42" s="44" t="s">
        <v>51</v>
      </c>
      <c r="N42" s="45">
        <v>0</v>
      </c>
      <c r="O42" s="45"/>
      <c r="P42" s="45"/>
      <c r="Q42" s="46"/>
      <c r="R42" s="46"/>
      <c r="S42" s="46"/>
      <c r="T42" s="47"/>
      <c r="U42" s="99"/>
      <c r="V42" s="99"/>
      <c r="W42" s="99"/>
      <c r="X42" s="99"/>
      <c r="Y42" s="99"/>
      <c r="Z42" s="99"/>
    </row>
    <row r="43" spans="1:26" x14ac:dyDescent="0.2">
      <c r="A43" s="39"/>
      <c r="B43" s="40" t="s">
        <v>37</v>
      </c>
      <c r="C43" s="40" t="s">
        <v>38</v>
      </c>
      <c r="D43" s="40" t="s">
        <v>39</v>
      </c>
      <c r="E43" s="40" t="s">
        <v>40</v>
      </c>
      <c r="F43" s="40" t="s">
        <v>41</v>
      </c>
      <c r="G43" s="40" t="s">
        <v>42</v>
      </c>
      <c r="H43" s="41"/>
      <c r="I43" s="57"/>
      <c r="J43" s="40"/>
      <c r="K43" s="40"/>
      <c r="L43" s="41"/>
      <c r="U43" s="99"/>
      <c r="V43" s="99"/>
      <c r="W43" s="99"/>
      <c r="X43" s="99"/>
      <c r="Y43" s="99"/>
      <c r="Z43" s="99"/>
    </row>
    <row r="44" spans="1:26" x14ac:dyDescent="0.2">
      <c r="A44" s="42" t="s">
        <v>36</v>
      </c>
      <c r="B44">
        <v>2.5</v>
      </c>
      <c r="C44">
        <v>3.1</v>
      </c>
      <c r="D44">
        <v>5</v>
      </c>
      <c r="E44" s="38">
        <v>4.5</v>
      </c>
      <c r="F44">
        <v>5.4</v>
      </c>
      <c r="G44">
        <v>4.2</v>
      </c>
      <c r="H44" s="43"/>
      <c r="I44" s="55"/>
      <c r="L44" s="43"/>
      <c r="U44" s="99"/>
      <c r="V44" s="99"/>
      <c r="W44" s="99"/>
      <c r="X44" s="99"/>
      <c r="Y44" s="99"/>
      <c r="Z44" s="99"/>
    </row>
    <row r="45" spans="1:26" x14ac:dyDescent="0.2">
      <c r="A45" s="51" t="s">
        <v>60</v>
      </c>
      <c r="B45" s="52">
        <f>SUM(F48:F52)*A48+SUM(G48:G52)</f>
        <v>107.4283731178202</v>
      </c>
      <c r="H45" s="43"/>
      <c r="I45" s="55"/>
      <c r="L45" s="43"/>
      <c r="N45" s="101">
        <f>N31+N41</f>
        <v>111.86864495989985</v>
      </c>
      <c r="U45" s="99"/>
      <c r="V45" s="99"/>
      <c r="W45" s="99"/>
      <c r="X45" s="99"/>
      <c r="Y45" s="99"/>
      <c r="Z45" s="99"/>
    </row>
    <row r="46" spans="1:26" x14ac:dyDescent="0.2">
      <c r="A46" s="42"/>
      <c r="H46" s="43"/>
      <c r="I46" s="55"/>
      <c r="L46" s="43"/>
    </row>
    <row r="47" spans="1:26" x14ac:dyDescent="0.2">
      <c r="A47" t="s">
        <v>35</v>
      </c>
      <c r="B47" t="s">
        <v>0</v>
      </c>
      <c r="C47" t="s">
        <v>1</v>
      </c>
      <c r="D47" t="s">
        <v>29</v>
      </c>
      <c r="E47" t="s">
        <v>43</v>
      </c>
      <c r="F47" t="s">
        <v>30</v>
      </c>
      <c r="G47" t="s">
        <v>31</v>
      </c>
      <c r="H47" s="43" t="s">
        <v>4</v>
      </c>
      <c r="I47" s="55"/>
      <c r="J47" t="s">
        <v>47</v>
      </c>
      <c r="K47" t="s">
        <v>48</v>
      </c>
      <c r="L47" s="43"/>
    </row>
    <row r="48" spans="1:26" x14ac:dyDescent="0.2">
      <c r="A48" s="67">
        <f>E44</f>
        <v>4.5</v>
      </c>
      <c r="B48">
        <v>5</v>
      </c>
      <c r="C48">
        <v>6</v>
      </c>
      <c r="D48">
        <f>P34</f>
        <v>0.25</v>
      </c>
      <c r="E48">
        <f>Q34</f>
        <v>27.902661239974965</v>
      </c>
      <c r="F48">
        <f>(1/SQRT(B48)-1/SQRT(C48))*H48</f>
        <v>5.5805322479949924</v>
      </c>
      <c r="H48" s="43">
        <f>T34</f>
        <v>143.21797924655178</v>
      </c>
      <c r="I48" s="55"/>
      <c r="J48">
        <f>IF(F48-R34&gt;0,F48-R34,0)</f>
        <v>0</v>
      </c>
      <c r="K48">
        <f>IF(G48-S34&gt;0,G48-S34,0)</f>
        <v>0</v>
      </c>
      <c r="L48" s="43"/>
    </row>
    <row r="49" spans="1:12" x14ac:dyDescent="0.2">
      <c r="A49" s="67"/>
      <c r="B49" s="34">
        <v>4</v>
      </c>
      <c r="C49" s="34">
        <v>5</v>
      </c>
      <c r="D49" s="34">
        <f t="shared" ref="D49:E52" si="2">P35</f>
        <v>0.5</v>
      </c>
      <c r="E49" s="34">
        <f t="shared" si="2"/>
        <v>55.805322479949929</v>
      </c>
      <c r="F49" s="34">
        <f>(1/SQRT(A48)-1/SQRT(C49))*H49</f>
        <v>5.7186171595762172</v>
      </c>
      <c r="G49" s="34">
        <f>(SQRT(A48)-SQRT(B49))*H49</f>
        <v>28.679539543774794</v>
      </c>
      <c r="H49" s="49">
        <f>T35</f>
        <v>236.39513953136495</v>
      </c>
      <c r="I49" s="55"/>
      <c r="J49">
        <f t="shared" ref="J49:K52" si="3">IF(F49-R35&gt;0,F49-R35,0)</f>
        <v>5.7186171595762172</v>
      </c>
      <c r="K49">
        <f t="shared" si="3"/>
        <v>0</v>
      </c>
      <c r="L49" s="43"/>
    </row>
    <row r="50" spans="1:12" x14ac:dyDescent="0.2">
      <c r="A50" s="67"/>
      <c r="B50">
        <v>3</v>
      </c>
      <c r="C50">
        <v>4</v>
      </c>
      <c r="D50">
        <f t="shared" si="2"/>
        <v>0.25</v>
      </c>
      <c r="E50">
        <f t="shared" si="2"/>
        <v>27.902661239974965</v>
      </c>
      <c r="F50">
        <v>0</v>
      </c>
      <c r="G50">
        <f>(SQRT(C50)-SQRT(B50))*H50</f>
        <v>27.902661239974965</v>
      </c>
      <c r="H50" s="43">
        <f>T36</f>
        <v>104.13414941396934</v>
      </c>
      <c r="I50" s="55"/>
      <c r="J50">
        <f t="shared" si="3"/>
        <v>0</v>
      </c>
      <c r="K50">
        <v>0</v>
      </c>
      <c r="L50" s="43"/>
    </row>
    <row r="51" spans="1:12" x14ac:dyDescent="0.2">
      <c r="A51" s="67"/>
      <c r="B51">
        <v>2</v>
      </c>
      <c r="C51">
        <v>3</v>
      </c>
      <c r="D51">
        <f t="shared" si="2"/>
        <v>0</v>
      </c>
      <c r="E51">
        <f t="shared" si="2"/>
        <v>0</v>
      </c>
      <c r="F51">
        <v>0</v>
      </c>
      <c r="G51">
        <f>(SQRT(C51)-SQRT(B51))*H51</f>
        <v>0</v>
      </c>
      <c r="H51" s="43">
        <f>T37</f>
        <v>0</v>
      </c>
      <c r="I51" s="55"/>
      <c r="J51">
        <f t="shared" si="3"/>
        <v>0</v>
      </c>
      <c r="K51">
        <f t="shared" si="3"/>
        <v>0</v>
      </c>
      <c r="L51" s="43"/>
    </row>
    <row r="52" spans="1:12" x14ac:dyDescent="0.2">
      <c r="A52" s="67"/>
      <c r="B52">
        <v>1</v>
      </c>
      <c r="C52">
        <v>2</v>
      </c>
      <c r="D52">
        <f t="shared" si="2"/>
        <v>0</v>
      </c>
      <c r="E52">
        <f t="shared" si="2"/>
        <v>0</v>
      </c>
      <c r="F52">
        <v>0</v>
      </c>
      <c r="G52">
        <f>(SQRT(C52)-SQRT(B52))*H52</f>
        <v>0</v>
      </c>
      <c r="H52" s="43">
        <f>T38</f>
        <v>0</v>
      </c>
      <c r="I52" s="55"/>
      <c r="J52">
        <f t="shared" si="3"/>
        <v>0</v>
      </c>
      <c r="K52">
        <f t="shared" si="3"/>
        <v>0</v>
      </c>
      <c r="L52" s="43"/>
    </row>
    <row r="53" spans="1:12" x14ac:dyDescent="0.2">
      <c r="A53" s="48"/>
      <c r="H53" s="43"/>
      <c r="I53" s="55"/>
      <c r="J53" s="50">
        <f>SUM(J48:J52)</f>
        <v>5.7186171595762172</v>
      </c>
      <c r="K53" s="50">
        <f>SUM(K48:K52)</f>
        <v>0</v>
      </c>
      <c r="L53" s="43"/>
    </row>
    <row r="54" spans="1:12" x14ac:dyDescent="0.2">
      <c r="A54" s="51" t="s">
        <v>44</v>
      </c>
      <c r="B54" s="52"/>
      <c r="C54" s="52"/>
      <c r="D54" s="52"/>
      <c r="E54" s="52"/>
      <c r="F54" s="52">
        <f>SQRT(A48)*SQRT(C51)/(SQRT(C51)-SQRT(A48))</f>
        <v>-9.4387931098259177</v>
      </c>
      <c r="G54" s="52">
        <f>1/(SQRT(A48)-SQRT(B51))</f>
        <v>1.4142135623730956</v>
      </c>
      <c r="H54" s="43"/>
      <c r="I54" s="55" t="s">
        <v>49</v>
      </c>
      <c r="J54">
        <f>J53*A48</f>
        <v>25.733777218092978</v>
      </c>
      <c r="K54">
        <f>K53</f>
        <v>0</v>
      </c>
      <c r="L54" s="43"/>
    </row>
    <row r="55" spans="1:12" x14ac:dyDescent="0.2">
      <c r="A55" s="51" t="s">
        <v>45</v>
      </c>
      <c r="B55" s="52">
        <v>0</v>
      </c>
      <c r="E55" s="33"/>
      <c r="F55" s="33"/>
      <c r="G55" s="33"/>
      <c r="H55" s="43"/>
      <c r="I55" s="55"/>
      <c r="J55" s="50"/>
      <c r="K55" s="50">
        <f>K54+J54</f>
        <v>25.733777218092978</v>
      </c>
      <c r="L55" s="43"/>
    </row>
    <row r="56" spans="1:12" ht="17" thickBot="1" x14ac:dyDescent="0.25">
      <c r="A56" s="44" t="s">
        <v>51</v>
      </c>
      <c r="B56" s="45">
        <f>0.003*K55*$K$5</f>
        <v>7.7201331654278935E-2</v>
      </c>
      <c r="C56" s="45">
        <f>B56</f>
        <v>7.7201331654278935E-2</v>
      </c>
      <c r="D56" s="45"/>
      <c r="E56" s="46"/>
      <c r="F56" s="46"/>
      <c r="G56" s="46"/>
      <c r="H56" s="47"/>
      <c r="I56" s="56"/>
      <c r="J56" s="45"/>
      <c r="K56" s="45"/>
      <c r="L56" s="47"/>
    </row>
    <row r="57" spans="1:12" x14ac:dyDescent="0.2">
      <c r="A57" s="39"/>
      <c r="B57" s="40" t="s">
        <v>37</v>
      </c>
      <c r="C57" s="40" t="s">
        <v>38</v>
      </c>
      <c r="D57" s="40" t="s">
        <v>39</v>
      </c>
      <c r="E57" s="40" t="s">
        <v>40</v>
      </c>
      <c r="F57" s="40" t="s">
        <v>41</v>
      </c>
      <c r="G57" s="40" t="s">
        <v>42</v>
      </c>
      <c r="H57" s="41"/>
      <c r="I57" s="57"/>
      <c r="J57" s="40"/>
      <c r="K57" s="40"/>
      <c r="L57" s="41"/>
    </row>
    <row r="58" spans="1:12" x14ac:dyDescent="0.2">
      <c r="A58" s="42" t="s">
        <v>36</v>
      </c>
      <c r="B58">
        <v>2.5</v>
      </c>
      <c r="C58">
        <v>3.1</v>
      </c>
      <c r="D58">
        <v>5</v>
      </c>
      <c r="E58">
        <v>4.5</v>
      </c>
      <c r="F58" s="38">
        <v>5.4</v>
      </c>
      <c r="G58">
        <v>4.2</v>
      </c>
      <c r="H58" s="43"/>
      <c r="I58" s="55"/>
      <c r="L58" s="43"/>
    </row>
    <row r="59" spans="1:12" x14ac:dyDescent="0.2">
      <c r="A59" s="51" t="s">
        <v>61</v>
      </c>
      <c r="B59" s="52">
        <f>SUM(F62:F66)*A62+SUM(G62:G66)</f>
        <v>113.34999069182393</v>
      </c>
      <c r="H59" s="43"/>
      <c r="I59" s="55"/>
      <c r="L59" s="43"/>
    </row>
    <row r="60" spans="1:12" x14ac:dyDescent="0.2">
      <c r="A60" s="42"/>
      <c r="H60" s="43"/>
      <c r="I60" s="55"/>
      <c r="L60" s="43"/>
    </row>
    <row r="61" spans="1:12" x14ac:dyDescent="0.2">
      <c r="A61" t="s">
        <v>35</v>
      </c>
      <c r="B61" t="s">
        <v>0</v>
      </c>
      <c r="C61" t="s">
        <v>1</v>
      </c>
      <c r="D61" t="s">
        <v>29</v>
      </c>
      <c r="E61" t="s">
        <v>43</v>
      </c>
      <c r="F61" t="s">
        <v>30</v>
      </c>
      <c r="G61" t="s">
        <v>31</v>
      </c>
      <c r="H61" s="43" t="s">
        <v>4</v>
      </c>
      <c r="I61" s="55"/>
      <c r="J61" t="s">
        <v>47</v>
      </c>
      <c r="K61" t="s">
        <v>48</v>
      </c>
      <c r="L61" s="43"/>
    </row>
    <row r="62" spans="1:12" x14ac:dyDescent="0.2">
      <c r="A62" s="67">
        <f>F58</f>
        <v>5.4</v>
      </c>
      <c r="B62" s="34">
        <v>5</v>
      </c>
      <c r="C62" s="34">
        <v>6</v>
      </c>
      <c r="D62" s="34">
        <f t="shared" ref="D62:E66" si="4">D48</f>
        <v>0.25</v>
      </c>
      <c r="E62" s="34">
        <f t="shared" si="4"/>
        <v>27.902661239974965</v>
      </c>
      <c r="F62" s="34">
        <f>(1/SQRT(A62)-1/SQRT(C62))*H62</f>
        <v>3.1627101977256</v>
      </c>
      <c r="G62" s="34">
        <f>(SQRT(A62)-SQRT(B62))*H62</f>
        <v>12.563371904180801</v>
      </c>
      <c r="H62" s="49">
        <f>H48</f>
        <v>143.21797924655178</v>
      </c>
      <c r="I62" s="55"/>
      <c r="J62">
        <f t="shared" ref="J62:K66" si="5">IF(F62-F48&gt;0,F62-F48,0)+J48</f>
        <v>0</v>
      </c>
      <c r="K62">
        <f t="shared" si="5"/>
        <v>12.563371904180801</v>
      </c>
      <c r="L62" s="43"/>
    </row>
    <row r="63" spans="1:12" x14ac:dyDescent="0.2">
      <c r="A63" s="67"/>
      <c r="B63">
        <v>4</v>
      </c>
      <c r="C63">
        <v>5</v>
      </c>
      <c r="D63">
        <f t="shared" si="4"/>
        <v>0.5</v>
      </c>
      <c r="E63">
        <f t="shared" si="4"/>
        <v>55.805322479949929</v>
      </c>
      <c r="F63">
        <v>0</v>
      </c>
      <c r="G63">
        <f>(SQRT(C63)-SQRT(B63))*H63</f>
        <v>55.805322479949929</v>
      </c>
      <c r="H63" s="43">
        <f>H49</f>
        <v>236.39513953136495</v>
      </c>
      <c r="I63" s="55"/>
      <c r="J63">
        <f t="shared" si="5"/>
        <v>5.7186171595762172</v>
      </c>
      <c r="K63">
        <f t="shared" si="5"/>
        <v>27.125782936175135</v>
      </c>
      <c r="L63" s="43"/>
    </row>
    <row r="64" spans="1:12" x14ac:dyDescent="0.2">
      <c r="A64" s="67"/>
      <c r="B64">
        <v>3</v>
      </c>
      <c r="C64">
        <v>4</v>
      </c>
      <c r="D64">
        <f t="shared" si="4"/>
        <v>0.25</v>
      </c>
      <c r="E64">
        <f t="shared" si="4"/>
        <v>27.902661239974965</v>
      </c>
      <c r="F64">
        <v>0</v>
      </c>
      <c r="G64">
        <f>(SQRT(C64)-SQRT(B64))*H64</f>
        <v>27.902661239974965</v>
      </c>
      <c r="H64" s="43">
        <f>H50</f>
        <v>104.13414941396934</v>
      </c>
      <c r="I64" s="55"/>
      <c r="J64">
        <f t="shared" si="5"/>
        <v>0</v>
      </c>
      <c r="K64">
        <f t="shared" si="5"/>
        <v>0</v>
      </c>
      <c r="L64" s="43"/>
    </row>
    <row r="65" spans="1:12" x14ac:dyDescent="0.2">
      <c r="A65" s="67"/>
      <c r="B65">
        <v>2</v>
      </c>
      <c r="C65">
        <v>3</v>
      </c>
      <c r="D65">
        <f t="shared" si="4"/>
        <v>0</v>
      </c>
      <c r="E65">
        <f t="shared" si="4"/>
        <v>0</v>
      </c>
      <c r="F65">
        <v>0</v>
      </c>
      <c r="G65">
        <f>(SQRT(C65)-SQRT(B65))*H65</f>
        <v>0</v>
      </c>
      <c r="H65" s="43">
        <f>T51</f>
        <v>0</v>
      </c>
      <c r="I65" s="55"/>
      <c r="J65">
        <f t="shared" si="5"/>
        <v>0</v>
      </c>
      <c r="K65">
        <f t="shared" si="5"/>
        <v>0</v>
      </c>
      <c r="L65" s="43"/>
    </row>
    <row r="66" spans="1:12" x14ac:dyDescent="0.2">
      <c r="A66" s="67"/>
      <c r="B66">
        <v>1</v>
      </c>
      <c r="C66">
        <v>2</v>
      </c>
      <c r="D66">
        <f t="shared" si="4"/>
        <v>0</v>
      </c>
      <c r="E66">
        <f t="shared" si="4"/>
        <v>0</v>
      </c>
      <c r="F66">
        <v>0</v>
      </c>
      <c r="G66">
        <f>(SQRT(C66)-SQRT(B66))*H66</f>
        <v>0</v>
      </c>
      <c r="H66" s="43">
        <f>T52</f>
        <v>0</v>
      </c>
      <c r="I66" s="55"/>
      <c r="J66">
        <f t="shared" si="5"/>
        <v>0</v>
      </c>
      <c r="K66">
        <f t="shared" si="5"/>
        <v>0</v>
      </c>
      <c r="L66" s="43"/>
    </row>
    <row r="67" spans="1:12" x14ac:dyDescent="0.2">
      <c r="A67" s="48"/>
      <c r="H67" s="43"/>
      <c r="I67" s="55"/>
      <c r="J67" s="50">
        <f>SUM(J62:J66)</f>
        <v>5.7186171595762172</v>
      </c>
      <c r="K67" s="50">
        <f>SUM(K62:K66)</f>
        <v>39.68915484035594</v>
      </c>
      <c r="L67" s="43"/>
    </row>
    <row r="68" spans="1:12" x14ac:dyDescent="0.2">
      <c r="A68" s="51" t="s">
        <v>44</v>
      </c>
      <c r="B68" s="52"/>
      <c r="C68" s="52"/>
      <c r="D68" s="52"/>
      <c r="E68" s="52"/>
      <c r="F68" s="52">
        <f>SQRT(A62)*SQRT(C65)/(SQRT(C65)-SQRT(A62))</f>
        <v>-6.8018518266855343</v>
      </c>
      <c r="G68" s="52">
        <f>1/(SQRT(A62)-SQRT(B65))</f>
        <v>1.0994128147345721</v>
      </c>
      <c r="H68" s="43"/>
      <c r="I68" s="55" t="s">
        <v>49</v>
      </c>
      <c r="J68">
        <f>J67*A62</f>
        <v>30.880532661711573</v>
      </c>
      <c r="K68">
        <f>K67</f>
        <v>39.68915484035594</v>
      </c>
      <c r="L68" s="43"/>
    </row>
    <row r="69" spans="1:12" x14ac:dyDescent="0.2">
      <c r="A69" s="51" t="s">
        <v>45</v>
      </c>
      <c r="B69" s="52">
        <v>0</v>
      </c>
      <c r="E69" s="33"/>
      <c r="F69" s="33"/>
      <c r="G69" s="33"/>
      <c r="H69" s="43"/>
      <c r="I69" s="55"/>
      <c r="J69" s="50"/>
      <c r="K69" s="50">
        <f>K68+J68</f>
        <v>70.569687502067509</v>
      </c>
      <c r="L69" s="43"/>
    </row>
    <row r="70" spans="1:12" ht="17" thickBot="1" x14ac:dyDescent="0.25">
      <c r="A70" s="44" t="s">
        <v>51</v>
      </c>
      <c r="B70" s="45">
        <f>0.003*K69*$K$5</f>
        <v>0.21170906250620253</v>
      </c>
      <c r="C70" s="45">
        <f>B70</f>
        <v>0.21170906250620253</v>
      </c>
      <c r="D70" s="45"/>
      <c r="E70" s="46"/>
      <c r="F70" s="46"/>
      <c r="G70" s="46"/>
      <c r="H70" s="47"/>
      <c r="I70" s="56"/>
      <c r="J70" s="45"/>
      <c r="K70" s="45"/>
      <c r="L70" s="47"/>
    </row>
    <row r="71" spans="1:12" x14ac:dyDescent="0.2">
      <c r="A71" s="39"/>
      <c r="B71" s="40" t="s">
        <v>37</v>
      </c>
      <c r="C71" s="40" t="s">
        <v>38</v>
      </c>
      <c r="D71" s="40" t="s">
        <v>39</v>
      </c>
      <c r="E71" s="40" t="s">
        <v>40</v>
      </c>
      <c r="F71" s="40" t="s">
        <v>41</v>
      </c>
      <c r="G71" s="40" t="s">
        <v>42</v>
      </c>
      <c r="H71" s="41"/>
      <c r="I71" s="57"/>
      <c r="J71" s="40"/>
      <c r="K71" s="40"/>
      <c r="L71" s="41"/>
    </row>
    <row r="72" spans="1:12" x14ac:dyDescent="0.2">
      <c r="A72" s="42" t="s">
        <v>36</v>
      </c>
      <c r="B72">
        <v>2.5</v>
      </c>
      <c r="C72">
        <v>3.1</v>
      </c>
      <c r="D72">
        <v>5</v>
      </c>
      <c r="E72">
        <v>4.5</v>
      </c>
      <c r="F72">
        <v>5.4</v>
      </c>
      <c r="G72" s="38">
        <v>4.2</v>
      </c>
      <c r="H72" s="43"/>
      <c r="I72" s="55"/>
      <c r="L72" s="43"/>
    </row>
    <row r="73" spans="1:12" x14ac:dyDescent="0.2">
      <c r="A73" s="42" t="s">
        <v>62</v>
      </c>
      <c r="B73">
        <f>SUM(F76:F80)*A76+SUM(G76:G80)</f>
        <v>103.46205475899148</v>
      </c>
      <c r="H73" s="43"/>
      <c r="I73" s="55"/>
      <c r="L73" s="43"/>
    </row>
    <row r="74" spans="1:12" x14ac:dyDescent="0.2">
      <c r="A74" s="42"/>
      <c r="H74" s="43"/>
      <c r="I74" s="55"/>
      <c r="L74" s="43"/>
    </row>
    <row r="75" spans="1:12" x14ac:dyDescent="0.2">
      <c r="A75" t="s">
        <v>35</v>
      </c>
      <c r="B75" t="s">
        <v>0</v>
      </c>
      <c r="C75" t="s">
        <v>1</v>
      </c>
      <c r="D75" t="s">
        <v>29</v>
      </c>
      <c r="E75" t="s">
        <v>43</v>
      </c>
      <c r="F75" t="s">
        <v>30</v>
      </c>
      <c r="G75" t="s">
        <v>31</v>
      </c>
      <c r="H75" s="43" t="s">
        <v>4</v>
      </c>
      <c r="I75" s="55"/>
      <c r="J75" t="s">
        <v>47</v>
      </c>
      <c r="K75" t="s">
        <v>48</v>
      </c>
      <c r="L75" s="43"/>
    </row>
    <row r="76" spans="1:12" x14ac:dyDescent="0.2">
      <c r="A76" s="67">
        <f>G72</f>
        <v>4.2</v>
      </c>
      <c r="B76">
        <v>5</v>
      </c>
      <c r="C76">
        <v>6</v>
      </c>
      <c r="D76">
        <f t="shared" ref="D76:E80" si="6">D62</f>
        <v>0.25</v>
      </c>
      <c r="E76">
        <f t="shared" si="6"/>
        <v>27.902661239974965</v>
      </c>
      <c r="F76">
        <f>(1/SQRT(B76)-1/SQRT(C76))*H76</f>
        <v>5.5805322479949924</v>
      </c>
      <c r="G76">
        <v>0</v>
      </c>
      <c r="H76" s="43">
        <f>H62</f>
        <v>143.21797924655178</v>
      </c>
      <c r="I76" s="55"/>
      <c r="J76">
        <f t="shared" ref="J76:K80" si="7">IF(F76-F62&gt;0,F76-F62,0)+J62</f>
        <v>2.4178220502693923</v>
      </c>
      <c r="K76">
        <f t="shared" si="7"/>
        <v>12.563371904180801</v>
      </c>
      <c r="L76" s="43"/>
    </row>
    <row r="77" spans="1:12" x14ac:dyDescent="0.2">
      <c r="A77" s="67"/>
      <c r="B77" s="34">
        <v>4</v>
      </c>
      <c r="C77" s="34">
        <v>5</v>
      </c>
      <c r="D77" s="34">
        <f t="shared" si="6"/>
        <v>0.5</v>
      </c>
      <c r="E77" s="34">
        <f t="shared" si="6"/>
        <v>55.805322479949929</v>
      </c>
      <c r="F77" s="34">
        <f>(1/SQRT(A76)-1/SQRT(C77))*H77</f>
        <v>9.6298966481328989</v>
      </c>
      <c r="G77" s="34">
        <f>(SQRT(A76)-SQRT(B77))*H77</f>
        <v>11.675592155279386</v>
      </c>
      <c r="H77" s="49">
        <f>H63</f>
        <v>236.39513953136495</v>
      </c>
      <c r="I77" s="55"/>
      <c r="J77">
        <f t="shared" si="7"/>
        <v>15.348513807709116</v>
      </c>
      <c r="K77">
        <f t="shared" si="7"/>
        <v>27.125782936175135</v>
      </c>
      <c r="L77" s="43"/>
    </row>
    <row r="78" spans="1:12" x14ac:dyDescent="0.2">
      <c r="A78" s="67"/>
      <c r="B78">
        <v>3</v>
      </c>
      <c r="C78">
        <v>4</v>
      </c>
      <c r="D78">
        <f t="shared" si="6"/>
        <v>0.25</v>
      </c>
      <c r="E78">
        <f t="shared" si="6"/>
        <v>27.902661239974965</v>
      </c>
      <c r="F78">
        <v>0</v>
      </c>
      <c r="G78">
        <f>(SQRT(C78)-SQRT(B78))*H78</f>
        <v>27.902661239974965</v>
      </c>
      <c r="H78" s="43">
        <f>H64</f>
        <v>104.13414941396934</v>
      </c>
      <c r="I78" s="55"/>
      <c r="J78">
        <f t="shared" si="7"/>
        <v>0</v>
      </c>
      <c r="K78">
        <f t="shared" si="7"/>
        <v>0</v>
      </c>
      <c r="L78" s="43"/>
    </row>
    <row r="79" spans="1:12" x14ac:dyDescent="0.2">
      <c r="A79" s="67"/>
      <c r="B79">
        <v>2</v>
      </c>
      <c r="C79">
        <v>3</v>
      </c>
      <c r="D79">
        <f t="shared" si="6"/>
        <v>0</v>
      </c>
      <c r="E79">
        <f t="shared" si="6"/>
        <v>0</v>
      </c>
      <c r="F79">
        <v>0</v>
      </c>
      <c r="G79">
        <f>(SQRT(C79)-SQRT(B79))*H79</f>
        <v>0</v>
      </c>
      <c r="H79" s="43">
        <f>T65</f>
        <v>0</v>
      </c>
      <c r="I79" s="55"/>
      <c r="J79">
        <f t="shared" si="7"/>
        <v>0</v>
      </c>
      <c r="K79">
        <f t="shared" si="7"/>
        <v>0</v>
      </c>
      <c r="L79" s="43"/>
    </row>
    <row r="80" spans="1:12" x14ac:dyDescent="0.2">
      <c r="A80" s="67"/>
      <c r="B80">
        <v>1</v>
      </c>
      <c r="C80">
        <v>2</v>
      </c>
      <c r="D80">
        <f t="shared" si="6"/>
        <v>0</v>
      </c>
      <c r="E80">
        <f t="shared" si="6"/>
        <v>0</v>
      </c>
      <c r="F80">
        <v>0</v>
      </c>
      <c r="G80">
        <f>(SQRT(C80)-SQRT(B80))*H80</f>
        <v>0</v>
      </c>
      <c r="H80" s="43">
        <f>T66</f>
        <v>0</v>
      </c>
      <c r="I80" s="55"/>
      <c r="J80">
        <f t="shared" si="7"/>
        <v>0</v>
      </c>
      <c r="K80">
        <f t="shared" si="7"/>
        <v>0</v>
      </c>
      <c r="L80" s="43"/>
    </row>
    <row r="81" spans="1:12" x14ac:dyDescent="0.2">
      <c r="A81" s="48"/>
      <c r="H81" s="43"/>
      <c r="I81" s="55"/>
      <c r="J81" s="50">
        <f>SUM(J76:J80)</f>
        <v>17.766335857978508</v>
      </c>
      <c r="K81" s="50">
        <f>SUM(K76:K80)</f>
        <v>39.68915484035594</v>
      </c>
      <c r="L81" s="43"/>
    </row>
    <row r="82" spans="1:12" x14ac:dyDescent="0.2">
      <c r="A82" s="51" t="s">
        <v>44</v>
      </c>
      <c r="B82" s="52"/>
      <c r="C82" s="52"/>
      <c r="D82" s="52"/>
      <c r="E82" s="52"/>
      <c r="F82" s="52">
        <f>SQRT(A76)*SQRT(C79)/(SQRT(C79)-SQRT(A76))</f>
        <v>-11.185653209470861</v>
      </c>
      <c r="G82" s="52">
        <f>1/(SQRT(A76)-SQRT(B79))</f>
        <v>1.5743653252568246</v>
      </c>
      <c r="H82" s="43"/>
      <c r="I82" s="55" t="s">
        <v>49</v>
      </c>
      <c r="J82">
        <f>J81*A76</f>
        <v>74.618610603509737</v>
      </c>
      <c r="K82">
        <f>K81</f>
        <v>39.68915484035594</v>
      </c>
      <c r="L82" s="43"/>
    </row>
    <row r="83" spans="1:12" x14ac:dyDescent="0.2">
      <c r="A83" s="42" t="s">
        <v>45</v>
      </c>
      <c r="B83">
        <f>215000*$K$4*10^(-9)*A76*3</f>
        <v>8.1269999999999995E-2</v>
      </c>
      <c r="E83" s="33"/>
      <c r="F83" s="33"/>
      <c r="G83" s="33"/>
      <c r="H83" s="43"/>
      <c r="I83" s="55"/>
      <c r="J83" s="50"/>
      <c r="K83" s="50">
        <f>K82+J82</f>
        <v>114.30776544386568</v>
      </c>
      <c r="L83" s="43"/>
    </row>
    <row r="84" spans="1:12" ht="17" thickBot="1" x14ac:dyDescent="0.25">
      <c r="A84" s="44" t="s">
        <v>51</v>
      </c>
      <c r="B84" s="45">
        <f>0.003*K83*$K$5</f>
        <v>0.34292329633159702</v>
      </c>
      <c r="C84" s="45">
        <f>B84</f>
        <v>0.34292329633159702</v>
      </c>
      <c r="D84" s="45"/>
      <c r="E84" s="46"/>
      <c r="F84" s="46"/>
      <c r="G84" s="46"/>
      <c r="H84" s="47"/>
      <c r="I84" s="56"/>
      <c r="J84" s="45"/>
      <c r="K84" s="45"/>
      <c r="L84" s="47"/>
    </row>
    <row r="85" spans="1:12" ht="17" thickBot="1" x14ac:dyDescent="0.25">
      <c r="A85" s="30" t="s">
        <v>63</v>
      </c>
      <c r="B85" s="54">
        <f>B73+C84-B83</f>
        <v>103.72370805532307</v>
      </c>
      <c r="C85" s="54">
        <f>C84+C42</f>
        <v>0.52096882078776063</v>
      </c>
      <c r="D85" s="54">
        <f>B83+N41+B13</f>
        <v>0.43602000000000002</v>
      </c>
      <c r="E85" s="54"/>
      <c r="F85" s="54"/>
      <c r="G85" s="54"/>
      <c r="H85" s="31"/>
    </row>
  </sheetData>
  <mergeCells count="8">
    <mergeCell ref="A48:A52"/>
    <mergeCell ref="A62:A66"/>
    <mergeCell ref="A76:A80"/>
    <mergeCell ref="A6:A10"/>
    <mergeCell ref="A20:A24"/>
    <mergeCell ref="A34:A38"/>
    <mergeCell ref="M34:M38"/>
    <mergeCell ref="V39:W39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811B-0171-B146-9C01-354C1D44E5AF}">
  <dimension ref="A1:Z85"/>
  <sheetViews>
    <sheetView zoomScale="85" zoomScaleNormal="70" workbookViewId="0">
      <selection activeCell="M20" sqref="M20"/>
    </sheetView>
  </sheetViews>
  <sheetFormatPr baseColWidth="10" defaultRowHeight="16" x14ac:dyDescent="0.2"/>
  <cols>
    <col min="1" max="1" width="24.1640625" customWidth="1"/>
    <col min="2" max="2" width="12.6640625" customWidth="1"/>
    <col min="3" max="3" width="17.83203125" customWidth="1"/>
    <col min="4" max="5" width="9.33203125" customWidth="1"/>
    <col min="10" max="10" width="16.1640625" customWidth="1"/>
    <col min="11" max="11" width="13.5" bestFit="1" customWidth="1"/>
    <col min="14" max="14" width="18" customWidth="1"/>
    <col min="22" max="22" width="16.1640625" customWidth="1"/>
    <col min="23" max="24" width="11.6640625" customWidth="1"/>
  </cols>
  <sheetData>
    <row r="1" spans="1:21" x14ac:dyDescent="0.2">
      <c r="A1" s="39"/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1"/>
      <c r="J1" s="99"/>
      <c r="K1" s="99"/>
    </row>
    <row r="2" spans="1:21" x14ac:dyDescent="0.2">
      <c r="A2" s="42" t="s">
        <v>36</v>
      </c>
      <c r="B2" s="38">
        <v>2.5</v>
      </c>
      <c r="C2">
        <v>3.1</v>
      </c>
      <c r="D2">
        <v>4.2</v>
      </c>
      <c r="E2">
        <v>4.5</v>
      </c>
      <c r="F2">
        <v>5.4</v>
      </c>
      <c r="G2">
        <v>4.2</v>
      </c>
      <c r="H2" s="43"/>
      <c r="J2" s="99" t="s">
        <v>69</v>
      </c>
      <c r="K2" s="99">
        <f>MIN(B2:G2)*0.95</f>
        <v>2.375</v>
      </c>
      <c r="O2" s="36"/>
      <c r="P2" s="36"/>
      <c r="Q2" s="36"/>
      <c r="R2" s="36"/>
      <c r="S2" s="36"/>
      <c r="T2" s="36"/>
    </row>
    <row r="3" spans="1:21" x14ac:dyDescent="0.2">
      <c r="A3" s="42" t="s">
        <v>34</v>
      </c>
      <c r="B3">
        <v>100</v>
      </c>
      <c r="H3" s="43"/>
      <c r="J3" s="99" t="s">
        <v>70</v>
      </c>
      <c r="K3" s="99">
        <f>MAX(B2:G2)*1.05</f>
        <v>5.6700000000000008</v>
      </c>
      <c r="O3" s="36"/>
      <c r="P3" s="35"/>
      <c r="Q3" s="35"/>
      <c r="R3" s="35"/>
      <c r="S3" s="35"/>
      <c r="T3" s="35"/>
      <c r="U3" s="35"/>
    </row>
    <row r="4" spans="1:21" x14ac:dyDescent="0.2">
      <c r="A4" t="s">
        <v>64</v>
      </c>
      <c r="B4">
        <f>B3-B13</f>
        <v>99.90325</v>
      </c>
      <c r="F4">
        <f>SUM(F6:F10)</f>
        <v>19.024463486644336</v>
      </c>
      <c r="G4">
        <f>SUM(G6:G10)</f>
        <v>52.342091283389152</v>
      </c>
      <c r="H4" s="43">
        <f>G4+F4*A6</f>
        <v>99.903249999999986</v>
      </c>
      <c r="J4" t="s">
        <v>58</v>
      </c>
      <c r="K4">
        <v>30</v>
      </c>
      <c r="O4" s="36"/>
      <c r="P4" s="35"/>
      <c r="Q4" s="35"/>
      <c r="R4" s="35"/>
      <c r="S4" s="35"/>
      <c r="T4" s="35"/>
      <c r="U4" s="35"/>
    </row>
    <row r="5" spans="1:21" x14ac:dyDescent="0.2">
      <c r="A5" t="s">
        <v>35</v>
      </c>
      <c r="B5" t="s">
        <v>0</v>
      </c>
      <c r="C5" t="s">
        <v>1</v>
      </c>
      <c r="D5" t="s">
        <v>29</v>
      </c>
      <c r="E5" t="s">
        <v>43</v>
      </c>
      <c r="F5" t="s">
        <v>30</v>
      </c>
      <c r="G5" t="s">
        <v>31</v>
      </c>
      <c r="H5" s="43" t="s">
        <v>4</v>
      </c>
      <c r="J5" t="s">
        <v>59</v>
      </c>
      <c r="K5">
        <v>1</v>
      </c>
      <c r="O5" s="36"/>
      <c r="P5" s="35"/>
      <c r="Q5" s="35"/>
      <c r="R5" s="35"/>
      <c r="S5" s="35"/>
      <c r="T5" s="35"/>
      <c r="U5" s="35"/>
    </row>
    <row r="6" spans="1:21" x14ac:dyDescent="0.2">
      <c r="A6" s="67">
        <f>B2</f>
        <v>2.5</v>
      </c>
      <c r="B6">
        <v>5</v>
      </c>
      <c r="C6">
        <v>6</v>
      </c>
      <c r="D6">
        <v>0</v>
      </c>
      <c r="E6">
        <f>$B$4*D6</f>
        <v>0</v>
      </c>
      <c r="F6">
        <f>E6/A6</f>
        <v>0</v>
      </c>
      <c r="G6">
        <v>0</v>
      </c>
      <c r="H6" s="43">
        <f>F6*SQRT(B6*C6)/(SQRT(C6)-SQRT(B6))</f>
        <v>0</v>
      </c>
      <c r="O6" s="36"/>
      <c r="P6" s="35"/>
      <c r="Q6" s="35"/>
      <c r="R6" s="35"/>
      <c r="S6" s="35"/>
      <c r="T6" s="35"/>
      <c r="U6" s="35"/>
    </row>
    <row r="7" spans="1:21" x14ac:dyDescent="0.2">
      <c r="A7" s="67"/>
      <c r="B7">
        <v>4</v>
      </c>
      <c r="C7">
        <v>5</v>
      </c>
      <c r="D7">
        <v>0</v>
      </c>
      <c r="E7">
        <f>$B$4*D7</f>
        <v>0</v>
      </c>
      <c r="F7">
        <f>E7/A6</f>
        <v>0</v>
      </c>
      <c r="G7">
        <v>0</v>
      </c>
      <c r="H7" s="43">
        <f>F7*SQRT(B7*C7)/(SQRT(C7)-SQRT(B7))</f>
        <v>0</v>
      </c>
      <c r="O7" s="36"/>
      <c r="P7" s="35"/>
      <c r="Q7" s="35"/>
      <c r="R7" s="35"/>
      <c r="S7" s="35"/>
      <c r="T7" s="35"/>
      <c r="U7" s="35"/>
    </row>
    <row r="8" spans="1:21" x14ac:dyDescent="0.2">
      <c r="A8" s="67"/>
      <c r="B8">
        <v>3</v>
      </c>
      <c r="C8">
        <v>4</v>
      </c>
      <c r="D8">
        <v>0.25</v>
      </c>
      <c r="E8">
        <f>$B$4*D8</f>
        <v>24.9758125</v>
      </c>
      <c r="F8">
        <f>E8/A6</f>
        <v>9.9903250000000003</v>
      </c>
      <c r="G8">
        <v>0</v>
      </c>
      <c r="H8" s="43">
        <f>F8*SQRT(B8*C8)/(SQRT(C8)-SQRT(B8))</f>
        <v>129.15695193650214</v>
      </c>
      <c r="O8" s="36"/>
      <c r="P8" s="35"/>
      <c r="Q8" s="35"/>
      <c r="R8" s="35"/>
      <c r="S8" s="35"/>
      <c r="T8" s="35"/>
      <c r="U8" s="35"/>
    </row>
    <row r="9" spans="1:21" x14ac:dyDescent="0.2">
      <c r="A9" s="67"/>
      <c r="B9" s="34">
        <v>2</v>
      </c>
      <c r="C9" s="34">
        <v>3</v>
      </c>
      <c r="D9" s="34">
        <v>0.5</v>
      </c>
      <c r="E9" s="34">
        <f>$B$4*D9</f>
        <v>49.951625</v>
      </c>
      <c r="F9" s="34">
        <f>E9/(A6+F12/G12)</f>
        <v>9.0341384866443377</v>
      </c>
      <c r="G9" s="34">
        <f>F12/G12*F9</f>
        <v>27.366278783389156</v>
      </c>
      <c r="H9" s="49">
        <f>IF(F9*F12=G9*G12,
F9*F12,
"ошибка")</f>
        <v>163.94329725295549</v>
      </c>
      <c r="O9" s="36"/>
      <c r="P9" s="35"/>
      <c r="Q9" s="35"/>
      <c r="R9" s="35"/>
      <c r="S9" s="35"/>
      <c r="T9" s="35"/>
      <c r="U9" s="35"/>
    </row>
    <row r="10" spans="1:21" x14ac:dyDescent="0.2">
      <c r="A10" s="67"/>
      <c r="B10">
        <v>1</v>
      </c>
      <c r="C10">
        <v>2</v>
      </c>
      <c r="D10">
        <v>0.25</v>
      </c>
      <c r="E10">
        <f>$B$4*D10</f>
        <v>24.9758125</v>
      </c>
      <c r="F10">
        <v>0</v>
      </c>
      <c r="G10">
        <f>E10</f>
        <v>24.9758125</v>
      </c>
      <c r="H10" s="43">
        <f>G10/(SQRT(C10)-SQRT(B10))</f>
        <v>60.296945268787461</v>
      </c>
      <c r="O10" s="36"/>
      <c r="P10" s="35"/>
      <c r="Q10" s="35"/>
      <c r="R10" s="35"/>
      <c r="S10" s="35"/>
      <c r="T10" s="35"/>
      <c r="U10" s="35"/>
    </row>
    <row r="11" spans="1:21" x14ac:dyDescent="0.2">
      <c r="H11" s="43"/>
    </row>
    <row r="12" spans="1:21" x14ac:dyDescent="0.2">
      <c r="A12" s="42" t="s">
        <v>44</v>
      </c>
      <c r="E12" s="33"/>
      <c r="F12">
        <f>SQRT(A6)*SQRT(C9)/(SQRT(C9)-SQRT(A6))</f>
        <v>18.147087018349549</v>
      </c>
      <c r="G12">
        <f>1/(SQRT(A6)-SQRT(B9))</f>
        <v>5.9907047849145698</v>
      </c>
      <c r="H12" s="43"/>
    </row>
    <row r="13" spans="1:21" x14ac:dyDescent="0.2">
      <c r="A13" s="42" t="s">
        <v>45</v>
      </c>
      <c r="B13">
        <f>215000*$K$4*10^(-9)*3*A6*2</f>
        <v>9.6750000000000003E-2</v>
      </c>
      <c r="E13" s="33"/>
      <c r="F13" s="33"/>
      <c r="G13" s="33"/>
      <c r="H13" s="43"/>
    </row>
    <row r="14" spans="1:21" ht="17" thickBot="1" x14ac:dyDescent="0.25">
      <c r="A14" s="44" t="s">
        <v>51</v>
      </c>
      <c r="B14" s="45">
        <v>0</v>
      </c>
      <c r="C14" s="45"/>
      <c r="D14" s="45"/>
      <c r="E14" s="46"/>
      <c r="F14" s="46"/>
      <c r="G14" s="46"/>
      <c r="H14" s="47"/>
    </row>
    <row r="15" spans="1:21" x14ac:dyDescent="0.2">
      <c r="A15" s="39"/>
      <c r="B15" s="40" t="s">
        <v>37</v>
      </c>
      <c r="C15" s="40" t="s">
        <v>38</v>
      </c>
      <c r="D15" s="40" t="s">
        <v>39</v>
      </c>
      <c r="E15" s="40" t="s">
        <v>40</v>
      </c>
      <c r="F15" s="40" t="s">
        <v>41</v>
      </c>
      <c r="G15" s="40" t="s">
        <v>42</v>
      </c>
      <c r="H15" s="41"/>
      <c r="I15" s="39" t="s">
        <v>50</v>
      </c>
      <c r="J15" s="40"/>
      <c r="K15" s="40"/>
      <c r="L15" s="41"/>
    </row>
    <row r="16" spans="1:21" x14ac:dyDescent="0.2">
      <c r="A16" s="42" t="s">
        <v>36</v>
      </c>
      <c r="B16">
        <v>2.5</v>
      </c>
      <c r="C16" s="38">
        <v>3.1</v>
      </c>
      <c r="D16">
        <f>D2</f>
        <v>4.2</v>
      </c>
      <c r="E16">
        <v>4.5</v>
      </c>
      <c r="F16">
        <v>5.4</v>
      </c>
      <c r="G16">
        <v>4.2</v>
      </c>
      <c r="H16" s="43"/>
      <c r="I16" s="42"/>
      <c r="L16" s="43"/>
    </row>
    <row r="17" spans="1:26" x14ac:dyDescent="0.2">
      <c r="A17" s="51" t="s">
        <v>46</v>
      </c>
      <c r="B17" s="52">
        <f>SUM(F20:F24)*A20+SUM(G20:G24)</f>
        <v>107.99197989207872</v>
      </c>
      <c r="H17" s="43"/>
      <c r="I17" s="42"/>
      <c r="L17" s="43"/>
    </row>
    <row r="18" spans="1:26" x14ac:dyDescent="0.2">
      <c r="A18" s="42"/>
      <c r="H18" s="43"/>
      <c r="I18" s="42"/>
      <c r="L18" s="43"/>
    </row>
    <row r="19" spans="1:26" x14ac:dyDescent="0.2">
      <c r="A19" t="s">
        <v>35</v>
      </c>
      <c r="B19" t="s">
        <v>0</v>
      </c>
      <c r="C19" t="s">
        <v>1</v>
      </c>
      <c r="D19" t="s">
        <v>29</v>
      </c>
      <c r="E19" t="s">
        <v>43</v>
      </c>
      <c r="F19" t="s">
        <v>30</v>
      </c>
      <c r="G19" t="s">
        <v>31</v>
      </c>
      <c r="H19" s="43" t="s">
        <v>4</v>
      </c>
      <c r="I19" s="42"/>
      <c r="J19" t="s">
        <v>47</v>
      </c>
      <c r="K19" t="s">
        <v>48</v>
      </c>
      <c r="L19" s="43"/>
    </row>
    <row r="20" spans="1:26" x14ac:dyDescent="0.2">
      <c r="A20" s="67">
        <f>C16</f>
        <v>3.1</v>
      </c>
      <c r="B20">
        <v>5</v>
      </c>
      <c r="C20">
        <v>6</v>
      </c>
      <c r="D20">
        <v>0</v>
      </c>
      <c r="E20">
        <f>E6</f>
        <v>0</v>
      </c>
      <c r="F20">
        <f>(1/SQRT(B20)-1/SQRT(C20))*H20</f>
        <v>0</v>
      </c>
      <c r="H20" s="43">
        <f>H6</f>
        <v>0</v>
      </c>
      <c r="I20" s="42"/>
      <c r="J20">
        <f>IF(F20-F6&gt;0,F20-F6,0)</f>
        <v>0</v>
      </c>
      <c r="K20">
        <f>IF(G20-G6&gt;0,G20-G6,0)</f>
        <v>0</v>
      </c>
      <c r="L20" s="43"/>
    </row>
    <row r="21" spans="1:26" x14ac:dyDescent="0.2">
      <c r="A21" s="67"/>
      <c r="B21">
        <v>4</v>
      </c>
      <c r="C21">
        <v>5</v>
      </c>
      <c r="D21">
        <v>0</v>
      </c>
      <c r="E21">
        <f>E7</f>
        <v>0</v>
      </c>
      <c r="F21">
        <f>(1/SQRT(B21)-1/SQRT(C21))*H21</f>
        <v>0</v>
      </c>
      <c r="H21" s="43">
        <f>H7</f>
        <v>0</v>
      </c>
      <c r="I21" s="42"/>
      <c r="J21">
        <f t="shared" ref="J21:K24" si="0">IF(F21-F7&gt;0,F21-F7,0)</f>
        <v>0</v>
      </c>
      <c r="K21">
        <f t="shared" si="0"/>
        <v>0</v>
      </c>
      <c r="L21" s="43"/>
    </row>
    <row r="22" spans="1:26" x14ac:dyDescent="0.2">
      <c r="A22" s="67"/>
      <c r="B22" s="34">
        <v>3</v>
      </c>
      <c r="C22" s="34">
        <v>4</v>
      </c>
      <c r="D22" s="34">
        <v>0.25</v>
      </c>
      <c r="E22" s="34">
        <f>E8</f>
        <v>24.9758125</v>
      </c>
      <c r="F22" s="34">
        <f>(1/SQRT(A20)-1/SQRT(C22))*H22</f>
        <v>8.7777433593646741</v>
      </c>
      <c r="G22" s="34">
        <f>(SQRT(A20)-SQRT(B22))*H22</f>
        <v>3.6978770108556223</v>
      </c>
      <c r="H22" s="49">
        <f>H8</f>
        <v>129.15695193650214</v>
      </c>
      <c r="I22" s="42"/>
      <c r="J22">
        <f t="shared" si="0"/>
        <v>0</v>
      </c>
      <c r="K22">
        <f>IF(G22-G8&gt;0,G22-G8,0)</f>
        <v>3.6978770108556223</v>
      </c>
      <c r="L22" s="43"/>
    </row>
    <row r="23" spans="1:26" x14ac:dyDescent="0.2">
      <c r="A23" s="67"/>
      <c r="B23">
        <v>2</v>
      </c>
      <c r="C23">
        <v>3</v>
      </c>
      <c r="D23">
        <v>0.5</v>
      </c>
      <c r="E23">
        <f>E9</f>
        <v>49.951625</v>
      </c>
      <c r="F23">
        <v>0</v>
      </c>
      <c r="G23">
        <f>(SQRT(C23)-SQRT(B23))*H23</f>
        <v>52.107285967192595</v>
      </c>
      <c r="H23" s="43">
        <f>H9</f>
        <v>163.94329725295549</v>
      </c>
      <c r="I23" s="42"/>
      <c r="J23">
        <f t="shared" si="0"/>
        <v>0</v>
      </c>
      <c r="K23">
        <f t="shared" si="0"/>
        <v>24.74100718380344</v>
      </c>
      <c r="L23" s="43"/>
    </row>
    <row r="24" spans="1:26" x14ac:dyDescent="0.2">
      <c r="A24" s="67"/>
      <c r="B24">
        <v>1</v>
      </c>
      <c r="C24">
        <v>2</v>
      </c>
      <c r="D24">
        <v>0.25</v>
      </c>
      <c r="E24">
        <f>E10</f>
        <v>24.9758125</v>
      </c>
      <c r="F24">
        <v>0</v>
      </c>
      <c r="G24">
        <f>(SQRT(C24)-SQRT(B24))*H24</f>
        <v>24.9758125</v>
      </c>
      <c r="H24" s="43">
        <f>H10</f>
        <v>60.296945268787461</v>
      </c>
      <c r="I24" s="55"/>
      <c r="J24">
        <f t="shared" si="0"/>
        <v>0</v>
      </c>
      <c r="K24">
        <f t="shared" si="0"/>
        <v>0</v>
      </c>
      <c r="L24" s="43"/>
    </row>
    <row r="25" spans="1:26" x14ac:dyDescent="0.2">
      <c r="A25" s="48"/>
      <c r="H25" s="43"/>
      <c r="I25" s="55"/>
      <c r="J25" s="50">
        <f>SUM(J20:J24)</f>
        <v>0</v>
      </c>
      <c r="K25" s="50">
        <f>SUM(K20:K24)</f>
        <v>28.43888419465906</v>
      </c>
      <c r="L25" s="43"/>
    </row>
    <row r="26" spans="1:26" x14ac:dyDescent="0.2">
      <c r="A26" s="51" t="s">
        <v>44</v>
      </c>
      <c r="B26" s="52"/>
      <c r="C26" s="52"/>
      <c r="D26" s="52"/>
      <c r="E26" s="52"/>
      <c r="F26" s="52">
        <f>SQRT(A20)*SQRT(C23)/(SQRT(C23)-SQRT(A20))</f>
        <v>-106.5140256196118</v>
      </c>
      <c r="G26" s="52">
        <f>1/(SQRT(A20)-SQRT(B23))</f>
        <v>2.8862684077627243</v>
      </c>
      <c r="H26" s="43"/>
      <c r="I26" s="55" t="s">
        <v>49</v>
      </c>
      <c r="J26">
        <f>J25*A20</f>
        <v>0</v>
      </c>
      <c r="K26">
        <f>K25</f>
        <v>28.43888419465906</v>
      </c>
      <c r="L26" s="43"/>
    </row>
    <row r="27" spans="1:26" x14ac:dyDescent="0.2">
      <c r="A27" s="51" t="s">
        <v>45</v>
      </c>
      <c r="B27" s="52">
        <v>0</v>
      </c>
      <c r="E27" s="33"/>
      <c r="F27" s="33"/>
      <c r="G27" s="33"/>
      <c r="H27" s="43"/>
      <c r="I27" s="55"/>
      <c r="J27" s="50"/>
      <c r="K27" s="50">
        <f>K26+J26</f>
        <v>28.43888419465906</v>
      </c>
      <c r="L27" s="43"/>
      <c r="U27" s="99"/>
      <c r="V27" s="99"/>
      <c r="W27" s="99"/>
      <c r="X27" s="99"/>
      <c r="Y27" s="99"/>
      <c r="Z27" s="99"/>
    </row>
    <row r="28" spans="1:26" ht="17" thickBot="1" x14ac:dyDescent="0.25">
      <c r="A28" s="44" t="s">
        <v>51</v>
      </c>
      <c r="B28" s="45">
        <f>0.003*K27*$K$5</f>
        <v>8.5316652583977179E-2</v>
      </c>
      <c r="C28" s="45"/>
      <c r="D28" s="45"/>
      <c r="E28" s="46"/>
      <c r="F28" s="46"/>
      <c r="G28" s="46"/>
      <c r="H28" s="47"/>
      <c r="I28" s="56"/>
      <c r="J28" s="45"/>
      <c r="K28" s="45"/>
      <c r="L28" s="47"/>
      <c r="U28" s="99"/>
      <c r="V28" s="99"/>
      <c r="W28" s="99"/>
      <c r="X28" s="99"/>
      <c r="Y28" s="99"/>
      <c r="Z28" s="99"/>
    </row>
    <row r="29" spans="1:26" x14ac:dyDescent="0.2">
      <c r="A29" s="39"/>
      <c r="B29" s="40" t="s">
        <v>37</v>
      </c>
      <c r="C29" s="40" t="s">
        <v>38</v>
      </c>
      <c r="D29" s="40" t="s">
        <v>39</v>
      </c>
      <c r="E29" s="40" t="s">
        <v>40</v>
      </c>
      <c r="F29" s="40" t="s">
        <v>41</v>
      </c>
      <c r="G29" s="40" t="s">
        <v>42</v>
      </c>
      <c r="H29" s="41"/>
      <c r="I29" s="57"/>
      <c r="J29" s="40"/>
      <c r="K29" s="40"/>
      <c r="L29" s="41"/>
      <c r="M29" s="39"/>
      <c r="N29" s="40" t="s">
        <v>37</v>
      </c>
      <c r="O29" s="40" t="s">
        <v>38</v>
      </c>
      <c r="P29" s="40" t="s">
        <v>39</v>
      </c>
      <c r="Q29" s="40" t="s">
        <v>40</v>
      </c>
      <c r="R29" s="40" t="s">
        <v>41</v>
      </c>
      <c r="S29" s="40" t="s">
        <v>42</v>
      </c>
      <c r="T29" s="41"/>
      <c r="U29" s="99" t="s">
        <v>57</v>
      </c>
      <c r="V29" s="99"/>
      <c r="W29" s="99"/>
      <c r="X29" s="99"/>
      <c r="Y29" s="99"/>
      <c r="Z29" s="99"/>
    </row>
    <row r="30" spans="1:26" x14ac:dyDescent="0.2">
      <c r="A30" s="42" t="s">
        <v>36</v>
      </c>
      <c r="B30">
        <v>2.5</v>
      </c>
      <c r="C30">
        <v>3.1</v>
      </c>
      <c r="D30" s="38">
        <v>4.2</v>
      </c>
      <c r="E30">
        <v>4.5</v>
      </c>
      <c r="F30">
        <v>5.4</v>
      </c>
      <c r="G30">
        <v>4.2</v>
      </c>
      <c r="H30" s="43"/>
      <c r="I30" s="55"/>
      <c r="L30" s="43"/>
      <c r="M30" s="42" t="s">
        <v>36</v>
      </c>
      <c r="N30">
        <v>2.5</v>
      </c>
      <c r="O30">
        <v>3.1</v>
      </c>
      <c r="P30" s="38">
        <v>4.2</v>
      </c>
      <c r="Q30">
        <v>4.5</v>
      </c>
      <c r="R30">
        <v>5.4</v>
      </c>
      <c r="S30">
        <v>4.2</v>
      </c>
      <c r="T30" s="43"/>
      <c r="U30" s="99"/>
      <c r="V30" s="99"/>
      <c r="W30" s="99"/>
      <c r="X30" s="99"/>
      <c r="Y30" s="99"/>
      <c r="Z30" s="99"/>
    </row>
    <row r="31" spans="1:26" x14ac:dyDescent="0.2">
      <c r="A31" s="51" t="s">
        <v>52</v>
      </c>
      <c r="B31" s="52">
        <f>SUM(F34:F38)*A34+SUM(G34:G38)</f>
        <v>111.69059943544369</v>
      </c>
      <c r="H31" s="43"/>
      <c r="I31" s="55"/>
      <c r="L31" s="43"/>
      <c r="M31" s="42" t="s">
        <v>52</v>
      </c>
      <c r="N31" s="59">
        <f>B31-N41+C42</f>
        <v>111.65192495989986</v>
      </c>
      <c r="T31" s="43"/>
      <c r="U31" s="99"/>
      <c r="V31" s="99"/>
      <c r="W31" s="99"/>
      <c r="X31" s="99"/>
      <c r="Y31" s="99"/>
      <c r="Z31" s="99"/>
    </row>
    <row r="32" spans="1:26" x14ac:dyDescent="0.2">
      <c r="A32" s="42"/>
      <c r="F32">
        <f>H32/H4-1</f>
        <v>0.32372908716478555</v>
      </c>
      <c r="G32">
        <f>H32-H4</f>
        <v>32.341587927295365</v>
      </c>
      <c r="H32">
        <f>F4*A34+G4</f>
        <v>132.24483792729535</v>
      </c>
      <c r="I32" s="55"/>
      <c r="L32" s="43"/>
      <c r="M32" s="42"/>
      <c r="R32">
        <f>SUM(R34:R38)</f>
        <v>16.960343618337998</v>
      </c>
      <c r="S32">
        <f>SUM(S34:S38)</f>
        <v>40.418481762880255</v>
      </c>
      <c r="T32" s="43">
        <f>R32*M34+S32</f>
        <v>111.65192495989984</v>
      </c>
      <c r="U32" s="99"/>
      <c r="V32" s="99"/>
      <c r="W32" s="99"/>
      <c r="X32" s="99"/>
      <c r="Y32" s="99"/>
      <c r="Z32" s="99"/>
    </row>
    <row r="33" spans="1:26" x14ac:dyDescent="0.2">
      <c r="A33" t="s">
        <v>35</v>
      </c>
      <c r="B33" t="s">
        <v>0</v>
      </c>
      <c r="C33" t="s">
        <v>1</v>
      </c>
      <c r="D33" t="s">
        <v>29</v>
      </c>
      <c r="E33" t="s">
        <v>43</v>
      </c>
      <c r="F33" t="s">
        <v>30</v>
      </c>
      <c r="G33" t="s">
        <v>31</v>
      </c>
      <c r="H33" s="43" t="s">
        <v>4</v>
      </c>
      <c r="I33" s="55"/>
      <c r="J33" t="s">
        <v>47</v>
      </c>
      <c r="K33" t="s">
        <v>48</v>
      </c>
      <c r="L33" s="43"/>
      <c r="M33" s="42" t="s">
        <v>35</v>
      </c>
      <c r="N33" t="s">
        <v>0</v>
      </c>
      <c r="O33" t="s">
        <v>1</v>
      </c>
      <c r="P33" t="s">
        <v>29</v>
      </c>
      <c r="Q33" t="s">
        <v>43</v>
      </c>
      <c r="R33" t="s">
        <v>30</v>
      </c>
      <c r="S33" t="s">
        <v>31</v>
      </c>
      <c r="T33" s="43" t="s">
        <v>4</v>
      </c>
      <c r="U33" s="99"/>
      <c r="V33" s="99" t="s">
        <v>53</v>
      </c>
      <c r="W33" s="99" t="s">
        <v>54</v>
      </c>
      <c r="X33" s="99" t="s">
        <v>55</v>
      </c>
      <c r="Y33" s="99"/>
      <c r="Z33" s="99"/>
    </row>
    <row r="34" spans="1:26" x14ac:dyDescent="0.2">
      <c r="A34" s="67">
        <f>D30</f>
        <v>4.2</v>
      </c>
      <c r="B34">
        <v>5</v>
      </c>
      <c r="C34">
        <v>6</v>
      </c>
      <c r="D34">
        <v>0</v>
      </c>
      <c r="E34">
        <f>E20</f>
        <v>0</v>
      </c>
      <c r="F34">
        <f>(1/SQRT(B34)-1/SQRT(C34))*H34</f>
        <v>0</v>
      </c>
      <c r="H34" s="43">
        <f>H20</f>
        <v>0</v>
      </c>
      <c r="I34" s="55"/>
      <c r="J34">
        <f>IF(F34-F20&gt;0,F34-F20,0)+J20</f>
        <v>0</v>
      </c>
      <c r="K34">
        <f>IF(G34-G20&gt;0,G34-G20,0)+K20</f>
        <v>0</v>
      </c>
      <c r="L34" s="43"/>
      <c r="M34" s="74">
        <f>P30</f>
        <v>4.2</v>
      </c>
      <c r="N34">
        <v>5</v>
      </c>
      <c r="O34">
        <v>6</v>
      </c>
      <c r="P34">
        <v>0.25</v>
      </c>
      <c r="Q34">
        <f>$N$31*P34</f>
        <v>27.912981239974965</v>
      </c>
      <c r="R34">
        <f>Q34/M34</f>
        <v>6.6459479142797528</v>
      </c>
      <c r="T34" s="43">
        <f>R34*SQRT(N34*O34)/(SQRT(O34)-SQRT(N34))</f>
        <v>170.56065410301264</v>
      </c>
      <c r="U34" s="99"/>
      <c r="V34" s="99">
        <f>P34*($B$31+$C$42)</f>
        <v>27.967161239974963</v>
      </c>
      <c r="W34" s="99">
        <f>E34</f>
        <v>0</v>
      </c>
      <c r="X34" s="99">
        <f>V34-W34</f>
        <v>27.967161239974963</v>
      </c>
      <c r="Y34" s="99"/>
      <c r="Z34" s="99"/>
    </row>
    <row r="35" spans="1:26" x14ac:dyDescent="0.2">
      <c r="A35" s="67"/>
      <c r="B35" s="34">
        <v>4</v>
      </c>
      <c r="C35" s="34">
        <v>5</v>
      </c>
      <c r="D35" s="34">
        <v>0</v>
      </c>
      <c r="E35" s="34">
        <f>E21</f>
        <v>0</v>
      </c>
      <c r="F35" s="34">
        <f>(1/SQRT(B35)-1/SQRT(C35))*H35</f>
        <v>0</v>
      </c>
      <c r="G35" s="34"/>
      <c r="H35" s="49">
        <f>H21</f>
        <v>0</v>
      </c>
      <c r="I35" s="55"/>
      <c r="J35">
        <f t="shared" ref="J35:K38" si="1">IF(F35-F21&gt;0,F35-F21,0)+J21</f>
        <v>0</v>
      </c>
      <c r="K35">
        <f t="shared" si="1"/>
        <v>0</v>
      </c>
      <c r="L35" s="43"/>
      <c r="M35" s="74"/>
      <c r="N35" s="34">
        <v>4</v>
      </c>
      <c r="O35" s="34">
        <v>5</v>
      </c>
      <c r="P35" s="34">
        <v>0.5</v>
      </c>
      <c r="Q35" s="34">
        <f>$N$31*P35</f>
        <v>55.825962479949929</v>
      </c>
      <c r="R35" s="34">
        <f>Q35/(M34+R40/S40)</f>
        <v>10.314395704058246</v>
      </c>
      <c r="S35" s="34">
        <f>R40/S40*R35</f>
        <v>12.505500522905288</v>
      </c>
      <c r="T35" s="49">
        <f>IF(R35*R40=S35*S40,
R35*R40,
"ошибка")</f>
        <v>253.19825339094442</v>
      </c>
      <c r="U35" s="99"/>
      <c r="V35" s="99">
        <f>P35*($B$31+$C$42)</f>
        <v>55.934322479949927</v>
      </c>
      <c r="W35" s="99">
        <f>E35</f>
        <v>0</v>
      </c>
      <c r="X35" s="99">
        <f>V35-W35</f>
        <v>55.934322479949927</v>
      </c>
      <c r="Y35" s="99"/>
      <c r="Z35" s="99"/>
    </row>
    <row r="36" spans="1:26" x14ac:dyDescent="0.2">
      <c r="A36" s="67"/>
      <c r="B36">
        <v>3</v>
      </c>
      <c r="C36">
        <v>4</v>
      </c>
      <c r="D36">
        <v>0.25</v>
      </c>
      <c r="E36">
        <f>E22</f>
        <v>24.9758125</v>
      </c>
      <c r="F36">
        <v>0</v>
      </c>
      <c r="G36">
        <f>(SQRT(C36)-SQRT(B36))*H36</f>
        <v>34.607500968251088</v>
      </c>
      <c r="H36" s="43">
        <f>H22</f>
        <v>129.15695193650214</v>
      </c>
      <c r="I36" s="55"/>
      <c r="J36">
        <f t="shared" si="1"/>
        <v>0</v>
      </c>
      <c r="K36">
        <f t="shared" si="1"/>
        <v>34.607500968251088</v>
      </c>
      <c r="L36" s="43"/>
      <c r="M36" s="74"/>
      <c r="N36">
        <v>3</v>
      </c>
      <c r="O36">
        <v>4</v>
      </c>
      <c r="P36">
        <v>0.25</v>
      </c>
      <c r="Q36">
        <f>$N$31*P36</f>
        <v>27.912981239974965</v>
      </c>
      <c r="R36">
        <v>0</v>
      </c>
      <c r="S36">
        <f>Q36</f>
        <v>27.912981239974965</v>
      </c>
      <c r="T36" s="43">
        <f>S36/(SQRT(O36)-SQRT(N36))</f>
        <v>104.17266417830345</v>
      </c>
      <c r="U36" s="99"/>
      <c r="V36" s="99">
        <f>P36*($B$31+$C$42)</f>
        <v>27.967161239974963</v>
      </c>
      <c r="W36" s="99">
        <f>E36</f>
        <v>24.9758125</v>
      </c>
      <c r="X36" s="99">
        <f>V36-W36</f>
        <v>2.9913487399749634</v>
      </c>
      <c r="Y36" s="99"/>
      <c r="Z36" s="99"/>
    </row>
    <row r="37" spans="1:26" x14ac:dyDescent="0.2">
      <c r="A37" s="67"/>
      <c r="B37">
        <v>2</v>
      </c>
      <c r="C37">
        <v>3</v>
      </c>
      <c r="D37">
        <v>0.5</v>
      </c>
      <c r="E37">
        <f>E23</f>
        <v>49.951625</v>
      </c>
      <c r="F37">
        <v>0</v>
      </c>
      <c r="G37">
        <f>(SQRT(C37)-SQRT(B37))*H37</f>
        <v>52.107285967192595</v>
      </c>
      <c r="H37" s="43">
        <f>H23</f>
        <v>163.94329725295549</v>
      </c>
      <c r="I37" s="55"/>
      <c r="J37">
        <f t="shared" si="1"/>
        <v>0</v>
      </c>
      <c r="K37">
        <f t="shared" si="1"/>
        <v>24.74100718380344</v>
      </c>
      <c r="L37" s="43"/>
      <c r="M37" s="74"/>
      <c r="N37">
        <v>2</v>
      </c>
      <c r="O37">
        <v>3</v>
      </c>
      <c r="P37">
        <v>0</v>
      </c>
      <c r="Q37">
        <f>$N$31*P37</f>
        <v>0</v>
      </c>
      <c r="R37">
        <v>0</v>
      </c>
      <c r="S37">
        <f>(SQRT(O37)-SQRT(N37))*T37</f>
        <v>0</v>
      </c>
      <c r="T37" s="43">
        <f>T23</f>
        <v>0</v>
      </c>
      <c r="U37" s="99"/>
      <c r="V37" s="99">
        <f>P37*($B$31+$C$42)</f>
        <v>0</v>
      </c>
      <c r="W37" s="99">
        <f>E37</f>
        <v>49.951625</v>
      </c>
      <c r="X37" s="99">
        <f>V37-W37</f>
        <v>-49.951625</v>
      </c>
      <c r="Y37" s="99"/>
      <c r="Z37" s="99"/>
    </row>
    <row r="38" spans="1:26" x14ac:dyDescent="0.2">
      <c r="A38" s="67"/>
      <c r="B38">
        <v>1</v>
      </c>
      <c r="C38">
        <v>2</v>
      </c>
      <c r="D38">
        <v>0.25</v>
      </c>
      <c r="E38">
        <f>E24</f>
        <v>24.9758125</v>
      </c>
      <c r="F38">
        <v>0</v>
      </c>
      <c r="G38">
        <f>(SQRT(C38)-SQRT(B38))*H38</f>
        <v>24.9758125</v>
      </c>
      <c r="H38" s="43">
        <f>H24</f>
        <v>60.296945268787461</v>
      </c>
      <c r="I38" s="55"/>
      <c r="J38">
        <f t="shared" si="1"/>
        <v>0</v>
      </c>
      <c r="K38">
        <f t="shared" si="1"/>
        <v>0</v>
      </c>
      <c r="L38" s="43"/>
      <c r="M38" s="74"/>
      <c r="N38">
        <v>1</v>
      </c>
      <c r="O38">
        <v>2</v>
      </c>
      <c r="P38">
        <v>0</v>
      </c>
      <c r="Q38">
        <f>$N$31*P38</f>
        <v>0</v>
      </c>
      <c r="R38">
        <v>0</v>
      </c>
      <c r="S38">
        <f>(SQRT(O38)-SQRT(N38))*T38</f>
        <v>0</v>
      </c>
      <c r="T38" s="43">
        <f>T24</f>
        <v>0</v>
      </c>
      <c r="U38" s="99"/>
      <c r="V38" s="99">
        <f>P38*($B$31+$C$42)</f>
        <v>0</v>
      </c>
      <c r="W38" s="99">
        <f>E38</f>
        <v>24.9758125</v>
      </c>
      <c r="X38" s="99">
        <f>V38-W38</f>
        <v>-24.9758125</v>
      </c>
      <c r="Y38" s="99"/>
      <c r="Z38" s="99"/>
    </row>
    <row r="39" spans="1:26" x14ac:dyDescent="0.2">
      <c r="A39" s="48"/>
      <c r="H39" s="43"/>
      <c r="I39" s="55"/>
      <c r="J39" s="50">
        <f>SUM(J34:J38)</f>
        <v>0</v>
      </c>
      <c r="K39" s="50">
        <f>SUM(K34:K38)</f>
        <v>59.348508152054528</v>
      </c>
      <c r="L39" s="43"/>
      <c r="M39" s="53"/>
      <c r="T39" s="43"/>
      <c r="U39" s="99"/>
      <c r="V39" s="100" t="s">
        <v>56</v>
      </c>
      <c r="W39" s="100"/>
      <c r="X39" s="99">
        <f>SUMIF(X34:X38,"&gt;0",X34:X38)-SUMIF(X34:X38,"&lt;0",X34:X38)</f>
        <v>161.82026995989986</v>
      </c>
      <c r="Y39" s="99"/>
      <c r="Z39" s="99"/>
    </row>
    <row r="40" spans="1:26" x14ac:dyDescent="0.2">
      <c r="A40" s="51" t="s">
        <v>44</v>
      </c>
      <c r="B40" s="52"/>
      <c r="C40" s="52"/>
      <c r="D40" s="52"/>
      <c r="E40" s="52"/>
      <c r="F40" s="52">
        <f>SQRT(A34)*SQRT(C37)/(SQRT(C37)-SQRT(A34))</f>
        <v>-11.185653209470861</v>
      </c>
      <c r="G40" s="52">
        <f>1/(SQRT(A34)-SQRT(B37))</f>
        <v>1.5743653252568246</v>
      </c>
      <c r="H40" s="43"/>
      <c r="I40" s="55" t="s">
        <v>49</v>
      </c>
      <c r="J40">
        <f>J39*A34</f>
        <v>0</v>
      </c>
      <c r="K40">
        <f>K39</f>
        <v>59.348508152054528</v>
      </c>
      <c r="L40" s="43"/>
      <c r="M40" s="42" t="s">
        <v>44</v>
      </c>
      <c r="R40">
        <f>SQRT(M34)*SQRT(O35)/(SQRT(O35)-SQRT(M34))</f>
        <v>24.548045339323409</v>
      </c>
      <c r="S40">
        <f>1/(SQRT(M34)-SQRT(N35))</f>
        <v>20.246950765959522</v>
      </c>
      <c r="T40" s="43"/>
      <c r="U40" s="99"/>
      <c r="V40" s="99"/>
      <c r="W40" s="99"/>
      <c r="X40" s="99"/>
      <c r="Y40" s="99"/>
      <c r="Z40" s="99"/>
    </row>
    <row r="41" spans="1:26" x14ac:dyDescent="0.2">
      <c r="A41" s="51" t="s">
        <v>45</v>
      </c>
      <c r="B41" s="52">
        <v>0</v>
      </c>
      <c r="E41" s="33"/>
      <c r="F41" s="33"/>
      <c r="G41" s="33"/>
      <c r="H41" s="43"/>
      <c r="I41" s="55"/>
      <c r="J41" s="50"/>
      <c r="K41" s="50">
        <f>K40+J40</f>
        <v>59.348508152054528</v>
      </c>
      <c r="L41" s="43"/>
      <c r="M41" s="42" t="s">
        <v>45</v>
      </c>
      <c r="N41">
        <f>215000*$K$4*10^(-9)*M34*(2+2*3)</f>
        <v>0.21672</v>
      </c>
      <c r="Q41" s="33"/>
      <c r="R41" s="33"/>
      <c r="S41" s="33"/>
      <c r="T41" s="43"/>
      <c r="U41" s="99"/>
      <c r="V41" s="99"/>
      <c r="W41" s="99"/>
      <c r="X41" s="99"/>
      <c r="Y41" s="99"/>
      <c r="Z41" s="99"/>
    </row>
    <row r="42" spans="1:26" ht="17" thickBot="1" x14ac:dyDescent="0.25">
      <c r="A42" s="44" t="s">
        <v>51</v>
      </c>
      <c r="B42" s="45">
        <f>0.003*K41*$K$5</f>
        <v>0.17804552445616359</v>
      </c>
      <c r="C42" s="62">
        <f>B42</f>
        <v>0.17804552445616359</v>
      </c>
      <c r="D42" s="45"/>
      <c r="E42" s="46"/>
      <c r="F42" s="46"/>
      <c r="G42" s="46"/>
      <c r="H42" s="47"/>
      <c r="I42" s="56"/>
      <c r="J42" s="45"/>
      <c r="K42" s="45"/>
      <c r="L42" s="47"/>
      <c r="M42" s="44" t="s">
        <v>51</v>
      </c>
      <c r="N42" s="45">
        <v>0</v>
      </c>
      <c r="O42" s="45"/>
      <c r="P42" s="45"/>
      <c r="Q42" s="46"/>
      <c r="R42" s="46"/>
      <c r="S42" s="46"/>
      <c r="T42" s="47"/>
      <c r="U42" s="99"/>
      <c r="V42" s="99"/>
      <c r="W42" s="99"/>
      <c r="X42" s="99"/>
      <c r="Y42" s="99"/>
      <c r="Z42" s="99"/>
    </row>
    <row r="43" spans="1:26" x14ac:dyDescent="0.2">
      <c r="A43" s="39"/>
      <c r="B43" s="40" t="s">
        <v>37</v>
      </c>
      <c r="C43" s="40" t="s">
        <v>38</v>
      </c>
      <c r="D43" s="40" t="s">
        <v>39</v>
      </c>
      <c r="E43" s="40" t="s">
        <v>40</v>
      </c>
      <c r="F43" s="40" t="s">
        <v>41</v>
      </c>
      <c r="G43" s="40" t="s">
        <v>42</v>
      </c>
      <c r="H43" s="41"/>
      <c r="I43" s="57"/>
      <c r="J43" s="40"/>
      <c r="K43" s="40"/>
      <c r="L43" s="41"/>
      <c r="U43" s="99"/>
      <c r="V43" s="99"/>
      <c r="W43" s="99"/>
      <c r="X43" s="99"/>
      <c r="Y43" s="99"/>
      <c r="Z43" s="99"/>
    </row>
    <row r="44" spans="1:26" x14ac:dyDescent="0.2">
      <c r="A44" s="42" t="s">
        <v>36</v>
      </c>
      <c r="B44">
        <v>2.5</v>
      </c>
      <c r="C44">
        <v>3.1</v>
      </c>
      <c r="D44">
        <v>4.2</v>
      </c>
      <c r="E44" s="38">
        <v>4.5</v>
      </c>
      <c r="F44">
        <v>5.4</v>
      </c>
      <c r="G44">
        <v>4.2</v>
      </c>
      <c r="H44" s="43"/>
      <c r="I44" s="55"/>
      <c r="L44" s="43"/>
      <c r="U44" s="99"/>
      <c r="V44" s="99"/>
      <c r="W44" s="99"/>
      <c r="X44" s="99"/>
      <c r="Y44" s="99"/>
      <c r="Z44" s="99"/>
    </row>
    <row r="45" spans="1:26" x14ac:dyDescent="0.2">
      <c r="A45" s="51" t="s">
        <v>60</v>
      </c>
      <c r="B45" s="52">
        <f>SUM(F48:F52)*A48+SUM(G48:G52)</f>
        <v>116.10079608657281</v>
      </c>
      <c r="H45" s="43"/>
      <c r="I45" s="55"/>
      <c r="L45" s="43"/>
      <c r="N45" s="101">
        <f>N31+N41</f>
        <v>111.86864495989985</v>
      </c>
      <c r="O45" s="99"/>
      <c r="P45" s="99"/>
      <c r="Q45" s="99"/>
      <c r="R45" s="99"/>
      <c r="S45" s="99"/>
      <c r="T45" s="99"/>
    </row>
    <row r="46" spans="1:26" x14ac:dyDescent="0.2">
      <c r="A46" s="42"/>
      <c r="H46" s="43"/>
      <c r="I46" s="55"/>
      <c r="L46" s="43"/>
      <c r="N46" s="99"/>
      <c r="O46" s="99"/>
      <c r="P46" s="99"/>
      <c r="Q46" s="99"/>
      <c r="R46" s="99"/>
      <c r="S46" s="99"/>
      <c r="T46" s="99"/>
    </row>
    <row r="47" spans="1:26" x14ac:dyDescent="0.2">
      <c r="A47" t="s">
        <v>35</v>
      </c>
      <c r="B47" t="s">
        <v>0</v>
      </c>
      <c r="C47" t="s">
        <v>1</v>
      </c>
      <c r="D47" t="s">
        <v>29</v>
      </c>
      <c r="E47" t="s">
        <v>43</v>
      </c>
      <c r="F47" t="s">
        <v>30</v>
      </c>
      <c r="G47" t="s">
        <v>31</v>
      </c>
      <c r="H47" s="43" t="s">
        <v>4</v>
      </c>
      <c r="I47" s="55"/>
      <c r="J47" t="s">
        <v>47</v>
      </c>
      <c r="K47" t="s">
        <v>48</v>
      </c>
      <c r="L47" s="43"/>
      <c r="N47" s="99"/>
      <c r="O47" s="99"/>
      <c r="P47" s="99"/>
      <c r="Q47" s="99"/>
      <c r="R47" s="99"/>
      <c r="S47" s="99"/>
      <c r="T47" s="99"/>
    </row>
    <row r="48" spans="1:26" x14ac:dyDescent="0.2">
      <c r="A48" s="67">
        <f>E44</f>
        <v>4.5</v>
      </c>
      <c r="B48">
        <v>5</v>
      </c>
      <c r="C48">
        <v>6</v>
      </c>
      <c r="D48">
        <f>P34</f>
        <v>0.25</v>
      </c>
      <c r="E48">
        <f>Q34</f>
        <v>27.912981239974965</v>
      </c>
      <c r="F48">
        <f>(1/SQRT(B48)-1/SQRT(C48))*H48</f>
        <v>6.6459479142797511</v>
      </c>
      <c r="H48" s="43">
        <f>T34</f>
        <v>170.56065410301264</v>
      </c>
      <c r="I48" s="55"/>
      <c r="J48">
        <f>IF(F48-R34&gt;0,F48-R34,0)</f>
        <v>0</v>
      </c>
      <c r="K48">
        <f>IF(G48-S34&gt;0,G48-S34,0)</f>
        <v>0</v>
      </c>
      <c r="L48" s="43"/>
      <c r="N48" s="99"/>
      <c r="O48" s="99"/>
      <c r="P48" s="99"/>
      <c r="Q48" s="99"/>
      <c r="R48" s="99"/>
      <c r="S48" s="99"/>
      <c r="T48" s="99"/>
    </row>
    <row r="49" spans="1:20" x14ac:dyDescent="0.2">
      <c r="A49" s="67"/>
      <c r="B49" s="34">
        <v>4</v>
      </c>
      <c r="C49" s="34">
        <v>5</v>
      </c>
      <c r="D49" s="34">
        <f t="shared" ref="D49:E52" si="2">P35</f>
        <v>0.5</v>
      </c>
      <c r="E49" s="34">
        <f t="shared" si="2"/>
        <v>55.825962479949929</v>
      </c>
      <c r="F49" s="34">
        <f>(1/SQRT(A48)-1/SQRT(C49))*H49</f>
        <v>6.1251000316107111</v>
      </c>
      <c r="G49" s="34">
        <f>(SQRT(A48)-SQRT(B49))*H49</f>
        <v>30.718099090090764</v>
      </c>
      <c r="H49" s="49">
        <f>T35</f>
        <v>253.19825339094442</v>
      </c>
      <c r="I49" s="55"/>
      <c r="J49">
        <f t="shared" ref="J49:K52" si="3">IF(F49-R35&gt;0,F49-R35,0)</f>
        <v>0</v>
      </c>
      <c r="K49">
        <f t="shared" si="3"/>
        <v>18.212598567185474</v>
      </c>
      <c r="L49" s="43"/>
      <c r="N49" s="99"/>
      <c r="O49" s="99"/>
      <c r="P49" s="99"/>
      <c r="Q49" s="99"/>
      <c r="R49" s="99"/>
      <c r="S49" s="99"/>
      <c r="T49" s="99"/>
    </row>
    <row r="50" spans="1:20" x14ac:dyDescent="0.2">
      <c r="A50" s="67"/>
      <c r="B50">
        <v>3</v>
      </c>
      <c r="C50">
        <v>4</v>
      </c>
      <c r="D50">
        <f t="shared" si="2"/>
        <v>0.25</v>
      </c>
      <c r="E50">
        <f t="shared" si="2"/>
        <v>27.912981239974965</v>
      </c>
      <c r="F50">
        <v>0</v>
      </c>
      <c r="G50">
        <f>(SQRT(C50)-SQRT(B50))*H50</f>
        <v>27.912981239974965</v>
      </c>
      <c r="H50" s="43">
        <f>T36</f>
        <v>104.17266417830345</v>
      </c>
      <c r="I50" s="55"/>
      <c r="J50">
        <f t="shared" si="3"/>
        <v>0</v>
      </c>
      <c r="K50">
        <f>IF(G50-S36&gt;0,G50-S36,0)</f>
        <v>0</v>
      </c>
      <c r="L50" s="43"/>
      <c r="N50" s="99"/>
      <c r="O50" s="99"/>
      <c r="P50" s="99"/>
      <c r="Q50" s="99"/>
      <c r="R50" s="99"/>
      <c r="S50" s="99"/>
      <c r="T50" s="99"/>
    </row>
    <row r="51" spans="1:20" x14ac:dyDescent="0.2">
      <c r="A51" s="67"/>
      <c r="B51">
        <v>2</v>
      </c>
      <c r="C51">
        <v>3</v>
      </c>
      <c r="D51">
        <f t="shared" si="2"/>
        <v>0</v>
      </c>
      <c r="E51">
        <f t="shared" si="2"/>
        <v>0</v>
      </c>
      <c r="F51">
        <v>0</v>
      </c>
      <c r="G51">
        <f>(SQRT(C51)-SQRT(B51))*H51</f>
        <v>0</v>
      </c>
      <c r="H51" s="43">
        <f>T37</f>
        <v>0</v>
      </c>
      <c r="I51" s="55"/>
      <c r="J51">
        <f t="shared" si="3"/>
        <v>0</v>
      </c>
      <c r="K51">
        <f t="shared" si="3"/>
        <v>0</v>
      </c>
      <c r="L51" s="43"/>
      <c r="N51" s="99">
        <v>500</v>
      </c>
      <c r="O51" s="99">
        <v>10</v>
      </c>
      <c r="P51" s="99">
        <v>1000</v>
      </c>
      <c r="Q51" s="99">
        <f>N51</f>
        <v>500</v>
      </c>
      <c r="R51" s="99">
        <f>P51*O51+Q51</f>
        <v>10500</v>
      </c>
      <c r="S51" s="99"/>
      <c r="T51" s="99"/>
    </row>
    <row r="52" spans="1:20" x14ac:dyDescent="0.2">
      <c r="A52" s="67"/>
      <c r="B52">
        <v>1</v>
      </c>
      <c r="C52">
        <v>2</v>
      </c>
      <c r="D52">
        <f t="shared" si="2"/>
        <v>0</v>
      </c>
      <c r="E52">
        <f t="shared" si="2"/>
        <v>0</v>
      </c>
      <c r="F52">
        <v>0</v>
      </c>
      <c r="G52">
        <f>(SQRT(C52)-SQRT(B52))*H52</f>
        <v>0</v>
      </c>
      <c r="H52" s="43">
        <f>T38</f>
        <v>0</v>
      </c>
      <c r="I52" s="55"/>
      <c r="J52">
        <f t="shared" si="3"/>
        <v>0</v>
      </c>
      <c r="K52">
        <f t="shared" si="3"/>
        <v>0</v>
      </c>
      <c r="L52" s="43"/>
      <c r="N52" s="99"/>
      <c r="O52" s="99"/>
      <c r="P52" s="99">
        <v>900</v>
      </c>
      <c r="Q52" s="99">
        <f>N51</f>
        <v>500</v>
      </c>
      <c r="R52" s="99">
        <f>O51*P52+Q52</f>
        <v>9500</v>
      </c>
      <c r="S52" s="99"/>
      <c r="T52" s="99"/>
    </row>
    <row r="53" spans="1:20" x14ac:dyDescent="0.2">
      <c r="A53" s="48"/>
      <c r="H53" s="43"/>
      <c r="I53" s="55"/>
      <c r="J53" s="50">
        <f>SUM(J48:J52)</f>
        <v>0</v>
      </c>
      <c r="K53" s="50">
        <f>SUM(K48:K52)</f>
        <v>18.212598567185474</v>
      </c>
      <c r="L53" s="43"/>
      <c r="N53" s="99"/>
      <c r="O53" s="99"/>
      <c r="P53" s="99"/>
      <c r="Q53" s="99"/>
      <c r="R53" s="102">
        <f>R52/R51-1</f>
        <v>-9.5238095238095233E-2</v>
      </c>
      <c r="S53" s="99"/>
      <c r="T53" s="99"/>
    </row>
    <row r="54" spans="1:20" x14ac:dyDescent="0.2">
      <c r="A54" s="51" t="s">
        <v>44</v>
      </c>
      <c r="B54" s="52"/>
      <c r="C54" s="52"/>
      <c r="D54" s="52"/>
      <c r="E54" s="52"/>
      <c r="F54" s="52">
        <f>SQRT(A48)*SQRT(C51)/(SQRT(C51)-SQRT(A48))</f>
        <v>-9.4387931098259177</v>
      </c>
      <c r="G54" s="52">
        <f>1/(SQRT(A48)-SQRT(B51))</f>
        <v>1.4142135623730956</v>
      </c>
      <c r="H54" s="43"/>
      <c r="I54" s="55" t="s">
        <v>49</v>
      </c>
      <c r="J54">
        <f>J53*A48</f>
        <v>0</v>
      </c>
      <c r="K54">
        <f>K53</f>
        <v>18.212598567185474</v>
      </c>
      <c r="L54" s="43"/>
      <c r="N54" s="99"/>
      <c r="O54" s="99"/>
      <c r="P54" s="99"/>
      <c r="Q54" s="99"/>
      <c r="R54" s="99"/>
      <c r="S54" s="99"/>
      <c r="T54" s="99"/>
    </row>
    <row r="55" spans="1:20" x14ac:dyDescent="0.2">
      <c r="A55" s="51" t="s">
        <v>45</v>
      </c>
      <c r="B55" s="52">
        <v>0</v>
      </c>
      <c r="E55" s="33"/>
      <c r="F55" s="33"/>
      <c r="G55" s="33"/>
      <c r="H55" s="43"/>
      <c r="I55" s="55"/>
      <c r="J55" s="50"/>
      <c r="K55" s="50">
        <f>K54+J54</f>
        <v>18.212598567185474</v>
      </c>
      <c r="L55" s="43"/>
      <c r="N55" s="99"/>
      <c r="O55" s="99"/>
      <c r="P55" s="99"/>
      <c r="Q55" s="99"/>
      <c r="R55" s="99"/>
      <c r="S55" s="99"/>
      <c r="T55" s="99"/>
    </row>
    <row r="56" spans="1:20" ht="17" thickBot="1" x14ac:dyDescent="0.25">
      <c r="A56" s="44" t="s">
        <v>51</v>
      </c>
      <c r="B56" s="45">
        <f>0.003*K55*$K$5</f>
        <v>5.463779570155642E-2</v>
      </c>
      <c r="C56" s="45">
        <f>B56</f>
        <v>5.463779570155642E-2</v>
      </c>
      <c r="D56" s="45"/>
      <c r="E56" s="46"/>
      <c r="F56" s="46"/>
      <c r="G56" s="46"/>
      <c r="H56" s="47"/>
      <c r="I56" s="56"/>
      <c r="J56" s="45"/>
      <c r="K56" s="45"/>
      <c r="L56" s="47"/>
    </row>
    <row r="57" spans="1:20" x14ac:dyDescent="0.2">
      <c r="A57" s="39"/>
      <c r="B57" s="40" t="s">
        <v>37</v>
      </c>
      <c r="C57" s="40" t="s">
        <v>38</v>
      </c>
      <c r="D57" s="40" t="s">
        <v>39</v>
      </c>
      <c r="E57" s="40" t="s">
        <v>40</v>
      </c>
      <c r="F57" s="40" t="s">
        <v>41</v>
      </c>
      <c r="G57" s="40" t="s">
        <v>42</v>
      </c>
      <c r="H57" s="41"/>
      <c r="I57" s="57"/>
      <c r="J57" s="40"/>
      <c r="K57" s="40"/>
      <c r="L57" s="41"/>
    </row>
    <row r="58" spans="1:20" x14ac:dyDescent="0.2">
      <c r="A58" s="42" t="s">
        <v>36</v>
      </c>
      <c r="B58">
        <v>2.5</v>
      </c>
      <c r="C58">
        <v>3.1</v>
      </c>
      <c r="D58">
        <v>4.2</v>
      </c>
      <c r="E58">
        <v>4.5</v>
      </c>
      <c r="F58" s="38">
        <v>5.4</v>
      </c>
      <c r="G58">
        <v>4.2</v>
      </c>
      <c r="H58" s="43"/>
      <c r="I58" s="55"/>
      <c r="L58" s="43"/>
    </row>
    <row r="59" spans="1:20" x14ac:dyDescent="0.2">
      <c r="A59" s="51" t="s">
        <v>61</v>
      </c>
      <c r="B59" s="52">
        <f>SUM(F62:F66)*A62+SUM(G62:G66)</f>
        <v>122.98613592139662</v>
      </c>
      <c r="H59" s="43"/>
      <c r="I59" s="55"/>
      <c r="L59" s="43"/>
    </row>
    <row r="60" spans="1:20" x14ac:dyDescent="0.2">
      <c r="A60" s="42"/>
      <c r="H60" s="43"/>
      <c r="I60" s="55"/>
      <c r="L60" s="43"/>
    </row>
    <row r="61" spans="1:20" x14ac:dyDescent="0.2">
      <c r="A61" t="s">
        <v>35</v>
      </c>
      <c r="B61" t="s">
        <v>0</v>
      </c>
      <c r="C61" t="s">
        <v>1</v>
      </c>
      <c r="D61" t="s">
        <v>29</v>
      </c>
      <c r="E61" t="s">
        <v>43</v>
      </c>
      <c r="F61" t="s">
        <v>30</v>
      </c>
      <c r="G61" t="s">
        <v>31</v>
      </c>
      <c r="H61" s="43" t="s">
        <v>4</v>
      </c>
      <c r="I61" s="55"/>
      <c r="J61" t="s">
        <v>47</v>
      </c>
      <c r="K61" t="s">
        <v>48</v>
      </c>
      <c r="L61" s="43"/>
    </row>
    <row r="62" spans="1:20" x14ac:dyDescent="0.2">
      <c r="A62" s="67">
        <f>F58</f>
        <v>5.4</v>
      </c>
      <c r="B62" s="34">
        <v>5</v>
      </c>
      <c r="C62" s="34">
        <v>6</v>
      </c>
      <c r="D62" s="34">
        <f t="shared" ref="D62:E66" si="4">D48</f>
        <v>0.25</v>
      </c>
      <c r="E62" s="34">
        <f t="shared" si="4"/>
        <v>27.912981239974965</v>
      </c>
      <c r="F62" s="34">
        <f>(1/SQRT(A62)-1/SQRT(C62))*H62</f>
        <v>3.7665237486258878</v>
      </c>
      <c r="G62" s="34">
        <f>(SQRT(A62)-SQRT(B62))*H62</f>
        <v>14.961926854362323</v>
      </c>
      <c r="H62" s="49">
        <f>H48</f>
        <v>170.56065410301264</v>
      </c>
      <c r="I62" s="55"/>
      <c r="J62">
        <f>IF(F62-F48&gt;0,F62-F48,0)+J48</f>
        <v>0</v>
      </c>
      <c r="K62">
        <f>IF(G62-G48&gt;0,G62-G48,0)+K48</f>
        <v>14.961926854362323</v>
      </c>
      <c r="L62" s="43"/>
    </row>
    <row r="63" spans="1:20" x14ac:dyDescent="0.2">
      <c r="A63" s="67"/>
      <c r="B63">
        <v>4</v>
      </c>
      <c r="C63">
        <v>5</v>
      </c>
      <c r="D63">
        <f t="shared" si="4"/>
        <v>0.5</v>
      </c>
      <c r="E63">
        <f t="shared" si="4"/>
        <v>55.825962479949929</v>
      </c>
      <c r="F63">
        <v>0</v>
      </c>
      <c r="G63">
        <f>(SQRT(C63)-SQRT(B63))*H63</f>
        <v>59.771999584479545</v>
      </c>
      <c r="H63" s="43">
        <f>H49</f>
        <v>253.19825339094442</v>
      </c>
      <c r="I63" s="55"/>
      <c r="J63">
        <f t="shared" ref="J63:K66" si="5">IF(F63-F49&gt;0,F63-F49,0)+J49</f>
        <v>0</v>
      </c>
      <c r="K63">
        <f t="shared" si="5"/>
        <v>47.266499061574251</v>
      </c>
      <c r="L63" s="43"/>
    </row>
    <row r="64" spans="1:20" x14ac:dyDescent="0.2">
      <c r="A64" s="67"/>
      <c r="B64">
        <v>3</v>
      </c>
      <c r="C64">
        <v>4</v>
      </c>
      <c r="D64">
        <f t="shared" si="4"/>
        <v>0.25</v>
      </c>
      <c r="E64">
        <f t="shared" si="4"/>
        <v>27.912981239974965</v>
      </c>
      <c r="F64">
        <v>0</v>
      </c>
      <c r="G64">
        <f>(SQRT(C64)-SQRT(B64))*H64</f>
        <v>27.912981239974965</v>
      </c>
      <c r="H64" s="43">
        <f>H50</f>
        <v>104.17266417830345</v>
      </c>
      <c r="I64" s="55"/>
      <c r="J64">
        <f t="shared" si="5"/>
        <v>0</v>
      </c>
      <c r="K64">
        <f t="shared" si="5"/>
        <v>0</v>
      </c>
      <c r="L64" s="43"/>
    </row>
    <row r="65" spans="1:12" x14ac:dyDescent="0.2">
      <c r="A65" s="67"/>
      <c r="B65">
        <v>2</v>
      </c>
      <c r="C65">
        <v>3</v>
      </c>
      <c r="D65">
        <f t="shared" si="4"/>
        <v>0</v>
      </c>
      <c r="E65">
        <f t="shared" si="4"/>
        <v>0</v>
      </c>
      <c r="F65">
        <v>0</v>
      </c>
      <c r="G65">
        <f>(SQRT(C65)-SQRT(B65))*H65</f>
        <v>0</v>
      </c>
      <c r="H65" s="43">
        <f>T51</f>
        <v>0</v>
      </c>
      <c r="I65" s="55"/>
      <c r="J65">
        <f t="shared" si="5"/>
        <v>0</v>
      </c>
      <c r="K65">
        <f t="shared" si="5"/>
        <v>0</v>
      </c>
      <c r="L65" s="43"/>
    </row>
    <row r="66" spans="1:12" x14ac:dyDescent="0.2">
      <c r="A66" s="67"/>
      <c r="B66">
        <v>1</v>
      </c>
      <c r="C66">
        <v>2</v>
      </c>
      <c r="D66">
        <f t="shared" si="4"/>
        <v>0</v>
      </c>
      <c r="E66">
        <f t="shared" si="4"/>
        <v>0</v>
      </c>
      <c r="F66">
        <v>0</v>
      </c>
      <c r="G66">
        <f>(SQRT(C66)-SQRT(B66))*H66</f>
        <v>0</v>
      </c>
      <c r="H66" s="43">
        <f>T52</f>
        <v>0</v>
      </c>
      <c r="I66" s="55"/>
      <c r="J66">
        <f t="shared" si="5"/>
        <v>0</v>
      </c>
      <c r="K66">
        <f t="shared" si="5"/>
        <v>0</v>
      </c>
      <c r="L66" s="43"/>
    </row>
    <row r="67" spans="1:12" x14ac:dyDescent="0.2">
      <c r="A67" s="48"/>
      <c r="H67" s="43"/>
      <c r="I67" s="55"/>
      <c r="J67" s="50">
        <f>SUM(J62:J66)</f>
        <v>0</v>
      </c>
      <c r="K67" s="50">
        <f>SUM(K62:K66)</f>
        <v>62.228425915936576</v>
      </c>
      <c r="L67" s="43"/>
    </row>
    <row r="68" spans="1:12" x14ac:dyDescent="0.2">
      <c r="A68" s="51" t="s">
        <v>44</v>
      </c>
      <c r="B68" s="52"/>
      <c r="C68" s="52"/>
      <c r="D68" s="52"/>
      <c r="E68" s="52"/>
      <c r="F68" s="52">
        <f>SQRT(A62)*SQRT(C65)/(SQRT(C65)-SQRT(A62))</f>
        <v>-6.8018518266855343</v>
      </c>
      <c r="G68" s="52">
        <f>1/(SQRT(A62)-SQRT(B65))</f>
        <v>1.0994128147345721</v>
      </c>
      <c r="H68" s="43"/>
      <c r="I68" s="55" t="s">
        <v>49</v>
      </c>
      <c r="J68">
        <f>J67*A62</f>
        <v>0</v>
      </c>
      <c r="K68">
        <f>K67</f>
        <v>62.228425915936576</v>
      </c>
      <c r="L68" s="43"/>
    </row>
    <row r="69" spans="1:12" x14ac:dyDescent="0.2">
      <c r="A69" s="51" t="s">
        <v>45</v>
      </c>
      <c r="B69" s="52">
        <v>0</v>
      </c>
      <c r="E69" s="33"/>
      <c r="F69" s="33"/>
      <c r="G69" s="33"/>
      <c r="H69" s="43"/>
      <c r="I69" s="55"/>
      <c r="J69" s="50"/>
      <c r="K69" s="50">
        <f>K68+J68</f>
        <v>62.228425915936576</v>
      </c>
      <c r="L69" s="43"/>
    </row>
    <row r="70" spans="1:12" ht="17" thickBot="1" x14ac:dyDescent="0.25">
      <c r="A70" s="44" t="s">
        <v>51</v>
      </c>
      <c r="B70" s="45">
        <f>0.003*K69*$K$5</f>
        <v>0.18668527774780974</v>
      </c>
      <c r="C70" s="45">
        <f>B70</f>
        <v>0.18668527774780974</v>
      </c>
      <c r="D70" s="45"/>
      <c r="E70" s="46"/>
      <c r="F70" s="46"/>
      <c r="G70" s="46"/>
      <c r="H70" s="47"/>
      <c r="I70" s="56"/>
      <c r="J70" s="45"/>
      <c r="K70" s="45"/>
      <c r="L70" s="47"/>
    </row>
    <row r="71" spans="1:12" x14ac:dyDescent="0.2">
      <c r="A71" s="39"/>
      <c r="B71" s="40" t="s">
        <v>37</v>
      </c>
      <c r="C71" s="40" t="s">
        <v>38</v>
      </c>
      <c r="D71" s="40" t="s">
        <v>39</v>
      </c>
      <c r="E71" s="40" t="s">
        <v>40</v>
      </c>
      <c r="F71" s="40" t="s">
        <v>41</v>
      </c>
      <c r="G71" s="40" t="s">
        <v>42</v>
      </c>
      <c r="H71" s="41"/>
      <c r="I71" s="57"/>
      <c r="J71" s="40"/>
      <c r="K71" s="40"/>
      <c r="L71" s="41"/>
    </row>
    <row r="72" spans="1:12" x14ac:dyDescent="0.2">
      <c r="A72" s="42" t="s">
        <v>36</v>
      </c>
      <c r="B72">
        <v>2.5</v>
      </c>
      <c r="C72">
        <v>3.1</v>
      </c>
      <c r="D72">
        <v>4.2</v>
      </c>
      <c r="E72">
        <v>4.5</v>
      </c>
      <c r="F72">
        <v>5.4</v>
      </c>
      <c r="G72" s="38">
        <v>4.2</v>
      </c>
      <c r="H72" s="43"/>
      <c r="I72" s="55"/>
      <c r="L72" s="43"/>
    </row>
    <row r="73" spans="1:12" x14ac:dyDescent="0.2">
      <c r="A73" s="42" t="s">
        <v>62</v>
      </c>
      <c r="B73">
        <f>SUM(F76:F80)*A76+SUM(G76:G80)</f>
        <v>111.65192495989983</v>
      </c>
      <c r="H73" s="43"/>
      <c r="I73" s="55"/>
      <c r="L73" s="43"/>
    </row>
    <row r="74" spans="1:12" x14ac:dyDescent="0.2">
      <c r="A74" s="42"/>
      <c r="H74" s="43">
        <f>A76*R32+S32</f>
        <v>111.65192495989984</v>
      </c>
      <c r="I74" s="55"/>
      <c r="L74" s="43"/>
    </row>
    <row r="75" spans="1:12" x14ac:dyDescent="0.2">
      <c r="A75" t="s">
        <v>35</v>
      </c>
      <c r="B75" t="s">
        <v>0</v>
      </c>
      <c r="C75" t="s">
        <v>1</v>
      </c>
      <c r="D75" t="s">
        <v>29</v>
      </c>
      <c r="E75" t="s">
        <v>43</v>
      </c>
      <c r="F75" t="s">
        <v>30</v>
      </c>
      <c r="G75" t="s">
        <v>31</v>
      </c>
      <c r="H75" s="43" t="s">
        <v>4</v>
      </c>
      <c r="I75" s="55"/>
      <c r="J75" t="s">
        <v>47</v>
      </c>
      <c r="K75" t="s">
        <v>48</v>
      </c>
      <c r="L75" s="43"/>
    </row>
    <row r="76" spans="1:12" x14ac:dyDescent="0.2">
      <c r="A76" s="67">
        <f>G72</f>
        <v>4.2</v>
      </c>
      <c r="B76">
        <v>5</v>
      </c>
      <c r="C76">
        <v>6</v>
      </c>
      <c r="D76">
        <f t="shared" ref="D76:E80" si="6">D62</f>
        <v>0.25</v>
      </c>
      <c r="E76">
        <f t="shared" si="6"/>
        <v>27.912981239974965</v>
      </c>
      <c r="F76">
        <f>(1/SQRT(B76)-1/SQRT(C76))*H76</f>
        <v>6.6459479142797511</v>
      </c>
      <c r="G76">
        <v>0</v>
      </c>
      <c r="H76" s="43">
        <f>H62</f>
        <v>170.56065410301264</v>
      </c>
      <c r="I76" s="55"/>
      <c r="J76">
        <f>IF(F76-F62&gt;0,F76-F62,0)+J62</f>
        <v>2.8794241656538633</v>
      </c>
      <c r="K76">
        <f>IF(G76-G62&gt;0,G76-G62,0)+K62</f>
        <v>14.961926854362323</v>
      </c>
      <c r="L76" s="43"/>
    </row>
    <row r="77" spans="1:12" x14ac:dyDescent="0.2">
      <c r="A77" s="67"/>
      <c r="B77" s="34">
        <v>4</v>
      </c>
      <c r="C77" s="34">
        <v>5</v>
      </c>
      <c r="D77" s="34">
        <f t="shared" si="6"/>
        <v>0.5</v>
      </c>
      <c r="E77" s="34">
        <f t="shared" si="6"/>
        <v>55.825962479949929</v>
      </c>
      <c r="F77" s="34">
        <f>(1/SQRT(A76)-1/SQRT(C77))*H77</f>
        <v>10.314395704058244</v>
      </c>
      <c r="G77" s="34">
        <f>(SQRT(A76)-SQRT(B77))*H77</f>
        <v>12.505500522905287</v>
      </c>
      <c r="H77" s="49">
        <f>H63</f>
        <v>253.19825339094442</v>
      </c>
      <c r="I77" s="55"/>
      <c r="J77">
        <f t="shared" ref="J77:K80" si="7">IF(F77-F63&gt;0,F77-F63,0)+J63</f>
        <v>10.314395704058244</v>
      </c>
      <c r="K77">
        <f t="shared" si="7"/>
        <v>47.266499061574251</v>
      </c>
      <c r="L77" s="43"/>
    </row>
    <row r="78" spans="1:12" x14ac:dyDescent="0.2">
      <c r="A78" s="67"/>
      <c r="B78">
        <v>3</v>
      </c>
      <c r="C78">
        <v>4</v>
      </c>
      <c r="D78">
        <f t="shared" si="6"/>
        <v>0.25</v>
      </c>
      <c r="E78">
        <f t="shared" si="6"/>
        <v>27.912981239974965</v>
      </c>
      <c r="F78">
        <v>0</v>
      </c>
      <c r="G78">
        <f>(SQRT(C78)-SQRT(B78))*H78</f>
        <v>27.912981239974965</v>
      </c>
      <c r="H78" s="43">
        <f>H64</f>
        <v>104.17266417830345</v>
      </c>
      <c r="I78" s="55"/>
      <c r="J78">
        <f t="shared" si="7"/>
        <v>0</v>
      </c>
      <c r="K78">
        <f t="shared" si="7"/>
        <v>0</v>
      </c>
      <c r="L78" s="43"/>
    </row>
    <row r="79" spans="1:12" x14ac:dyDescent="0.2">
      <c r="A79" s="67"/>
      <c r="B79">
        <v>2</v>
      </c>
      <c r="C79">
        <v>3</v>
      </c>
      <c r="D79">
        <f t="shared" si="6"/>
        <v>0</v>
      </c>
      <c r="E79">
        <f t="shared" si="6"/>
        <v>0</v>
      </c>
      <c r="F79">
        <v>0</v>
      </c>
      <c r="G79">
        <f>(SQRT(C79)-SQRT(B79))*H79</f>
        <v>0</v>
      </c>
      <c r="H79" s="43">
        <f>T65</f>
        <v>0</v>
      </c>
      <c r="I79" s="55"/>
      <c r="J79">
        <f t="shared" si="7"/>
        <v>0</v>
      </c>
      <c r="K79">
        <f t="shared" si="7"/>
        <v>0</v>
      </c>
      <c r="L79" s="43"/>
    </row>
    <row r="80" spans="1:12" x14ac:dyDescent="0.2">
      <c r="A80" s="67"/>
      <c r="B80">
        <v>1</v>
      </c>
      <c r="C80">
        <v>2</v>
      </c>
      <c r="D80">
        <f t="shared" si="6"/>
        <v>0</v>
      </c>
      <c r="E80">
        <f t="shared" si="6"/>
        <v>0</v>
      </c>
      <c r="F80">
        <v>0</v>
      </c>
      <c r="G80">
        <f>(SQRT(C80)-SQRT(B80))*H80</f>
        <v>0</v>
      </c>
      <c r="H80" s="43">
        <f>T66</f>
        <v>0</v>
      </c>
      <c r="I80" s="55"/>
      <c r="J80">
        <f t="shared" si="7"/>
        <v>0</v>
      </c>
      <c r="K80">
        <f t="shared" si="7"/>
        <v>0</v>
      </c>
      <c r="L80" s="43"/>
    </row>
    <row r="81" spans="1:12" x14ac:dyDescent="0.2">
      <c r="A81" s="48"/>
      <c r="H81" s="43"/>
      <c r="I81" s="55"/>
      <c r="J81" s="50">
        <f>SUM(J76:J80)</f>
        <v>13.193819869712108</v>
      </c>
      <c r="K81" s="50">
        <f>SUM(K76:K80)</f>
        <v>62.228425915936576</v>
      </c>
      <c r="L81" s="43"/>
    </row>
    <row r="82" spans="1:12" x14ac:dyDescent="0.2">
      <c r="A82" s="51" t="s">
        <v>44</v>
      </c>
      <c r="B82" s="52"/>
      <c r="C82" s="52"/>
      <c r="D82" s="52"/>
      <c r="E82" s="52"/>
      <c r="F82" s="52">
        <f>SQRT(A76)*SQRT(C79)/(SQRT(C79)-SQRT(A76))</f>
        <v>-11.185653209470861</v>
      </c>
      <c r="G82" s="52">
        <f>1/(SQRT(A76)-SQRT(B79))</f>
        <v>1.5743653252568246</v>
      </c>
      <c r="H82" s="43"/>
      <c r="I82" s="55" t="s">
        <v>49</v>
      </c>
      <c r="J82">
        <f>J81*A76</f>
        <v>55.414043452790857</v>
      </c>
      <c r="K82">
        <f>K81</f>
        <v>62.228425915936576</v>
      </c>
      <c r="L82" s="43"/>
    </row>
    <row r="83" spans="1:12" x14ac:dyDescent="0.2">
      <c r="A83" s="42" t="s">
        <v>45</v>
      </c>
      <c r="B83">
        <f>215000*$K$4*10^(-9)*A76*3</f>
        <v>8.1269999999999995E-2</v>
      </c>
      <c r="E83" s="33"/>
      <c r="F83" s="33"/>
      <c r="G83" s="33"/>
      <c r="H83" s="43"/>
      <c r="I83" s="55"/>
      <c r="J83" s="50"/>
      <c r="K83" s="50">
        <f>K82+J82</f>
        <v>117.64246936872743</v>
      </c>
      <c r="L83" s="43"/>
    </row>
    <row r="84" spans="1:12" ht="17" thickBot="1" x14ac:dyDescent="0.25">
      <c r="A84" s="44" t="s">
        <v>51</v>
      </c>
      <c r="B84" s="45">
        <f>0.003*K83*$K$5</f>
        <v>0.35292740810618228</v>
      </c>
      <c r="C84" s="45">
        <f>B84</f>
        <v>0.35292740810618228</v>
      </c>
      <c r="D84" s="45"/>
      <c r="E84" s="46"/>
      <c r="F84" s="46"/>
      <c r="G84" s="46"/>
      <c r="H84" s="47"/>
      <c r="I84" s="56"/>
      <c r="J84" s="45"/>
      <c r="K84" s="45"/>
      <c r="L84" s="47"/>
    </row>
    <row r="85" spans="1:12" ht="17" thickBot="1" x14ac:dyDescent="0.25">
      <c r="A85" s="30" t="s">
        <v>63</v>
      </c>
      <c r="B85" s="54">
        <f>B73+C84-B83</f>
        <v>111.92358236800601</v>
      </c>
      <c r="C85" s="66">
        <f>C84+C42</f>
        <v>0.5309729325623459</v>
      </c>
      <c r="D85" s="54">
        <f>B83+N41+B13</f>
        <v>0.39473999999999998</v>
      </c>
      <c r="E85" s="54"/>
      <c r="F85" s="54"/>
      <c r="G85" s="54"/>
      <c r="H85" s="31"/>
    </row>
  </sheetData>
  <mergeCells count="8">
    <mergeCell ref="A48:A52"/>
    <mergeCell ref="A62:A66"/>
    <mergeCell ref="A76:A80"/>
    <mergeCell ref="A6:A10"/>
    <mergeCell ref="A20:A24"/>
    <mergeCell ref="A34:A38"/>
    <mergeCell ref="M34:M38"/>
    <mergeCell ref="V39:W39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77EB-5BD2-E449-A561-D34105E965B5}">
  <dimension ref="A1:Y85"/>
  <sheetViews>
    <sheetView zoomScale="70" zoomScaleNormal="70" workbookViewId="0">
      <selection activeCell="C86" sqref="C86"/>
    </sheetView>
  </sheetViews>
  <sheetFormatPr baseColWidth="10" defaultRowHeight="16" x14ac:dyDescent="0.2"/>
  <cols>
    <col min="1" max="1" width="24.1640625" customWidth="1"/>
    <col min="2" max="2" width="12.6640625" customWidth="1"/>
    <col min="3" max="5" width="9.33203125" customWidth="1"/>
    <col min="14" max="14" width="18" customWidth="1"/>
    <col min="22" max="22" width="16.1640625" customWidth="1"/>
    <col min="23" max="24" width="11.6640625" customWidth="1"/>
  </cols>
  <sheetData>
    <row r="1" spans="1:21" x14ac:dyDescent="0.2">
      <c r="A1" s="39"/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1"/>
    </row>
    <row r="2" spans="1:21" x14ac:dyDescent="0.2">
      <c r="A2" s="42" t="s">
        <v>36</v>
      </c>
      <c r="B2" s="38">
        <v>2.5</v>
      </c>
      <c r="C2">
        <v>3.1</v>
      </c>
      <c r="D2">
        <v>4.2</v>
      </c>
      <c r="E2">
        <v>4.5</v>
      </c>
      <c r="F2">
        <v>5.4</v>
      </c>
      <c r="G2">
        <v>4.2</v>
      </c>
      <c r="H2" s="43"/>
      <c r="O2" s="36"/>
      <c r="P2" s="36"/>
      <c r="Q2" s="36"/>
      <c r="R2" s="36"/>
      <c r="S2" s="36"/>
      <c r="T2" s="36"/>
    </row>
    <row r="3" spans="1:21" x14ac:dyDescent="0.2">
      <c r="A3" s="42" t="s">
        <v>34</v>
      </c>
      <c r="B3">
        <v>100</v>
      </c>
      <c r="H3" s="43"/>
      <c r="O3" s="36"/>
      <c r="P3" s="35"/>
      <c r="Q3" s="35"/>
      <c r="R3" s="35"/>
      <c r="S3" s="35"/>
      <c r="T3" s="35"/>
      <c r="U3" s="35"/>
    </row>
    <row r="4" spans="1:21" x14ac:dyDescent="0.2">
      <c r="A4" t="s">
        <v>64</v>
      </c>
      <c r="B4">
        <f>B3-B13</f>
        <v>99.936999999999998</v>
      </c>
      <c r="H4" s="43"/>
      <c r="J4" t="s">
        <v>58</v>
      </c>
      <c r="K4">
        <v>30</v>
      </c>
      <c r="O4" s="36"/>
      <c r="P4" s="35"/>
      <c r="Q4" s="35"/>
      <c r="R4" s="35"/>
      <c r="S4" s="35"/>
      <c r="T4" s="35"/>
      <c r="U4" s="35"/>
    </row>
    <row r="5" spans="1:21" x14ac:dyDescent="0.2">
      <c r="A5" t="s">
        <v>35</v>
      </c>
      <c r="B5" t="s">
        <v>0</v>
      </c>
      <c r="C5" t="s">
        <v>1</v>
      </c>
      <c r="D5" t="s">
        <v>29</v>
      </c>
      <c r="E5" t="s">
        <v>43</v>
      </c>
      <c r="F5" t="s">
        <v>30</v>
      </c>
      <c r="G5" t="s">
        <v>31</v>
      </c>
      <c r="H5" s="43" t="s">
        <v>4</v>
      </c>
      <c r="J5" t="s">
        <v>59</v>
      </c>
      <c r="K5">
        <v>1</v>
      </c>
      <c r="O5" s="36"/>
      <c r="P5" s="35"/>
      <c r="Q5" s="35"/>
      <c r="R5" s="35"/>
      <c r="S5" s="35"/>
      <c r="T5" s="35"/>
      <c r="U5" s="35"/>
    </row>
    <row r="6" spans="1:21" x14ac:dyDescent="0.2">
      <c r="A6" s="67">
        <f>B2</f>
        <v>2.5</v>
      </c>
      <c r="B6">
        <v>5</v>
      </c>
      <c r="C6">
        <v>6</v>
      </c>
      <c r="D6">
        <v>0</v>
      </c>
      <c r="E6">
        <f>$B$4*D6</f>
        <v>0</v>
      </c>
      <c r="F6">
        <f>E6/A6</f>
        <v>0</v>
      </c>
      <c r="G6">
        <v>0</v>
      </c>
      <c r="H6" s="43">
        <f>F6*SQRT(B6*C6)/(SQRT(C6)-SQRT(B6))</f>
        <v>0</v>
      </c>
      <c r="O6" s="36"/>
      <c r="P6" s="35"/>
      <c r="Q6" s="35"/>
      <c r="R6" s="35"/>
      <c r="S6" s="35"/>
      <c r="T6" s="35"/>
      <c r="U6" s="35"/>
    </row>
    <row r="7" spans="1:21" x14ac:dyDescent="0.2">
      <c r="A7" s="67"/>
      <c r="B7">
        <v>4</v>
      </c>
      <c r="C7">
        <v>5</v>
      </c>
      <c r="D7">
        <v>0</v>
      </c>
      <c r="E7">
        <f>$B$4*D7</f>
        <v>0</v>
      </c>
      <c r="F7">
        <f>E7/A6</f>
        <v>0</v>
      </c>
      <c r="G7">
        <v>0</v>
      </c>
      <c r="H7" s="43">
        <f>F7*SQRT(B7*C7)/(SQRT(C7)-SQRT(B7))</f>
        <v>0</v>
      </c>
      <c r="O7" s="36"/>
      <c r="P7" s="35"/>
      <c r="Q7" s="35"/>
      <c r="R7" s="35"/>
      <c r="S7" s="35"/>
      <c r="T7" s="35"/>
      <c r="U7" s="35"/>
    </row>
    <row r="8" spans="1:21" x14ac:dyDescent="0.2">
      <c r="A8" s="67"/>
      <c r="B8">
        <v>3</v>
      </c>
      <c r="C8">
        <v>4</v>
      </c>
      <c r="D8">
        <v>0.25</v>
      </c>
      <c r="E8">
        <f>$B$4*D8</f>
        <v>24.984249999999999</v>
      </c>
      <c r="F8">
        <f>E8/A6</f>
        <v>9.9937000000000005</v>
      </c>
      <c r="G8">
        <v>0</v>
      </c>
      <c r="H8" s="43">
        <f>F8*SQRT(B8*C8)/(SQRT(C8)-SQRT(B8))</f>
        <v>129.20058462240431</v>
      </c>
      <c r="O8" s="36"/>
      <c r="P8" s="35"/>
      <c r="Q8" s="35"/>
      <c r="R8" s="35"/>
      <c r="S8" s="35"/>
      <c r="T8" s="35"/>
      <c r="U8" s="35"/>
    </row>
    <row r="9" spans="1:21" x14ac:dyDescent="0.2">
      <c r="A9" s="67"/>
      <c r="B9" s="34">
        <v>2</v>
      </c>
      <c r="C9" s="34">
        <v>3</v>
      </c>
      <c r="D9" s="34">
        <v>0.5</v>
      </c>
      <c r="E9" s="34">
        <f>$B$4*D9</f>
        <v>49.968499999999999</v>
      </c>
      <c r="F9" s="34">
        <f>E9/(A6+F12/G12)</f>
        <v>9.0371904611689331</v>
      </c>
      <c r="G9" s="34">
        <f>F12/G12*F9</f>
        <v>27.37552384707767</v>
      </c>
      <c r="H9" s="49">
        <f>IF(F9*F12=G9*G12,
F9*F12,
"ошибка")</f>
        <v>163.99868170023112</v>
      </c>
      <c r="O9" s="36"/>
      <c r="P9" s="35"/>
      <c r="Q9" s="35"/>
      <c r="R9" s="35"/>
      <c r="S9" s="35"/>
      <c r="T9" s="35"/>
      <c r="U9" s="35"/>
    </row>
    <row r="10" spans="1:21" x14ac:dyDescent="0.2">
      <c r="A10" s="67"/>
      <c r="B10">
        <v>1</v>
      </c>
      <c r="C10">
        <v>2</v>
      </c>
      <c r="D10">
        <v>0.25</v>
      </c>
      <c r="E10">
        <f>$B$4*D10</f>
        <v>24.984249999999999</v>
      </c>
      <c r="F10">
        <v>0</v>
      </c>
      <c r="G10">
        <f>E10</f>
        <v>24.984249999999999</v>
      </c>
      <c r="H10" s="43">
        <f>G10/(SQRT(C10)-SQRT(B10))</f>
        <v>60.317315195719985</v>
      </c>
      <c r="O10" s="36"/>
      <c r="P10" s="35"/>
      <c r="Q10" s="35"/>
      <c r="R10" s="35"/>
      <c r="S10" s="35"/>
      <c r="T10" s="35"/>
      <c r="U10" s="35"/>
    </row>
    <row r="11" spans="1:21" x14ac:dyDescent="0.2">
      <c r="H11" s="43"/>
      <c r="O11" t="s">
        <v>65</v>
      </c>
    </row>
    <row r="12" spans="1:21" x14ac:dyDescent="0.2">
      <c r="A12" s="42" t="s">
        <v>44</v>
      </c>
      <c r="E12" s="33"/>
      <c r="F12">
        <f>SQRT(A6)*SQRT(C9)/(SQRT(C9)-SQRT(A6))</f>
        <v>18.147087018349549</v>
      </c>
      <c r="G12">
        <f>1/(SQRT(A6)-SQRT(B9))</f>
        <v>5.9907047849145698</v>
      </c>
      <c r="H12" s="43"/>
      <c r="O12" t="s">
        <v>66</v>
      </c>
    </row>
    <row r="13" spans="1:21" x14ac:dyDescent="0.2">
      <c r="A13" s="42" t="s">
        <v>45</v>
      </c>
      <c r="B13">
        <f>B3/A6*21000*$K$4*10^(-9)*A6</f>
        <v>6.3E-2</v>
      </c>
      <c r="E13" s="33"/>
      <c r="F13" s="33"/>
      <c r="G13" s="33"/>
      <c r="H13" s="43"/>
      <c r="O13" t="s">
        <v>67</v>
      </c>
    </row>
    <row r="14" spans="1:21" ht="17" thickBot="1" x14ac:dyDescent="0.25">
      <c r="A14" s="44" t="s">
        <v>51</v>
      </c>
      <c r="B14" s="45">
        <v>0</v>
      </c>
      <c r="C14" s="45"/>
      <c r="D14" s="45"/>
      <c r="E14" s="46"/>
      <c r="F14" s="46"/>
      <c r="G14" s="46"/>
      <c r="H14" s="47"/>
      <c r="O14" t="s">
        <v>68</v>
      </c>
    </row>
    <row r="15" spans="1:21" x14ac:dyDescent="0.2">
      <c r="A15" s="39"/>
      <c r="B15" s="40" t="s">
        <v>37</v>
      </c>
      <c r="C15" s="40" t="s">
        <v>38</v>
      </c>
      <c r="D15" s="40" t="s">
        <v>39</v>
      </c>
      <c r="E15" s="40" t="s">
        <v>40</v>
      </c>
      <c r="F15" s="40" t="s">
        <v>41</v>
      </c>
      <c r="G15" s="40" t="s">
        <v>42</v>
      </c>
      <c r="H15" s="41"/>
      <c r="I15" s="39" t="s">
        <v>50</v>
      </c>
      <c r="J15" s="40"/>
      <c r="K15" s="40"/>
      <c r="L15" s="41"/>
    </row>
    <row r="16" spans="1:21" x14ac:dyDescent="0.2">
      <c r="A16" s="42" t="s">
        <v>36</v>
      </c>
      <c r="B16">
        <v>2.5</v>
      </c>
      <c r="C16" s="38">
        <v>3.1</v>
      </c>
      <c r="D16">
        <v>4.2</v>
      </c>
      <c r="E16">
        <v>4.5</v>
      </c>
      <c r="F16">
        <v>5.4</v>
      </c>
      <c r="G16">
        <v>4.2</v>
      </c>
      <c r="H16" s="43"/>
      <c r="I16" s="42"/>
      <c r="L16" s="43"/>
    </row>
    <row r="17" spans="1:25" x14ac:dyDescent="0.2">
      <c r="A17" s="51" t="s">
        <v>46</v>
      </c>
      <c r="B17" s="52">
        <f>SUM(F20:F24)*A20+SUM(G20:G24)</f>
        <v>108.02846248219824</v>
      </c>
      <c r="H17" s="43"/>
      <c r="I17" s="42"/>
      <c r="L17" s="43"/>
    </row>
    <row r="18" spans="1:25" x14ac:dyDescent="0.2">
      <c r="A18" s="42"/>
      <c r="H18" s="43"/>
      <c r="I18" s="42"/>
      <c r="L18" s="43"/>
    </row>
    <row r="19" spans="1:25" x14ac:dyDescent="0.2">
      <c r="A19" t="s">
        <v>35</v>
      </c>
      <c r="B19" t="s">
        <v>0</v>
      </c>
      <c r="C19" t="s">
        <v>1</v>
      </c>
      <c r="D19" t="s">
        <v>29</v>
      </c>
      <c r="E19" t="s">
        <v>43</v>
      </c>
      <c r="F19" t="s">
        <v>30</v>
      </c>
      <c r="G19" t="s">
        <v>31</v>
      </c>
      <c r="H19" s="43" t="s">
        <v>4</v>
      </c>
      <c r="I19" s="42"/>
      <c r="J19" t="s">
        <v>47</v>
      </c>
      <c r="K19" t="s">
        <v>48</v>
      </c>
      <c r="L19" s="43"/>
    </row>
    <row r="20" spans="1:25" x14ac:dyDescent="0.2">
      <c r="A20" s="67">
        <f>C16</f>
        <v>3.1</v>
      </c>
      <c r="B20">
        <v>5</v>
      </c>
      <c r="C20">
        <v>6</v>
      </c>
      <c r="D20">
        <v>0</v>
      </c>
      <c r="E20">
        <f>E6</f>
        <v>0</v>
      </c>
      <c r="F20">
        <f>(1/SQRT(B20)-1/SQRT(C20))*H20</f>
        <v>0</v>
      </c>
      <c r="H20" s="43">
        <f>H6</f>
        <v>0</v>
      </c>
      <c r="I20" s="42"/>
      <c r="J20">
        <f t="shared" ref="J20:K24" si="0">IF(F20-F6&gt;0,F20-F6,0)</f>
        <v>0</v>
      </c>
      <c r="K20">
        <f t="shared" si="0"/>
        <v>0</v>
      </c>
      <c r="L20" s="43"/>
    </row>
    <row r="21" spans="1:25" x14ac:dyDescent="0.2">
      <c r="A21" s="67"/>
      <c r="B21">
        <v>4</v>
      </c>
      <c r="C21">
        <v>5</v>
      </c>
      <c r="D21">
        <v>0</v>
      </c>
      <c r="E21">
        <f>E7</f>
        <v>0</v>
      </c>
      <c r="F21">
        <f>(1/SQRT(B21)-1/SQRT(C21))*H21</f>
        <v>0</v>
      </c>
      <c r="H21" s="43">
        <f>H7</f>
        <v>0</v>
      </c>
      <c r="I21" s="42"/>
      <c r="J21">
        <f t="shared" si="0"/>
        <v>0</v>
      </c>
      <c r="K21">
        <f t="shared" si="0"/>
        <v>0</v>
      </c>
      <c r="L21" s="43"/>
    </row>
    <row r="22" spans="1:25" x14ac:dyDescent="0.2">
      <c r="A22" s="67"/>
      <c r="B22" s="34">
        <v>3</v>
      </c>
      <c r="C22" s="34">
        <v>4</v>
      </c>
      <c r="D22" s="34">
        <v>0.25</v>
      </c>
      <c r="E22" s="34">
        <f>E8</f>
        <v>24.984249999999999</v>
      </c>
      <c r="F22" s="34">
        <f>(1/SQRT(A20)-1/SQRT(C22))*H22</f>
        <v>8.7807087167317128</v>
      </c>
      <c r="G22" s="34">
        <f>(SQRT(A20)-SQRT(B22))*H22</f>
        <v>3.6991262529885494</v>
      </c>
      <c r="H22" s="49">
        <f>H8</f>
        <v>129.20058462240431</v>
      </c>
      <c r="I22" s="42"/>
      <c r="J22">
        <f t="shared" si="0"/>
        <v>0</v>
      </c>
      <c r="K22">
        <f t="shared" si="0"/>
        <v>3.6991262529885494</v>
      </c>
      <c r="L22" s="43"/>
    </row>
    <row r="23" spans="1:25" x14ac:dyDescent="0.2">
      <c r="A23" s="67"/>
      <c r="B23">
        <v>2</v>
      </c>
      <c r="C23">
        <v>3</v>
      </c>
      <c r="D23">
        <v>0.5</v>
      </c>
      <c r="E23">
        <f>E9</f>
        <v>49.968499999999999</v>
      </c>
      <c r="F23">
        <v>0</v>
      </c>
      <c r="G23">
        <f>(SQRT(C23)-SQRT(B23))*H23</f>
        <v>52.124889207341369</v>
      </c>
      <c r="H23" s="43">
        <f>H9</f>
        <v>163.99868170023112</v>
      </c>
      <c r="I23" s="42"/>
      <c r="J23">
        <f t="shared" si="0"/>
        <v>0</v>
      </c>
      <c r="K23">
        <f t="shared" si="0"/>
        <v>24.749365360263699</v>
      </c>
      <c r="L23" s="43"/>
    </row>
    <row r="24" spans="1:25" x14ac:dyDescent="0.2">
      <c r="A24" s="67"/>
      <c r="B24">
        <v>1</v>
      </c>
      <c r="C24">
        <v>2</v>
      </c>
      <c r="D24">
        <v>0.25</v>
      </c>
      <c r="E24">
        <f>E10</f>
        <v>24.984249999999999</v>
      </c>
      <c r="F24">
        <v>0</v>
      </c>
      <c r="G24">
        <f>(SQRT(C24)-SQRT(B24))*H24</f>
        <v>24.984249999999999</v>
      </c>
      <c r="H24" s="43">
        <f>H10</f>
        <v>60.317315195719985</v>
      </c>
      <c r="I24" s="55"/>
      <c r="J24">
        <f t="shared" si="0"/>
        <v>0</v>
      </c>
      <c r="K24">
        <f t="shared" si="0"/>
        <v>0</v>
      </c>
      <c r="L24" s="43"/>
    </row>
    <row r="25" spans="1:25" x14ac:dyDescent="0.2">
      <c r="A25" s="48"/>
      <c r="H25" s="43"/>
      <c r="I25" s="55"/>
      <c r="J25" s="50">
        <f>SUM(J20:J24)</f>
        <v>0</v>
      </c>
      <c r="K25" s="50">
        <f>SUM(K20:K24)</f>
        <v>28.448491613252248</v>
      </c>
      <c r="L25" s="43"/>
    </row>
    <row r="26" spans="1:25" x14ac:dyDescent="0.2">
      <c r="A26" s="51" t="s">
        <v>44</v>
      </c>
      <c r="B26" s="52"/>
      <c r="C26" s="52"/>
      <c r="D26" s="52"/>
      <c r="E26" s="52"/>
      <c r="F26" s="52">
        <f>SQRT(A20)*SQRT(C23)/(SQRT(C23)-SQRT(A20))</f>
        <v>-106.5140256196118</v>
      </c>
      <c r="G26" s="52">
        <f>1/(SQRT(A20)-SQRT(B23))</f>
        <v>2.8862684077627243</v>
      </c>
      <c r="H26" s="43"/>
      <c r="I26" s="55" t="s">
        <v>49</v>
      </c>
      <c r="J26">
        <f>J25*A20</f>
        <v>0</v>
      </c>
      <c r="K26">
        <f>K25</f>
        <v>28.448491613252248</v>
      </c>
      <c r="L26" s="43"/>
    </row>
    <row r="27" spans="1:25" x14ac:dyDescent="0.2">
      <c r="A27" s="51" t="s">
        <v>45</v>
      </c>
      <c r="B27" s="52">
        <f>B17/A20*21000*$K$4*10^(-9)</f>
        <v>2.1954171407672547E-2</v>
      </c>
      <c r="E27" s="33"/>
      <c r="F27" s="33"/>
      <c r="G27" s="33"/>
      <c r="H27" s="43"/>
      <c r="I27" s="55"/>
      <c r="J27" s="50"/>
      <c r="K27" s="50">
        <f>K26+J26</f>
        <v>28.448491613252248</v>
      </c>
      <c r="L27" s="43"/>
    </row>
    <row r="28" spans="1:25" ht="17" thickBot="1" x14ac:dyDescent="0.25">
      <c r="A28" s="44" t="s">
        <v>51</v>
      </c>
      <c r="B28" s="45">
        <f>0.003*K27*$K$5</f>
        <v>8.5345474839756741E-2</v>
      </c>
      <c r="C28" s="45">
        <f>B28+B14</f>
        <v>8.5345474839756741E-2</v>
      </c>
      <c r="D28" s="45"/>
      <c r="E28" s="46"/>
      <c r="F28" s="46"/>
      <c r="G28" s="46"/>
      <c r="H28" s="47"/>
      <c r="I28" s="56"/>
      <c r="J28" s="45"/>
      <c r="K28" s="45"/>
      <c r="L28" s="47"/>
    </row>
    <row r="29" spans="1:25" x14ac:dyDescent="0.2">
      <c r="A29" s="39"/>
      <c r="B29" s="40" t="s">
        <v>37</v>
      </c>
      <c r="C29" s="40" t="s">
        <v>38</v>
      </c>
      <c r="D29" s="40" t="s">
        <v>39</v>
      </c>
      <c r="E29" s="40" t="s">
        <v>40</v>
      </c>
      <c r="F29" s="40" t="s">
        <v>41</v>
      </c>
      <c r="G29" s="40" t="s">
        <v>42</v>
      </c>
      <c r="H29" s="41"/>
      <c r="I29" s="57"/>
      <c r="J29" s="40"/>
      <c r="K29" s="40"/>
      <c r="L29" s="41"/>
      <c r="M29" s="39"/>
      <c r="N29" s="40" t="s">
        <v>37</v>
      </c>
      <c r="O29" s="40" t="s">
        <v>38</v>
      </c>
      <c r="P29" s="40" t="s">
        <v>39</v>
      </c>
      <c r="Q29" s="40" t="s">
        <v>40</v>
      </c>
      <c r="R29" s="40" t="s">
        <v>41</v>
      </c>
      <c r="S29" s="40" t="s">
        <v>42</v>
      </c>
      <c r="T29" s="41"/>
      <c r="U29" s="39" t="s">
        <v>57</v>
      </c>
      <c r="V29" s="40"/>
      <c r="W29" s="40"/>
      <c r="X29" s="40"/>
      <c r="Y29" s="41"/>
    </row>
    <row r="30" spans="1:25" x14ac:dyDescent="0.2">
      <c r="A30" s="42" t="s">
        <v>36</v>
      </c>
      <c r="B30">
        <v>2.5</v>
      </c>
      <c r="C30">
        <v>3.1</v>
      </c>
      <c r="D30" s="38">
        <v>4.2</v>
      </c>
      <c r="E30">
        <v>4.5</v>
      </c>
      <c r="F30">
        <v>5.4</v>
      </c>
      <c r="G30">
        <v>4.2</v>
      </c>
      <c r="H30" s="43"/>
      <c r="I30" s="55"/>
      <c r="L30" s="43"/>
      <c r="M30" s="42" t="s">
        <v>36</v>
      </c>
      <c r="N30">
        <v>2.5</v>
      </c>
      <c r="O30">
        <v>3.1</v>
      </c>
      <c r="P30" s="38">
        <v>4.2</v>
      </c>
      <c r="Q30">
        <v>4.5</v>
      </c>
      <c r="R30">
        <v>5.4</v>
      </c>
      <c r="S30">
        <v>4.2</v>
      </c>
      <c r="T30" s="43"/>
      <c r="U30" s="42"/>
      <c r="Y30" s="43"/>
    </row>
    <row r="31" spans="1:25" x14ac:dyDescent="0.2">
      <c r="A31" s="51" t="s">
        <v>52</v>
      </c>
      <c r="B31" s="52">
        <f>SUM(F34:F38)*A34+SUM(G34:G38)</f>
        <v>111.72833151854354</v>
      </c>
      <c r="H31" s="43"/>
      <c r="I31" s="55"/>
      <c r="L31" s="43"/>
      <c r="M31" s="42" t="s">
        <v>52</v>
      </c>
      <c r="N31" s="58">
        <v>100</v>
      </c>
      <c r="T31" s="43"/>
      <c r="U31" s="42"/>
      <c r="Y31" s="43"/>
    </row>
    <row r="32" spans="1:25" x14ac:dyDescent="0.2">
      <c r="A32" s="42"/>
      <c r="H32" s="43"/>
      <c r="I32" s="55"/>
      <c r="L32" s="43"/>
      <c r="M32" s="42"/>
      <c r="T32" s="43"/>
      <c r="U32" s="42"/>
      <c r="Y32" s="43"/>
    </row>
    <row r="33" spans="1:25" x14ac:dyDescent="0.2">
      <c r="A33" t="s">
        <v>35</v>
      </c>
      <c r="B33" t="s">
        <v>0</v>
      </c>
      <c r="C33" t="s">
        <v>1</v>
      </c>
      <c r="D33" t="s">
        <v>29</v>
      </c>
      <c r="E33" t="s">
        <v>43</v>
      </c>
      <c r="F33" t="s">
        <v>30</v>
      </c>
      <c r="G33" t="s">
        <v>31</v>
      </c>
      <c r="H33" s="43" t="s">
        <v>4</v>
      </c>
      <c r="I33" s="55"/>
      <c r="J33" t="s">
        <v>47</v>
      </c>
      <c r="K33" t="s">
        <v>48</v>
      </c>
      <c r="L33" s="43"/>
      <c r="M33" s="42" t="s">
        <v>35</v>
      </c>
      <c r="N33" t="s">
        <v>0</v>
      </c>
      <c r="O33" t="s">
        <v>1</v>
      </c>
      <c r="P33" t="s">
        <v>29</v>
      </c>
      <c r="Q33" t="s">
        <v>43</v>
      </c>
      <c r="R33" t="s">
        <v>30</v>
      </c>
      <c r="S33" t="s">
        <v>31</v>
      </c>
      <c r="T33" s="43" t="s">
        <v>4</v>
      </c>
      <c r="U33" s="42"/>
      <c r="V33" t="s">
        <v>53</v>
      </c>
      <c r="W33" t="s">
        <v>54</v>
      </c>
      <c r="X33" t="s">
        <v>55</v>
      </c>
      <c r="Y33" s="43"/>
    </row>
    <row r="34" spans="1:25" x14ac:dyDescent="0.2">
      <c r="A34" s="67">
        <f>D30</f>
        <v>4.2</v>
      </c>
      <c r="B34">
        <v>5</v>
      </c>
      <c r="C34">
        <v>6</v>
      </c>
      <c r="D34">
        <v>0</v>
      </c>
      <c r="E34">
        <f>E20</f>
        <v>0</v>
      </c>
      <c r="F34">
        <f>(1/SQRT(B34)-1/SQRT(C34))*H34</f>
        <v>0</v>
      </c>
      <c r="H34" s="43">
        <f>H20</f>
        <v>0</v>
      </c>
      <c r="I34" s="55"/>
      <c r="J34">
        <f t="shared" ref="J34:K38" si="1">IF(F34-F20&gt;0,F34-F20,0)</f>
        <v>0</v>
      </c>
      <c r="K34">
        <f t="shared" si="1"/>
        <v>0</v>
      </c>
      <c r="L34" s="43"/>
      <c r="M34" s="74">
        <f>P30</f>
        <v>4.2</v>
      </c>
      <c r="N34">
        <v>5</v>
      </c>
      <c r="O34">
        <v>6</v>
      </c>
      <c r="P34">
        <v>0.25</v>
      </c>
      <c r="Q34">
        <f>$N$31*P34</f>
        <v>25</v>
      </c>
      <c r="R34">
        <f>Q34/M34</f>
        <v>5.9523809523809526</v>
      </c>
      <c r="T34" s="43">
        <f>R34*SQRT(N34*O34)/(SQRT(O34)-SQRT(N34))</f>
        <v>152.76105106496826</v>
      </c>
      <c r="U34" s="42"/>
      <c r="V34">
        <f>P34*($B$31+$C$42)</f>
        <v>27.976609297889485</v>
      </c>
      <c r="W34">
        <f>E34</f>
        <v>0</v>
      </c>
      <c r="X34">
        <f>V34-W34</f>
        <v>27.976609297889485</v>
      </c>
      <c r="Y34" s="43"/>
    </row>
    <row r="35" spans="1:25" x14ac:dyDescent="0.2">
      <c r="A35" s="67"/>
      <c r="B35" s="34">
        <v>4</v>
      </c>
      <c r="C35" s="34">
        <v>5</v>
      </c>
      <c r="D35" s="34">
        <v>0</v>
      </c>
      <c r="E35" s="34">
        <f>E21</f>
        <v>0</v>
      </c>
      <c r="F35" s="34">
        <f>(1/SQRT(B35)-1/SQRT(C35))*H35</f>
        <v>0</v>
      </c>
      <c r="G35" s="34"/>
      <c r="H35" s="49">
        <f>H21</f>
        <v>0</v>
      </c>
      <c r="I35" s="55"/>
      <c r="J35">
        <f t="shared" si="1"/>
        <v>0</v>
      </c>
      <c r="K35">
        <f t="shared" si="1"/>
        <v>0</v>
      </c>
      <c r="L35" s="43"/>
      <c r="M35" s="74"/>
      <c r="N35" s="34">
        <v>4</v>
      </c>
      <c r="O35" s="34">
        <v>5</v>
      </c>
      <c r="P35" s="34">
        <v>0.5</v>
      </c>
      <c r="Q35" s="34">
        <f>$N$31*P35</f>
        <v>50</v>
      </c>
      <c r="R35" s="34">
        <f>Q35/(M34+R40/S40)</f>
        <v>9.2379918284102072</v>
      </c>
      <c r="S35" s="34">
        <f>R40/S40*R35</f>
        <v>11.20043432067712</v>
      </c>
      <c r="T35" s="49">
        <f>IF(R35*R40=S35*S40,
R35*R40,
"ошибка")</f>
        <v>226.77464224811291</v>
      </c>
      <c r="U35" s="42"/>
      <c r="V35">
        <f>P35*($B$31+$C$42)</f>
        <v>55.953218595778971</v>
      </c>
      <c r="W35">
        <f>E35</f>
        <v>0</v>
      </c>
      <c r="X35">
        <f>V35-W35</f>
        <v>55.953218595778971</v>
      </c>
      <c r="Y35" s="43"/>
    </row>
    <row r="36" spans="1:25" x14ac:dyDescent="0.2">
      <c r="A36" s="67"/>
      <c r="B36">
        <v>3</v>
      </c>
      <c r="C36">
        <v>4</v>
      </c>
      <c r="D36">
        <v>0.25</v>
      </c>
      <c r="E36">
        <f>E22</f>
        <v>24.984249999999999</v>
      </c>
      <c r="F36">
        <v>0</v>
      </c>
      <c r="G36">
        <f>(SQRT(C36)-SQRT(B36))*H36</f>
        <v>34.619192311202177</v>
      </c>
      <c r="H36" s="43">
        <f>H22</f>
        <v>129.20058462240431</v>
      </c>
      <c r="I36" s="55"/>
      <c r="J36">
        <f t="shared" si="1"/>
        <v>0</v>
      </c>
      <c r="K36">
        <f t="shared" si="1"/>
        <v>30.920066058213628</v>
      </c>
      <c r="L36" s="43"/>
      <c r="M36" s="74"/>
      <c r="N36">
        <v>3</v>
      </c>
      <c r="O36">
        <v>4</v>
      </c>
      <c r="P36">
        <v>0.25</v>
      </c>
      <c r="Q36">
        <f>$N$31*P36</f>
        <v>25</v>
      </c>
      <c r="R36">
        <v>0</v>
      </c>
      <c r="S36">
        <f>Q36</f>
        <v>25</v>
      </c>
      <c r="T36" s="43">
        <f>S36/(SQRT(O36)-SQRT(N36))</f>
        <v>93.301270189221896</v>
      </c>
      <c r="U36" s="42"/>
      <c r="V36">
        <f>P36*($B$31+$C$42)</f>
        <v>27.976609297889485</v>
      </c>
      <c r="W36">
        <f>E36</f>
        <v>24.984249999999999</v>
      </c>
      <c r="X36">
        <f>V36-W36</f>
        <v>2.992359297889486</v>
      </c>
      <c r="Y36" s="43"/>
    </row>
    <row r="37" spans="1:25" x14ac:dyDescent="0.2">
      <c r="A37" s="67"/>
      <c r="B37">
        <v>2</v>
      </c>
      <c r="C37">
        <v>3</v>
      </c>
      <c r="D37">
        <v>0.5</v>
      </c>
      <c r="E37">
        <f>E23</f>
        <v>49.968499999999999</v>
      </c>
      <c r="F37">
        <v>0</v>
      </c>
      <c r="G37">
        <f>(SQRT(C37)-SQRT(B37))*H37</f>
        <v>52.124889207341369</v>
      </c>
      <c r="H37" s="43">
        <f>H23</f>
        <v>163.99868170023112</v>
      </c>
      <c r="I37" s="55"/>
      <c r="J37">
        <f t="shared" si="1"/>
        <v>0</v>
      </c>
      <c r="K37">
        <f t="shared" si="1"/>
        <v>0</v>
      </c>
      <c r="L37" s="43"/>
      <c r="M37" s="74"/>
      <c r="N37">
        <v>2</v>
      </c>
      <c r="O37">
        <v>3</v>
      </c>
      <c r="P37">
        <v>0</v>
      </c>
      <c r="Q37">
        <f>$N$31*P37</f>
        <v>0</v>
      </c>
      <c r="R37">
        <v>0</v>
      </c>
      <c r="S37">
        <f>(SQRT(O37)-SQRT(N37))*T37</f>
        <v>0</v>
      </c>
      <c r="T37" s="43">
        <f>T23</f>
        <v>0</v>
      </c>
      <c r="U37" s="42"/>
      <c r="V37">
        <f>P37*($B$31+$C$42)</f>
        <v>0</v>
      </c>
      <c r="W37">
        <f>E37</f>
        <v>49.968499999999999</v>
      </c>
      <c r="X37">
        <f>V37-W37</f>
        <v>-49.968499999999999</v>
      </c>
      <c r="Y37" s="43"/>
    </row>
    <row r="38" spans="1:25" x14ac:dyDescent="0.2">
      <c r="A38" s="67"/>
      <c r="B38">
        <v>1</v>
      </c>
      <c r="C38">
        <v>2</v>
      </c>
      <c r="D38">
        <v>0.25</v>
      </c>
      <c r="E38">
        <f>E24</f>
        <v>24.984249999999999</v>
      </c>
      <c r="F38">
        <v>0</v>
      </c>
      <c r="G38">
        <f>(SQRT(C38)-SQRT(B38))*H38</f>
        <v>24.984249999999999</v>
      </c>
      <c r="H38" s="43">
        <f>H24</f>
        <v>60.317315195719985</v>
      </c>
      <c r="I38" s="55"/>
      <c r="J38">
        <f t="shared" si="1"/>
        <v>0</v>
      </c>
      <c r="K38">
        <f t="shared" si="1"/>
        <v>0</v>
      </c>
      <c r="L38" s="43"/>
      <c r="M38" s="74"/>
      <c r="N38">
        <v>1</v>
      </c>
      <c r="O38">
        <v>2</v>
      </c>
      <c r="P38">
        <v>0</v>
      </c>
      <c r="Q38">
        <f>$N$31*P38</f>
        <v>0</v>
      </c>
      <c r="R38">
        <v>0</v>
      </c>
      <c r="S38">
        <f>(SQRT(O38)-SQRT(N38))*T38</f>
        <v>0</v>
      </c>
      <c r="T38" s="43">
        <f>T24</f>
        <v>0</v>
      </c>
      <c r="U38" s="42"/>
      <c r="V38">
        <f>P38*($B$31+$C$42)</f>
        <v>0</v>
      </c>
      <c r="W38">
        <f>E38</f>
        <v>24.984249999999999</v>
      </c>
      <c r="X38">
        <f>V38-W38</f>
        <v>-24.984249999999999</v>
      </c>
      <c r="Y38" s="43"/>
    </row>
    <row r="39" spans="1:25" x14ac:dyDescent="0.2">
      <c r="A39" s="48"/>
      <c r="H39" s="43"/>
      <c r="I39" s="55"/>
      <c r="J39" s="50">
        <f>SUM(J34:J38)</f>
        <v>0</v>
      </c>
      <c r="K39" s="50">
        <f>SUM(K34:K38)</f>
        <v>30.920066058213628</v>
      </c>
      <c r="L39" s="43"/>
      <c r="M39" s="53"/>
      <c r="T39" s="43"/>
      <c r="U39" s="42"/>
      <c r="V39" s="73" t="s">
        <v>56</v>
      </c>
      <c r="W39" s="73"/>
      <c r="X39" s="50">
        <f>SUMIF(X34:X38,"&gt;0",X34:X38)-SUMIF(X34:X38,"&lt;0",X34:X38)</f>
        <v>161.87493719155793</v>
      </c>
      <c r="Y39" s="43"/>
    </row>
    <row r="40" spans="1:25" x14ac:dyDescent="0.2">
      <c r="A40" s="51" t="s">
        <v>44</v>
      </c>
      <c r="B40" s="52"/>
      <c r="C40" s="52"/>
      <c r="D40" s="52"/>
      <c r="E40" s="52"/>
      <c r="F40" s="52">
        <f>SQRT(A34)*SQRT(C37)/(SQRT(C37)-SQRT(A34))</f>
        <v>-11.185653209470861</v>
      </c>
      <c r="G40" s="52">
        <f>1/(SQRT(A34)-SQRT(B37))</f>
        <v>1.5743653252568246</v>
      </c>
      <c r="H40" s="43"/>
      <c r="I40" s="55" t="s">
        <v>49</v>
      </c>
      <c r="J40">
        <f>J39*A34</f>
        <v>0</v>
      </c>
      <c r="K40">
        <f>K39</f>
        <v>30.920066058213628</v>
      </c>
      <c r="L40" s="43"/>
      <c r="M40" s="42" t="s">
        <v>44</v>
      </c>
      <c r="Q40" s="33"/>
      <c r="R40">
        <f>SQRT(M34)*SQRT(O35)/(SQRT(O35)-SQRT(M34))</f>
        <v>24.548045339323409</v>
      </c>
      <c r="S40">
        <f>1/(SQRT(M34)-SQRT(N35))</f>
        <v>20.246950765959522</v>
      </c>
      <c r="T40" s="43"/>
      <c r="U40" s="42"/>
      <c r="Y40" s="43"/>
    </row>
    <row r="41" spans="1:25" x14ac:dyDescent="0.2">
      <c r="A41" s="51" t="s">
        <v>45</v>
      </c>
      <c r="B41" s="52">
        <f>B31/A34*21000*$K$4*10^(-9)</f>
        <v>1.675924972778153E-2</v>
      </c>
      <c r="E41" s="33"/>
      <c r="F41" s="33"/>
      <c r="G41" s="33"/>
      <c r="H41" s="43"/>
      <c r="I41" s="55"/>
      <c r="J41" s="50"/>
      <c r="K41" s="50">
        <f>K40+J40</f>
        <v>30.920066058213628</v>
      </c>
      <c r="L41" s="43"/>
      <c r="M41" s="42" t="s">
        <v>45</v>
      </c>
      <c r="N41">
        <f>X39/M34*21000*$K$4*10^(-9)*M34</f>
        <v>0.10198121043068149</v>
      </c>
      <c r="Q41" s="33"/>
      <c r="R41" s="33"/>
      <c r="S41" s="33"/>
      <c r="T41" s="43"/>
      <c r="U41" s="42"/>
      <c r="Y41" s="43"/>
    </row>
    <row r="42" spans="1:25" ht="17" thickBot="1" x14ac:dyDescent="0.25">
      <c r="A42" s="44" t="s">
        <v>51</v>
      </c>
      <c r="B42" s="45">
        <f>0.003*K41*$K$5</f>
        <v>9.2760198174640887E-2</v>
      </c>
      <c r="C42" s="45">
        <f>B42+C28</f>
        <v>0.17810567301439761</v>
      </c>
      <c r="D42" s="45"/>
      <c r="E42" s="46"/>
      <c r="F42" s="46"/>
      <c r="G42" s="46"/>
      <c r="H42" s="47"/>
      <c r="I42" s="56"/>
      <c r="J42" s="45"/>
      <c r="K42" s="45"/>
      <c r="L42" s="47"/>
      <c r="M42" s="44" t="s">
        <v>51</v>
      </c>
      <c r="N42" s="45">
        <v>0</v>
      </c>
      <c r="O42" s="45"/>
      <c r="P42" s="45"/>
      <c r="Q42" s="46"/>
      <c r="R42" s="46"/>
      <c r="S42" s="46"/>
      <c r="T42" s="47"/>
      <c r="U42" s="44"/>
      <c r="V42" s="45"/>
      <c r="W42" s="45"/>
      <c r="X42" s="45"/>
      <c r="Y42" s="47"/>
    </row>
    <row r="43" spans="1:25" x14ac:dyDescent="0.2">
      <c r="A43" s="39"/>
      <c r="B43" s="40" t="s">
        <v>37</v>
      </c>
      <c r="C43" s="40" t="s">
        <v>38</v>
      </c>
      <c r="D43" s="40" t="s">
        <v>39</v>
      </c>
      <c r="E43" s="40" t="s">
        <v>40</v>
      </c>
      <c r="F43" s="40" t="s">
        <v>41</v>
      </c>
      <c r="G43" s="40" t="s">
        <v>42</v>
      </c>
      <c r="H43" s="41"/>
      <c r="I43" s="57"/>
      <c r="J43" s="40"/>
      <c r="K43" s="40"/>
      <c r="L43" s="41"/>
    </row>
    <row r="44" spans="1:25" x14ac:dyDescent="0.2">
      <c r="A44" s="42" t="s">
        <v>36</v>
      </c>
      <c r="B44">
        <v>2.5</v>
      </c>
      <c r="C44">
        <v>3.1</v>
      </c>
      <c r="D44">
        <v>4.2</v>
      </c>
      <c r="E44" s="38">
        <v>4.5</v>
      </c>
      <c r="F44">
        <v>5.4</v>
      </c>
      <c r="G44">
        <v>4.2</v>
      </c>
      <c r="H44" s="43"/>
      <c r="I44" s="55"/>
      <c r="L44" s="43"/>
    </row>
    <row r="45" spans="1:25" x14ac:dyDescent="0.2">
      <c r="A45" s="51" t="s">
        <v>60</v>
      </c>
      <c r="B45" s="52">
        <f>SUM(F48:F52)*A48+SUM(G48:G52)</f>
        <v>103.98458972227374</v>
      </c>
      <c r="H45" s="43"/>
      <c r="I45" s="55"/>
      <c r="L45" s="43"/>
    </row>
    <row r="46" spans="1:25" x14ac:dyDescent="0.2">
      <c r="A46" s="42"/>
      <c r="H46" s="43"/>
      <c r="I46" s="55"/>
      <c r="L46" s="43"/>
    </row>
    <row r="47" spans="1:25" x14ac:dyDescent="0.2">
      <c r="A47" t="s">
        <v>35</v>
      </c>
      <c r="B47" t="s">
        <v>0</v>
      </c>
      <c r="C47" t="s">
        <v>1</v>
      </c>
      <c r="D47" t="s">
        <v>29</v>
      </c>
      <c r="E47" t="s">
        <v>43</v>
      </c>
      <c r="F47" t="s">
        <v>30</v>
      </c>
      <c r="G47" t="s">
        <v>31</v>
      </c>
      <c r="H47" s="43" t="s">
        <v>4</v>
      </c>
      <c r="I47" s="55"/>
      <c r="J47" t="s">
        <v>47</v>
      </c>
      <c r="K47" t="s">
        <v>48</v>
      </c>
      <c r="L47" s="43"/>
    </row>
    <row r="48" spans="1:25" x14ac:dyDescent="0.2">
      <c r="A48" s="67">
        <f>E44</f>
        <v>4.5</v>
      </c>
      <c r="B48">
        <v>5</v>
      </c>
      <c r="C48">
        <v>6</v>
      </c>
      <c r="D48">
        <f t="shared" ref="D48:E52" si="2">P34</f>
        <v>0.25</v>
      </c>
      <c r="E48">
        <f t="shared" si="2"/>
        <v>25</v>
      </c>
      <c r="F48">
        <f>(1/SQRT(B48)-1/SQRT(C48))*H48</f>
        <v>5.9523809523809508</v>
      </c>
      <c r="H48" s="43">
        <f>T34</f>
        <v>152.76105106496826</v>
      </c>
      <c r="I48" s="55"/>
      <c r="J48">
        <f t="shared" ref="J48:K52" si="3">IF(F48-R34&gt;0,F48-R34,0)</f>
        <v>0</v>
      </c>
      <c r="K48">
        <f t="shared" si="3"/>
        <v>0</v>
      </c>
      <c r="L48" s="43"/>
    </row>
    <row r="49" spans="1:12" x14ac:dyDescent="0.2">
      <c r="A49" s="67"/>
      <c r="B49" s="34">
        <v>4</v>
      </c>
      <c r="C49" s="34">
        <v>5</v>
      </c>
      <c r="D49" s="34">
        <f t="shared" si="2"/>
        <v>0.5</v>
      </c>
      <c r="E49" s="34">
        <f t="shared" si="2"/>
        <v>50</v>
      </c>
      <c r="F49" s="34">
        <f>(1/SQRT(A48)-1/SQRT(C49))*H49</f>
        <v>5.4858884285340892</v>
      </c>
      <c r="G49" s="34">
        <f>(SQRT(A48)-SQRT(B49))*H49</f>
        <v>27.51237750815605</v>
      </c>
      <c r="H49" s="49">
        <f>T35</f>
        <v>226.77464224811291</v>
      </c>
      <c r="I49" s="55"/>
      <c r="J49">
        <f t="shared" si="3"/>
        <v>0</v>
      </c>
      <c r="K49">
        <f t="shared" si="3"/>
        <v>16.311943187478931</v>
      </c>
      <c r="L49" s="43"/>
    </row>
    <row r="50" spans="1:12" x14ac:dyDescent="0.2">
      <c r="A50" s="67"/>
      <c r="B50">
        <v>3</v>
      </c>
      <c r="C50">
        <v>4</v>
      </c>
      <c r="D50">
        <f t="shared" si="2"/>
        <v>0.25</v>
      </c>
      <c r="E50">
        <f t="shared" si="2"/>
        <v>25</v>
      </c>
      <c r="F50">
        <v>0</v>
      </c>
      <c r="G50">
        <f>(SQRT(C50)-SQRT(B50))*H50</f>
        <v>25</v>
      </c>
      <c r="H50" s="43">
        <f>T36</f>
        <v>93.301270189221896</v>
      </c>
      <c r="I50" s="55"/>
      <c r="J50">
        <f t="shared" si="3"/>
        <v>0</v>
      </c>
      <c r="K50">
        <f t="shared" si="3"/>
        <v>0</v>
      </c>
      <c r="L50" s="43"/>
    </row>
    <row r="51" spans="1:12" x14ac:dyDescent="0.2">
      <c r="A51" s="67"/>
      <c r="B51">
        <v>2</v>
      </c>
      <c r="C51">
        <v>3</v>
      </c>
      <c r="D51">
        <f t="shared" si="2"/>
        <v>0</v>
      </c>
      <c r="E51">
        <f t="shared" si="2"/>
        <v>0</v>
      </c>
      <c r="F51">
        <v>0</v>
      </c>
      <c r="G51">
        <f>(SQRT(C51)-SQRT(B51))*H51</f>
        <v>0</v>
      </c>
      <c r="H51" s="43">
        <f>T37</f>
        <v>0</v>
      </c>
      <c r="I51" s="55"/>
      <c r="J51">
        <f t="shared" si="3"/>
        <v>0</v>
      </c>
      <c r="K51">
        <f t="shared" si="3"/>
        <v>0</v>
      </c>
      <c r="L51" s="43"/>
    </row>
    <row r="52" spans="1:12" x14ac:dyDescent="0.2">
      <c r="A52" s="67"/>
      <c r="B52">
        <v>1</v>
      </c>
      <c r="C52">
        <v>2</v>
      </c>
      <c r="D52">
        <f t="shared" si="2"/>
        <v>0</v>
      </c>
      <c r="E52">
        <f t="shared" si="2"/>
        <v>0</v>
      </c>
      <c r="F52">
        <v>0</v>
      </c>
      <c r="G52">
        <f>(SQRT(C52)-SQRT(B52))*H52</f>
        <v>0</v>
      </c>
      <c r="H52" s="43">
        <f>T38</f>
        <v>0</v>
      </c>
      <c r="I52" s="55"/>
      <c r="J52">
        <f t="shared" si="3"/>
        <v>0</v>
      </c>
      <c r="K52">
        <f t="shared" si="3"/>
        <v>0</v>
      </c>
      <c r="L52" s="43"/>
    </row>
    <row r="53" spans="1:12" x14ac:dyDescent="0.2">
      <c r="A53" s="48"/>
      <c r="H53" s="43"/>
      <c r="I53" s="55"/>
      <c r="J53" s="50">
        <f>SUM(J48:J52)</f>
        <v>0</v>
      </c>
      <c r="K53" s="50">
        <f>SUM(K48:K52)</f>
        <v>16.311943187478931</v>
      </c>
      <c r="L53" s="43"/>
    </row>
    <row r="54" spans="1:12" x14ac:dyDescent="0.2">
      <c r="A54" s="51" t="s">
        <v>44</v>
      </c>
      <c r="B54" s="52"/>
      <c r="C54" s="52"/>
      <c r="D54" s="52"/>
      <c r="E54" s="52"/>
      <c r="F54" s="52">
        <f>SQRT(A48)*SQRT(C51)/(SQRT(C51)-SQRT(A48))</f>
        <v>-9.4387931098259177</v>
      </c>
      <c r="G54" s="52">
        <f>1/(SQRT(A48)-SQRT(B51))</f>
        <v>1.4142135623730956</v>
      </c>
      <c r="H54" s="43"/>
      <c r="I54" s="55" t="s">
        <v>49</v>
      </c>
      <c r="J54">
        <f>J53*A48</f>
        <v>0</v>
      </c>
      <c r="K54">
        <f>K53</f>
        <v>16.311943187478931</v>
      </c>
      <c r="L54" s="43"/>
    </row>
    <row r="55" spans="1:12" x14ac:dyDescent="0.2">
      <c r="A55" s="51" t="s">
        <v>45</v>
      </c>
      <c r="B55" s="52">
        <f>B45/A48*21000*$K$4*10^(-9)</f>
        <v>1.4557842561118325E-2</v>
      </c>
      <c r="E55" s="33"/>
      <c r="F55" s="33"/>
      <c r="G55" s="33"/>
      <c r="H55" s="43"/>
      <c r="I55" s="55"/>
      <c r="J55" s="50"/>
      <c r="K55" s="50">
        <f>K54+J54</f>
        <v>16.311943187478931</v>
      </c>
      <c r="L55" s="43"/>
    </row>
    <row r="56" spans="1:12" ht="17" thickBot="1" x14ac:dyDescent="0.25">
      <c r="A56" s="44" t="s">
        <v>51</v>
      </c>
      <c r="B56" s="45">
        <f>0.003*K55*$K$5</f>
        <v>4.8935829562436792E-2</v>
      </c>
      <c r="C56" s="45">
        <f>B56+N42</f>
        <v>4.8935829562436792E-2</v>
      </c>
      <c r="D56" s="45"/>
      <c r="E56" s="46"/>
      <c r="F56" s="46"/>
      <c r="G56" s="46"/>
      <c r="H56" s="47"/>
      <c r="I56" s="56"/>
      <c r="J56" s="45"/>
      <c r="K56" s="45"/>
      <c r="L56" s="47"/>
    </row>
    <row r="57" spans="1:12" x14ac:dyDescent="0.2">
      <c r="A57" s="39"/>
      <c r="B57" s="40" t="s">
        <v>37</v>
      </c>
      <c r="C57" s="40" t="s">
        <v>38</v>
      </c>
      <c r="D57" s="40" t="s">
        <v>39</v>
      </c>
      <c r="E57" s="40" t="s">
        <v>40</v>
      </c>
      <c r="F57" s="40" t="s">
        <v>41</v>
      </c>
      <c r="G57" s="40" t="s">
        <v>42</v>
      </c>
      <c r="H57" s="41"/>
      <c r="I57" s="57"/>
      <c r="J57" s="40"/>
      <c r="K57" s="40"/>
      <c r="L57" s="41"/>
    </row>
    <row r="58" spans="1:12" x14ac:dyDescent="0.2">
      <c r="A58" s="42" t="s">
        <v>36</v>
      </c>
      <c r="B58">
        <v>2.5</v>
      </c>
      <c r="C58">
        <v>3.1</v>
      </c>
      <c r="D58">
        <v>4.2</v>
      </c>
      <c r="E58">
        <v>4.5</v>
      </c>
      <c r="F58" s="38">
        <v>5.4</v>
      </c>
      <c r="G58">
        <v>4.2</v>
      </c>
      <c r="H58" s="43"/>
      <c r="I58" s="55"/>
      <c r="L58" s="43"/>
    </row>
    <row r="59" spans="1:12" x14ac:dyDescent="0.2">
      <c r="A59" s="51" t="s">
        <v>61</v>
      </c>
      <c r="B59" s="52">
        <f>SUM(F62:F66)*A62+SUM(G62:G66)</f>
        <v>110.15137980430475</v>
      </c>
      <c r="H59" s="43"/>
      <c r="I59" s="55"/>
      <c r="L59" s="43"/>
    </row>
    <row r="60" spans="1:12" x14ac:dyDescent="0.2">
      <c r="A60" s="42"/>
      <c r="H60" s="43"/>
      <c r="I60" s="55"/>
      <c r="L60" s="43"/>
    </row>
    <row r="61" spans="1:12" x14ac:dyDescent="0.2">
      <c r="A61" t="s">
        <v>35</v>
      </c>
      <c r="B61" t="s">
        <v>0</v>
      </c>
      <c r="C61" t="s">
        <v>1</v>
      </c>
      <c r="D61" t="s">
        <v>29</v>
      </c>
      <c r="E61" t="s">
        <v>43</v>
      </c>
      <c r="F61" t="s">
        <v>30</v>
      </c>
      <c r="G61" t="s">
        <v>31</v>
      </c>
      <c r="H61" s="43" t="s">
        <v>4</v>
      </c>
      <c r="I61" s="55"/>
      <c r="J61" t="s">
        <v>47</v>
      </c>
      <c r="K61" t="s">
        <v>48</v>
      </c>
      <c r="L61" s="43"/>
    </row>
    <row r="62" spans="1:12" x14ac:dyDescent="0.2">
      <c r="A62" s="67">
        <f>F58</f>
        <v>5.4</v>
      </c>
      <c r="B62" s="34">
        <v>5</v>
      </c>
      <c r="C62" s="34">
        <v>6</v>
      </c>
      <c r="D62" s="34">
        <f t="shared" ref="D62:E66" si="4">D48</f>
        <v>0.25</v>
      </c>
      <c r="E62" s="34">
        <f t="shared" si="4"/>
        <v>25</v>
      </c>
      <c r="F62" s="34">
        <f>(1/SQRT(A62)-1/SQRT(C62))*H62</f>
        <v>3.3734516892374646</v>
      </c>
      <c r="G62" s="34">
        <f>(SQRT(A62)-SQRT(B62))*H62</f>
        <v>13.400509538672038</v>
      </c>
      <c r="H62" s="49">
        <f>H48</f>
        <v>152.76105106496826</v>
      </c>
      <c r="I62" s="55"/>
      <c r="J62">
        <f t="shared" ref="J62:K66" si="5">IF(F62-F48&gt;0,F62-F48,0)</f>
        <v>0</v>
      </c>
      <c r="K62">
        <f t="shared" si="5"/>
        <v>13.400509538672038</v>
      </c>
      <c r="L62" s="43"/>
    </row>
    <row r="63" spans="1:12" x14ac:dyDescent="0.2">
      <c r="A63" s="67"/>
      <c r="B63">
        <v>4</v>
      </c>
      <c r="C63">
        <v>5</v>
      </c>
      <c r="D63">
        <f t="shared" si="4"/>
        <v>0.5</v>
      </c>
      <c r="E63">
        <f t="shared" si="4"/>
        <v>50</v>
      </c>
      <c r="F63">
        <v>0</v>
      </c>
      <c r="G63">
        <f>(SQRT(C63)-SQRT(B63))*H63</f>
        <v>53.534231143750404</v>
      </c>
      <c r="H63" s="43">
        <f>H49</f>
        <v>226.77464224811291</v>
      </c>
      <c r="I63" s="55"/>
      <c r="J63">
        <f t="shared" si="5"/>
        <v>0</v>
      </c>
      <c r="K63">
        <f t="shared" si="5"/>
        <v>26.021853635594354</v>
      </c>
      <c r="L63" s="43"/>
    </row>
    <row r="64" spans="1:12" x14ac:dyDescent="0.2">
      <c r="A64" s="67"/>
      <c r="B64">
        <v>3</v>
      </c>
      <c r="C64">
        <v>4</v>
      </c>
      <c r="D64">
        <f t="shared" si="4"/>
        <v>0.25</v>
      </c>
      <c r="E64">
        <f t="shared" si="4"/>
        <v>25</v>
      </c>
      <c r="F64">
        <v>0</v>
      </c>
      <c r="G64">
        <f>(SQRT(C64)-SQRT(B64))*H64</f>
        <v>25</v>
      </c>
      <c r="H64" s="43">
        <f>H50</f>
        <v>93.301270189221896</v>
      </c>
      <c r="I64" s="55"/>
      <c r="J64">
        <f t="shared" si="5"/>
        <v>0</v>
      </c>
      <c r="K64">
        <f t="shared" si="5"/>
        <v>0</v>
      </c>
      <c r="L64" s="43"/>
    </row>
    <row r="65" spans="1:12" x14ac:dyDescent="0.2">
      <c r="A65" s="67"/>
      <c r="B65">
        <v>2</v>
      </c>
      <c r="C65">
        <v>3</v>
      </c>
      <c r="D65">
        <f t="shared" si="4"/>
        <v>0</v>
      </c>
      <c r="E65">
        <f t="shared" si="4"/>
        <v>0</v>
      </c>
      <c r="F65">
        <v>0</v>
      </c>
      <c r="G65">
        <f>(SQRT(C65)-SQRT(B65))*H65</f>
        <v>0</v>
      </c>
      <c r="H65" s="43">
        <f>T51</f>
        <v>0</v>
      </c>
      <c r="I65" s="55"/>
      <c r="J65">
        <f t="shared" si="5"/>
        <v>0</v>
      </c>
      <c r="K65">
        <f t="shared" si="5"/>
        <v>0</v>
      </c>
      <c r="L65" s="43"/>
    </row>
    <row r="66" spans="1:12" x14ac:dyDescent="0.2">
      <c r="A66" s="67"/>
      <c r="B66">
        <v>1</v>
      </c>
      <c r="C66">
        <v>2</v>
      </c>
      <c r="D66">
        <f t="shared" si="4"/>
        <v>0</v>
      </c>
      <c r="E66">
        <f t="shared" si="4"/>
        <v>0</v>
      </c>
      <c r="F66">
        <v>0</v>
      </c>
      <c r="G66">
        <f>(SQRT(C66)-SQRT(B66))*H66</f>
        <v>0</v>
      </c>
      <c r="H66" s="43">
        <f>T52</f>
        <v>0</v>
      </c>
      <c r="I66" s="55"/>
      <c r="J66">
        <f t="shared" si="5"/>
        <v>0</v>
      </c>
      <c r="K66">
        <f t="shared" si="5"/>
        <v>0</v>
      </c>
      <c r="L66" s="43"/>
    </row>
    <row r="67" spans="1:12" x14ac:dyDescent="0.2">
      <c r="A67" s="48"/>
      <c r="H67" s="43"/>
      <c r="I67" s="55"/>
      <c r="J67" s="50">
        <f>SUM(J62:J66)</f>
        <v>0</v>
      </c>
      <c r="K67" s="50">
        <f>SUM(K62:K66)</f>
        <v>39.422363174266394</v>
      </c>
      <c r="L67" s="43"/>
    </row>
    <row r="68" spans="1:12" x14ac:dyDescent="0.2">
      <c r="A68" s="51" t="s">
        <v>44</v>
      </c>
      <c r="B68" s="52"/>
      <c r="C68" s="52"/>
      <c r="D68" s="52"/>
      <c r="E68" s="52"/>
      <c r="F68" s="52">
        <f>SQRT(A62)*SQRT(C65)/(SQRT(C65)-SQRT(A62))</f>
        <v>-6.8018518266855343</v>
      </c>
      <c r="G68" s="52">
        <f>1/(SQRT(A62)-SQRT(B65))</f>
        <v>1.0994128147345721</v>
      </c>
      <c r="H68" s="43"/>
      <c r="I68" s="55" t="s">
        <v>49</v>
      </c>
      <c r="J68">
        <f>J67*A62</f>
        <v>0</v>
      </c>
      <c r="K68">
        <f>K67</f>
        <v>39.422363174266394</v>
      </c>
      <c r="L68" s="43"/>
    </row>
    <row r="69" spans="1:12" x14ac:dyDescent="0.2">
      <c r="A69" s="51" t="s">
        <v>45</v>
      </c>
      <c r="B69" s="52">
        <f>B59/A62*21000*$K$4*10^(-9)</f>
        <v>1.2850994310502222E-2</v>
      </c>
      <c r="E69" s="33"/>
      <c r="F69" s="33"/>
      <c r="G69" s="33"/>
      <c r="H69" s="43"/>
      <c r="I69" s="55"/>
      <c r="J69" s="50"/>
      <c r="K69" s="50">
        <f>K68+J68</f>
        <v>39.422363174266394</v>
      </c>
      <c r="L69" s="43"/>
    </row>
    <row r="70" spans="1:12" ht="17" thickBot="1" x14ac:dyDescent="0.25">
      <c r="A70" s="44" t="s">
        <v>51</v>
      </c>
      <c r="B70" s="45">
        <f>0.003*K69*$K$5</f>
        <v>0.11826708952279918</v>
      </c>
      <c r="C70" s="45">
        <f>B70+C56</f>
        <v>0.16720291908523599</v>
      </c>
      <c r="D70" s="45"/>
      <c r="E70" s="46"/>
      <c r="F70" s="46"/>
      <c r="G70" s="46"/>
      <c r="H70" s="47"/>
      <c r="I70" s="56"/>
      <c r="J70" s="45"/>
      <c r="K70" s="45"/>
      <c r="L70" s="47"/>
    </row>
    <row r="71" spans="1:12" x14ac:dyDescent="0.2">
      <c r="A71" s="39"/>
      <c r="B71" s="40" t="s">
        <v>37</v>
      </c>
      <c r="C71" s="40" t="s">
        <v>38</v>
      </c>
      <c r="D71" s="40" t="s">
        <v>39</v>
      </c>
      <c r="E71" s="40" t="s">
        <v>40</v>
      </c>
      <c r="F71" s="40" t="s">
        <v>41</v>
      </c>
      <c r="G71" s="40" t="s">
        <v>42</v>
      </c>
      <c r="H71" s="41"/>
      <c r="I71" s="57"/>
      <c r="J71" s="40"/>
      <c r="K71" s="40"/>
      <c r="L71" s="41"/>
    </row>
    <row r="72" spans="1:12" x14ac:dyDescent="0.2">
      <c r="A72" s="42" t="s">
        <v>36</v>
      </c>
      <c r="B72">
        <v>2.5</v>
      </c>
      <c r="C72">
        <v>3.1</v>
      </c>
      <c r="D72">
        <v>4.2</v>
      </c>
      <c r="E72">
        <v>4.5</v>
      </c>
      <c r="F72">
        <v>5.4</v>
      </c>
      <c r="G72" s="38">
        <v>4.2</v>
      </c>
      <c r="H72" s="43"/>
      <c r="I72" s="55"/>
      <c r="L72" s="43"/>
    </row>
    <row r="73" spans="1:12" x14ac:dyDescent="0.2">
      <c r="A73" s="42" t="s">
        <v>62</v>
      </c>
      <c r="B73">
        <f>SUM(F76:F80)*A76+SUM(G76:G80)</f>
        <v>99.999999999999972</v>
      </c>
      <c r="H73" s="43"/>
      <c r="I73" s="55"/>
      <c r="L73" s="43"/>
    </row>
    <row r="74" spans="1:12" x14ac:dyDescent="0.2">
      <c r="A74" s="42"/>
      <c r="H74" s="43"/>
      <c r="I74" s="55"/>
      <c r="L74" s="43"/>
    </row>
    <row r="75" spans="1:12" x14ac:dyDescent="0.2">
      <c r="A75" t="s">
        <v>35</v>
      </c>
      <c r="B75" t="s">
        <v>0</v>
      </c>
      <c r="C75" t="s">
        <v>1</v>
      </c>
      <c r="D75" t="s">
        <v>29</v>
      </c>
      <c r="E75" t="s">
        <v>43</v>
      </c>
      <c r="F75" t="s">
        <v>30</v>
      </c>
      <c r="G75" t="s">
        <v>31</v>
      </c>
      <c r="H75" s="43" t="s">
        <v>4</v>
      </c>
      <c r="I75" s="55"/>
      <c r="J75" t="s">
        <v>47</v>
      </c>
      <c r="K75" t="s">
        <v>48</v>
      </c>
      <c r="L75" s="43"/>
    </row>
    <row r="76" spans="1:12" x14ac:dyDescent="0.2">
      <c r="A76" s="67">
        <f>G72</f>
        <v>4.2</v>
      </c>
      <c r="B76">
        <v>5</v>
      </c>
      <c r="C76">
        <v>6</v>
      </c>
      <c r="D76">
        <f t="shared" ref="D76:E80" si="6">D62</f>
        <v>0.25</v>
      </c>
      <c r="E76">
        <f t="shared" si="6"/>
        <v>25</v>
      </c>
      <c r="F76">
        <f>(1/SQRT(B76)-1/SQRT(C76))*H76</f>
        <v>5.9523809523809508</v>
      </c>
      <c r="G76">
        <v>0</v>
      </c>
      <c r="H76" s="43">
        <f>H62</f>
        <v>152.76105106496826</v>
      </c>
      <c r="I76" s="55"/>
      <c r="J76">
        <f t="shared" ref="J76:K80" si="7">IF(F76-F62&gt;0,F76-F62,0)</f>
        <v>2.5789292631434861</v>
      </c>
      <c r="K76">
        <f t="shared" si="7"/>
        <v>0</v>
      </c>
      <c r="L76" s="43"/>
    </row>
    <row r="77" spans="1:12" x14ac:dyDescent="0.2">
      <c r="A77" s="67"/>
      <c r="B77" s="34">
        <v>4</v>
      </c>
      <c r="C77" s="34">
        <v>5</v>
      </c>
      <c r="D77" s="34">
        <f t="shared" si="6"/>
        <v>0.5</v>
      </c>
      <c r="E77" s="34">
        <f t="shared" si="6"/>
        <v>50</v>
      </c>
      <c r="F77" s="34">
        <f>(1/SQRT(A76)-1/SQRT(C77))*H77</f>
        <v>9.2379918284102054</v>
      </c>
      <c r="G77" s="34">
        <f>(SQRT(A76)-SQRT(B77))*H77</f>
        <v>11.200434320677118</v>
      </c>
      <c r="H77" s="49">
        <f>H63</f>
        <v>226.77464224811291</v>
      </c>
      <c r="I77" s="55"/>
      <c r="J77">
        <f t="shared" si="7"/>
        <v>9.2379918284102054</v>
      </c>
      <c r="K77">
        <f t="shared" si="7"/>
        <v>0</v>
      </c>
      <c r="L77" s="43"/>
    </row>
    <row r="78" spans="1:12" x14ac:dyDescent="0.2">
      <c r="A78" s="67"/>
      <c r="B78">
        <v>3</v>
      </c>
      <c r="C78">
        <v>4</v>
      </c>
      <c r="D78">
        <f t="shared" si="6"/>
        <v>0.25</v>
      </c>
      <c r="E78">
        <f t="shared" si="6"/>
        <v>25</v>
      </c>
      <c r="F78">
        <v>0</v>
      </c>
      <c r="G78">
        <f>(SQRT(C78)-SQRT(B78))*H78</f>
        <v>25</v>
      </c>
      <c r="H78" s="43">
        <f>H64</f>
        <v>93.301270189221896</v>
      </c>
      <c r="I78" s="55"/>
      <c r="J78">
        <f t="shared" si="7"/>
        <v>0</v>
      </c>
      <c r="K78">
        <f t="shared" si="7"/>
        <v>0</v>
      </c>
      <c r="L78" s="43"/>
    </row>
    <row r="79" spans="1:12" x14ac:dyDescent="0.2">
      <c r="A79" s="67"/>
      <c r="B79">
        <v>2</v>
      </c>
      <c r="C79">
        <v>3</v>
      </c>
      <c r="D79">
        <f t="shared" si="6"/>
        <v>0</v>
      </c>
      <c r="E79">
        <f t="shared" si="6"/>
        <v>0</v>
      </c>
      <c r="F79">
        <v>0</v>
      </c>
      <c r="G79">
        <f>(SQRT(C79)-SQRT(B79))*H79</f>
        <v>0</v>
      </c>
      <c r="H79" s="43">
        <f>T65</f>
        <v>0</v>
      </c>
      <c r="I79" s="55"/>
      <c r="J79">
        <f t="shared" si="7"/>
        <v>0</v>
      </c>
      <c r="K79">
        <f t="shared" si="7"/>
        <v>0</v>
      </c>
      <c r="L79" s="43"/>
    </row>
    <row r="80" spans="1:12" x14ac:dyDescent="0.2">
      <c r="A80" s="67"/>
      <c r="B80">
        <v>1</v>
      </c>
      <c r="C80">
        <v>2</v>
      </c>
      <c r="D80">
        <f t="shared" si="6"/>
        <v>0</v>
      </c>
      <c r="E80">
        <f t="shared" si="6"/>
        <v>0</v>
      </c>
      <c r="F80">
        <v>0</v>
      </c>
      <c r="G80">
        <f>(SQRT(C80)-SQRT(B80))*H80</f>
        <v>0</v>
      </c>
      <c r="H80" s="43">
        <f>T66</f>
        <v>0</v>
      </c>
      <c r="I80" s="55"/>
      <c r="J80">
        <f t="shared" si="7"/>
        <v>0</v>
      </c>
      <c r="K80">
        <f t="shared" si="7"/>
        <v>0</v>
      </c>
      <c r="L80" s="43"/>
    </row>
    <row r="81" spans="1:12" x14ac:dyDescent="0.2">
      <c r="A81" s="48"/>
      <c r="H81" s="43"/>
      <c r="I81" s="55"/>
      <c r="J81" s="50">
        <f>SUM(J76:J80)</f>
        <v>11.816921091553692</v>
      </c>
      <c r="K81" s="50">
        <f>SUM(K76:K80)</f>
        <v>0</v>
      </c>
      <c r="L81" s="43"/>
    </row>
    <row r="82" spans="1:12" x14ac:dyDescent="0.2">
      <c r="A82" s="51" t="s">
        <v>44</v>
      </c>
      <c r="B82" s="52"/>
      <c r="C82" s="52"/>
      <c r="D82" s="52"/>
      <c r="E82" s="52"/>
      <c r="F82" s="52">
        <f>SQRT(A76)*SQRT(C79)/(SQRT(C79)-SQRT(A76))</f>
        <v>-11.185653209470861</v>
      </c>
      <c r="G82" s="52">
        <f>1/(SQRT(A76)-SQRT(B79))</f>
        <v>1.5743653252568246</v>
      </c>
      <c r="H82" s="43"/>
      <c r="I82" s="55" t="s">
        <v>49</v>
      </c>
      <c r="J82">
        <f>J81*A76</f>
        <v>49.631068584525508</v>
      </c>
      <c r="K82">
        <f>K81</f>
        <v>0</v>
      </c>
      <c r="L82" s="43"/>
    </row>
    <row r="83" spans="1:12" x14ac:dyDescent="0.2">
      <c r="A83" s="42" t="s">
        <v>45</v>
      </c>
      <c r="B83">
        <f>B73/A76*21000*$K$4*10^(-9)*A76</f>
        <v>6.2999999999999987E-2</v>
      </c>
      <c r="E83" s="33"/>
      <c r="F83" s="33"/>
      <c r="G83" s="33"/>
      <c r="H83" s="43"/>
      <c r="I83" s="55"/>
      <c r="J83" s="50"/>
      <c r="K83" s="50">
        <f>K82+J82</f>
        <v>49.631068584525508</v>
      </c>
      <c r="L83" s="43"/>
    </row>
    <row r="84" spans="1:12" ht="17" thickBot="1" x14ac:dyDescent="0.25">
      <c r="A84" s="44" t="s">
        <v>51</v>
      </c>
      <c r="B84" s="45">
        <f>0.003*K83*$K$5</f>
        <v>0.14889320575357654</v>
      </c>
      <c r="C84" s="45">
        <f>B84+C70</f>
        <v>0.31609612483881255</v>
      </c>
      <c r="D84" s="45"/>
      <c r="E84" s="46"/>
      <c r="F84" s="46"/>
      <c r="G84" s="46"/>
      <c r="H84" s="47"/>
      <c r="I84" s="56"/>
      <c r="J84" s="45"/>
      <c r="K84" s="45"/>
      <c r="L84" s="47"/>
    </row>
    <row r="85" spans="1:12" ht="17" thickBot="1" x14ac:dyDescent="0.25">
      <c r="A85" s="30" t="s">
        <v>63</v>
      </c>
      <c r="B85" s="54">
        <f>B73+C84-B83</f>
        <v>100.25309612483878</v>
      </c>
      <c r="C85" s="54">
        <f>C84+C42</f>
        <v>0.49420179785321017</v>
      </c>
      <c r="D85" s="54">
        <f>B83+N41+B13</f>
        <v>0.22798121043068148</v>
      </c>
      <c r="E85" s="54"/>
      <c r="F85" s="54"/>
      <c r="G85" s="54"/>
      <c r="H85" s="31"/>
    </row>
  </sheetData>
  <mergeCells count="8">
    <mergeCell ref="A6:A10"/>
    <mergeCell ref="A20:A24"/>
    <mergeCell ref="A34:A38"/>
    <mergeCell ref="M34:M38"/>
    <mergeCell ref="V39:W39"/>
    <mergeCell ref="A48:A52"/>
    <mergeCell ref="A62:A66"/>
    <mergeCell ref="A76:A80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9108-067F-F943-8F2A-C0B6E8FA1C3C}">
  <dimension ref="A2:AC74"/>
  <sheetViews>
    <sheetView topLeftCell="D42" zoomScale="90" zoomScaleNormal="90" workbookViewId="0">
      <selection activeCell="Q54" sqref="Q54"/>
    </sheetView>
  </sheetViews>
  <sheetFormatPr baseColWidth="10" defaultRowHeight="16" x14ac:dyDescent="0.2"/>
  <cols>
    <col min="2" max="2" width="5.83203125" customWidth="1"/>
    <col min="3" max="7" width="9.33203125" customWidth="1"/>
    <col min="8" max="9" width="15.6640625" customWidth="1"/>
    <col min="10" max="10" width="12.6640625" customWidth="1"/>
    <col min="11" max="13" width="9.33203125" customWidth="1"/>
  </cols>
  <sheetData>
    <row r="2" spans="1:23" x14ac:dyDescent="0.2">
      <c r="B2" s="21" t="s">
        <v>4</v>
      </c>
      <c r="C2" s="19">
        <v>12.898053360195345</v>
      </c>
      <c r="D2" s="1"/>
    </row>
    <row r="3" spans="1:23" x14ac:dyDescent="0.2">
      <c r="B3" s="21" t="s">
        <v>5</v>
      </c>
      <c r="C3" s="6">
        <f>(C4+C2/SQRT(C8))*(C5+C2*SQRT(C7))</f>
        <v>166.36828505040731</v>
      </c>
      <c r="D3" s="1">
        <f>ABS(C3-C2^2)</f>
        <v>8.5045679608981573E-3</v>
      </c>
      <c r="E3" s="1"/>
      <c r="F3" s="1"/>
    </row>
    <row r="4" spans="1:23" x14ac:dyDescent="0.2">
      <c r="B4" s="21" t="s">
        <v>2</v>
      </c>
      <c r="C4" s="5">
        <v>2</v>
      </c>
      <c r="R4" s="7" t="s">
        <v>21</v>
      </c>
      <c r="S4" s="7" t="s">
        <v>15</v>
      </c>
      <c r="T4" s="7" t="s">
        <v>22</v>
      </c>
      <c r="U4" s="7" t="s">
        <v>23</v>
      </c>
      <c r="V4" s="7" t="s">
        <v>24</v>
      </c>
      <c r="W4" s="24" t="s">
        <v>25</v>
      </c>
    </row>
    <row r="5" spans="1:23" x14ac:dyDescent="0.2">
      <c r="B5" s="21" t="s">
        <v>3</v>
      </c>
      <c r="C5" s="5">
        <v>10</v>
      </c>
      <c r="R5" s="7" t="s">
        <v>16</v>
      </c>
      <c r="S5" s="7">
        <v>1</v>
      </c>
      <c r="T5" s="7">
        <v>3000</v>
      </c>
      <c r="U5" s="7">
        <v>4100</v>
      </c>
      <c r="V5" s="7"/>
      <c r="W5">
        <v>4000</v>
      </c>
    </row>
    <row r="6" spans="1:23" x14ac:dyDescent="0.2">
      <c r="B6" s="21" t="s">
        <v>10</v>
      </c>
      <c r="C6" s="5">
        <f>C5/C4</f>
        <v>5</v>
      </c>
      <c r="R6" s="7" t="s">
        <v>17</v>
      </c>
      <c r="S6" s="7">
        <v>2</v>
      </c>
      <c r="T6" s="7">
        <f>U6-200</f>
        <v>2800</v>
      </c>
      <c r="U6" s="7">
        <f>T5</f>
        <v>3000</v>
      </c>
      <c r="V6" s="7"/>
    </row>
    <row r="7" spans="1:23" x14ac:dyDescent="0.2">
      <c r="B7" s="21" t="s">
        <v>0</v>
      </c>
      <c r="C7" s="5">
        <v>1</v>
      </c>
      <c r="R7" s="68" t="s">
        <v>18</v>
      </c>
      <c r="S7" s="7">
        <v>3</v>
      </c>
      <c r="T7" s="7">
        <f t="shared" ref="T7:T24" si="0">U7-200</f>
        <v>2600</v>
      </c>
      <c r="U7" s="7">
        <f t="shared" ref="U7:U24" si="1">T6</f>
        <v>2800</v>
      </c>
      <c r="V7" s="7"/>
    </row>
    <row r="8" spans="1:23" x14ac:dyDescent="0.2">
      <c r="B8" s="21" t="s">
        <v>1</v>
      </c>
      <c r="C8" s="5">
        <v>6</v>
      </c>
      <c r="R8" s="68"/>
      <c r="S8" s="7">
        <v>4</v>
      </c>
      <c r="T8" s="7">
        <f t="shared" si="0"/>
        <v>2400</v>
      </c>
      <c r="U8" s="7">
        <f t="shared" si="1"/>
        <v>2600</v>
      </c>
      <c r="V8" s="7"/>
    </row>
    <row r="9" spans="1:23" x14ac:dyDescent="0.2">
      <c r="R9" s="68"/>
      <c r="S9" s="7">
        <v>5</v>
      </c>
      <c r="T9" s="7">
        <f t="shared" si="0"/>
        <v>2200</v>
      </c>
      <c r="U9" s="7">
        <f t="shared" si="1"/>
        <v>2400</v>
      </c>
      <c r="V9" s="7"/>
    </row>
    <row r="10" spans="1:23" x14ac:dyDescent="0.2">
      <c r="B10" s="21" t="s">
        <v>9</v>
      </c>
      <c r="C10" s="21" t="s">
        <v>6</v>
      </c>
      <c r="D10" s="21" t="s">
        <v>7</v>
      </c>
      <c r="E10" s="21" t="s">
        <v>8</v>
      </c>
      <c r="F10" s="21" t="s">
        <v>10</v>
      </c>
      <c r="G10" s="21" t="s">
        <v>5</v>
      </c>
      <c r="H10" s="21" t="s">
        <v>4</v>
      </c>
      <c r="I10" s="69" t="s">
        <v>14</v>
      </c>
      <c r="J10" s="69"/>
      <c r="K10" s="69" t="s">
        <v>11</v>
      </c>
      <c r="L10" s="69"/>
      <c r="R10" s="68"/>
      <c r="S10" s="7">
        <v>6</v>
      </c>
      <c r="T10" s="7">
        <f t="shared" si="0"/>
        <v>2000</v>
      </c>
      <c r="U10" s="7">
        <f t="shared" si="1"/>
        <v>2200</v>
      </c>
      <c r="V10" s="7"/>
    </row>
    <row r="11" spans="1:23" x14ac:dyDescent="0.2">
      <c r="B11" s="70"/>
      <c r="C11" s="71"/>
      <c r="D11" s="71"/>
      <c r="E11" s="72"/>
      <c r="F11" s="5" t="s">
        <v>12</v>
      </c>
      <c r="G11" s="70"/>
      <c r="H11" s="72"/>
      <c r="I11" s="5">
        <v>0</v>
      </c>
      <c r="J11" s="25">
        <f>SQRT(F12)-SQRT(F20)</f>
        <v>1.4493371783654252</v>
      </c>
      <c r="K11" s="5">
        <v>0</v>
      </c>
      <c r="L11" s="9">
        <f>H12*J11</f>
        <v>18.694106080886229</v>
      </c>
      <c r="R11" s="68"/>
      <c r="S11" s="7">
        <v>7</v>
      </c>
      <c r="T11" s="7">
        <f t="shared" si="0"/>
        <v>1800</v>
      </c>
      <c r="U11" s="7">
        <f t="shared" si="1"/>
        <v>2000</v>
      </c>
      <c r="V11" s="7"/>
    </row>
    <row r="12" spans="1:23" x14ac:dyDescent="0.2">
      <c r="B12" s="5">
        <v>0</v>
      </c>
      <c r="C12" s="6">
        <f>B12+$C$2/SQRT($C$8)</f>
        <v>5.2656082346114337</v>
      </c>
      <c r="D12" s="6">
        <f t="shared" ref="D12:D20" si="2">$C$3/C12</f>
        <v>31.595264523640385</v>
      </c>
      <c r="E12" s="18">
        <f>D12-$C$2*SQRT($C$7)</f>
        <v>18.69721116344504</v>
      </c>
      <c r="F12" s="6">
        <f>D12/C12</f>
        <v>6.0003067292323733</v>
      </c>
      <c r="G12" s="6">
        <f>D12*C12</f>
        <v>166.36828505040731</v>
      </c>
      <c r="H12" s="19">
        <f>SQRT(G12)</f>
        <v>12.898383040149152</v>
      </c>
      <c r="I12" s="5"/>
      <c r="J12" s="7"/>
      <c r="K12" s="5"/>
      <c r="L12" s="5"/>
      <c r="R12" s="68"/>
      <c r="S12" s="7">
        <v>8</v>
      </c>
      <c r="T12" s="7">
        <f t="shared" si="0"/>
        <v>1600</v>
      </c>
      <c r="U12" s="7">
        <f t="shared" si="1"/>
        <v>1800</v>
      </c>
      <c r="V12" s="7"/>
    </row>
    <row r="13" spans="1:23" x14ac:dyDescent="0.2">
      <c r="B13" s="5">
        <v>1</v>
      </c>
      <c r="C13" s="6">
        <f>B13+$C$2/SQRT($C$8)</f>
        <v>6.2656082346114337</v>
      </c>
      <c r="D13" s="6">
        <f t="shared" si="2"/>
        <v>26.552615296210707</v>
      </c>
      <c r="E13" s="10">
        <f t="shared" ref="E13:E20" si="3">D13-$C$2*SQRT($C$7)</f>
        <v>13.654561936015362</v>
      </c>
      <c r="F13" s="6">
        <f t="shared" ref="F13:F20" si="4">D13/C13</f>
        <v>4.2378352271584987</v>
      </c>
      <c r="G13" s="6">
        <f t="shared" ref="G13:G20" si="5">D13*C13</f>
        <v>166.36828505040731</v>
      </c>
      <c r="H13" s="19">
        <f t="shared" ref="H13:H20" si="6">SQRT(G13)</f>
        <v>12.898383040149152</v>
      </c>
      <c r="I13" s="5"/>
      <c r="J13" s="5"/>
      <c r="K13" s="5"/>
      <c r="L13" s="5"/>
      <c r="R13" s="68"/>
      <c r="S13" s="7">
        <v>9</v>
      </c>
      <c r="T13" s="7">
        <f t="shared" si="0"/>
        <v>1400</v>
      </c>
      <c r="U13" s="7">
        <f t="shared" si="1"/>
        <v>1600</v>
      </c>
      <c r="V13" s="7"/>
    </row>
    <row r="14" spans="1:23" x14ac:dyDescent="0.2">
      <c r="B14" s="5">
        <v>2</v>
      </c>
      <c r="C14" s="6">
        <f>B14+$C$2/SQRT($C$8)</f>
        <v>7.2656082346114337</v>
      </c>
      <c r="D14" s="6">
        <f t="shared" si="2"/>
        <v>22.898053360195345</v>
      </c>
      <c r="E14" s="10">
        <f t="shared" si="3"/>
        <v>10</v>
      </c>
      <c r="F14" s="6">
        <f t="shared" si="4"/>
        <v>3.1515673045946908</v>
      </c>
      <c r="G14" s="6">
        <f t="shared" si="5"/>
        <v>166.36828505040731</v>
      </c>
      <c r="H14" s="19">
        <f t="shared" si="6"/>
        <v>12.898383040149152</v>
      </c>
      <c r="I14" s="5"/>
      <c r="J14" s="5"/>
      <c r="K14" s="5"/>
      <c r="L14" s="5"/>
      <c r="M14" s="2"/>
      <c r="R14" s="7">
        <v>0</v>
      </c>
      <c r="S14" s="7">
        <v>10</v>
      </c>
      <c r="T14" s="7">
        <f t="shared" si="0"/>
        <v>1200</v>
      </c>
      <c r="U14" s="7">
        <f t="shared" si="1"/>
        <v>1400</v>
      </c>
      <c r="V14" s="7"/>
    </row>
    <row r="15" spans="1:23" x14ac:dyDescent="0.2">
      <c r="B15" s="5">
        <v>3</v>
      </c>
      <c r="C15" s="6">
        <f t="shared" ref="C15:C20" si="7">B15+$C$2/SQRT($C$8)</f>
        <v>8.2656082346114346</v>
      </c>
      <c r="D15" s="6">
        <f t="shared" si="2"/>
        <v>20.127772854483499</v>
      </c>
      <c r="E15" s="10">
        <f t="shared" si="3"/>
        <v>7.2297194942881546</v>
      </c>
      <c r="F15" s="6">
        <f t="shared" si="4"/>
        <v>2.4351230161381712</v>
      </c>
      <c r="G15" s="6">
        <f t="shared" si="5"/>
        <v>166.36828505040731</v>
      </c>
      <c r="H15" s="19">
        <f t="shared" si="6"/>
        <v>12.898383040149152</v>
      </c>
      <c r="I15" s="14">
        <f>1/SQRT(F15)-1/SQRT(F12)</f>
        <v>0.23258729335776562</v>
      </c>
      <c r="J15" s="8">
        <f>SQRT(F15)-SQRT(F20)</f>
        <v>0.56027289538811664</v>
      </c>
      <c r="K15" s="15">
        <f>H15*I15</f>
        <v>2.9999999999999996</v>
      </c>
      <c r="L15" s="15">
        <f>H15*J15</f>
        <v>7.2266144117293436</v>
      </c>
      <c r="R15" s="7">
        <v>-1</v>
      </c>
      <c r="S15" s="7">
        <v>11</v>
      </c>
      <c r="T15" s="7">
        <f t="shared" si="0"/>
        <v>1000</v>
      </c>
      <c r="U15" s="7">
        <f t="shared" si="1"/>
        <v>1200</v>
      </c>
      <c r="V15" s="7"/>
    </row>
    <row r="16" spans="1:23" s="4" customFormat="1" x14ac:dyDescent="0.2">
      <c r="A16" s="29">
        <f>F16*B16+E16</f>
        <v>12.80885445234377</v>
      </c>
      <c r="B16" s="11">
        <v>4</v>
      </c>
      <c r="C16" s="12">
        <f t="shared" si="7"/>
        <v>9.2656082346114346</v>
      </c>
      <c r="D16" s="12">
        <f t="shared" si="2"/>
        <v>17.955462915963032</v>
      </c>
      <c r="E16" s="13">
        <f t="shared" si="3"/>
        <v>5.0574095557676877</v>
      </c>
      <c r="F16" s="12">
        <f t="shared" si="4"/>
        <v>1.9378612241440205</v>
      </c>
      <c r="G16" s="12">
        <f t="shared" si="5"/>
        <v>166.36828505040731</v>
      </c>
      <c r="H16" s="20">
        <f t="shared" si="6"/>
        <v>12.898383040149152</v>
      </c>
      <c r="I16" s="14">
        <f>1/SQRT(F16)-1/SQRT(F12)</f>
        <v>0.31011639114368761</v>
      </c>
      <c r="J16" s="8">
        <f>SQRT(F16)-SQRT(F20)</f>
        <v>0.39185566574323327</v>
      </c>
      <c r="K16" s="15">
        <f>H16*I16</f>
        <v>4.0000000000000009</v>
      </c>
      <c r="L16" s="15">
        <f>H16*J16</f>
        <v>5.0543044732088749</v>
      </c>
      <c r="M16"/>
      <c r="N16" s="26">
        <f>I11-I16</f>
        <v>-0.31011639114368761</v>
      </c>
      <c r="O16" s="26">
        <f>J11-J16</f>
        <v>1.0574815126221919</v>
      </c>
      <c r="P16" s="26">
        <f>L11-L16</f>
        <v>13.639801607677354</v>
      </c>
      <c r="R16" s="22">
        <v>-2</v>
      </c>
      <c r="S16" s="7">
        <v>12</v>
      </c>
      <c r="T16" s="7">
        <f t="shared" si="0"/>
        <v>800</v>
      </c>
      <c r="U16" s="7">
        <f t="shared" si="1"/>
        <v>1000</v>
      </c>
      <c r="V16" s="22"/>
    </row>
    <row r="17" spans="2:22" x14ac:dyDescent="0.2">
      <c r="B17" s="5">
        <v>5</v>
      </c>
      <c r="C17" s="6">
        <f t="shared" si="7"/>
        <v>10.265608234611435</v>
      </c>
      <c r="D17" s="6">
        <f t="shared" si="2"/>
        <v>16.206373869741245</v>
      </c>
      <c r="E17" s="10">
        <f t="shared" si="3"/>
        <v>3.3083205095459007</v>
      </c>
      <c r="F17" s="6">
        <f t="shared" si="4"/>
        <v>1.5787056645216577</v>
      </c>
      <c r="G17" s="6">
        <f t="shared" si="5"/>
        <v>166.36828505040731</v>
      </c>
      <c r="H17" s="19">
        <f t="shared" si="6"/>
        <v>12.898383040149152</v>
      </c>
      <c r="I17" s="5"/>
      <c r="J17" s="5"/>
      <c r="K17" s="5"/>
      <c r="L17" s="5"/>
      <c r="O17">
        <f>O16*H15</f>
        <v>13.639801607677352</v>
      </c>
      <c r="R17" s="68" t="s">
        <v>18</v>
      </c>
      <c r="S17" s="7">
        <v>13</v>
      </c>
      <c r="T17" s="7">
        <f t="shared" si="0"/>
        <v>600</v>
      </c>
      <c r="U17" s="7">
        <f t="shared" si="1"/>
        <v>800</v>
      </c>
      <c r="V17" s="7"/>
    </row>
    <row r="18" spans="2:22" x14ac:dyDescent="0.2">
      <c r="B18" s="5">
        <v>6</v>
      </c>
      <c r="C18" s="6">
        <f t="shared" si="7"/>
        <v>11.265608234611435</v>
      </c>
      <c r="D18" s="6">
        <f t="shared" si="2"/>
        <v>14.767803174556741</v>
      </c>
      <c r="E18" s="10">
        <f t="shared" si="3"/>
        <v>1.8697498143613966</v>
      </c>
      <c r="F18" s="6">
        <f t="shared" si="4"/>
        <v>1.3108749094598799</v>
      </c>
      <c r="G18" s="6">
        <f t="shared" si="5"/>
        <v>166.36828505040731</v>
      </c>
      <c r="H18" s="19">
        <f t="shared" si="6"/>
        <v>12.898383040149152</v>
      </c>
      <c r="I18" s="5"/>
      <c r="J18" s="5"/>
      <c r="K18" s="5"/>
      <c r="L18" s="5"/>
      <c r="R18" s="68"/>
      <c r="S18" s="7">
        <v>14</v>
      </c>
      <c r="T18" s="7">
        <f t="shared" si="0"/>
        <v>400</v>
      </c>
      <c r="U18" s="7">
        <f t="shared" si="1"/>
        <v>600</v>
      </c>
      <c r="V18" s="7"/>
    </row>
    <row r="19" spans="2:22" x14ac:dyDescent="0.2">
      <c r="B19" s="5">
        <v>7</v>
      </c>
      <c r="C19" s="6">
        <f t="shared" si="7"/>
        <v>12.265608234611435</v>
      </c>
      <c r="D19" s="6">
        <f t="shared" si="2"/>
        <v>13.563802289147361</v>
      </c>
      <c r="E19" s="10">
        <f t="shared" si="3"/>
        <v>0.66574892895201643</v>
      </c>
      <c r="F19" s="6">
        <f t="shared" si="4"/>
        <v>1.1058401694970696</v>
      </c>
      <c r="G19" s="6">
        <f t="shared" si="5"/>
        <v>166.36828505040731</v>
      </c>
      <c r="H19" s="19">
        <f t="shared" si="6"/>
        <v>12.898383040149152</v>
      </c>
      <c r="I19" s="5"/>
      <c r="J19" s="5"/>
      <c r="K19" s="5"/>
      <c r="L19" s="5"/>
      <c r="M19" s="2"/>
      <c r="R19" s="68"/>
      <c r="S19" s="7">
        <v>15</v>
      </c>
      <c r="T19" s="7">
        <f t="shared" si="0"/>
        <v>200</v>
      </c>
      <c r="U19" s="7">
        <f t="shared" si="1"/>
        <v>400</v>
      </c>
      <c r="V19" s="7"/>
    </row>
    <row r="20" spans="2:22" x14ac:dyDescent="0.2">
      <c r="B20" s="16">
        <v>7.63</v>
      </c>
      <c r="C20" s="6">
        <f t="shared" si="7"/>
        <v>12.895608234611434</v>
      </c>
      <c r="D20" s="6">
        <f t="shared" si="2"/>
        <v>12.901158442754156</v>
      </c>
      <c r="E20" s="10">
        <f t="shared" si="3"/>
        <v>3.1050825588110342E-3</v>
      </c>
      <c r="F20" s="6">
        <f t="shared" si="4"/>
        <v>1.0004303952199654</v>
      </c>
      <c r="G20" s="6">
        <f t="shared" si="5"/>
        <v>166.36828505040731</v>
      </c>
      <c r="H20" s="19">
        <f t="shared" si="6"/>
        <v>12.898383040149152</v>
      </c>
      <c r="I20" s="5"/>
      <c r="J20" s="5"/>
      <c r="K20" s="5"/>
      <c r="L20" s="5"/>
      <c r="R20" s="68"/>
      <c r="S20" s="7">
        <v>16</v>
      </c>
      <c r="T20" s="7">
        <f t="shared" si="0"/>
        <v>0</v>
      </c>
      <c r="U20" s="7">
        <f t="shared" si="1"/>
        <v>200</v>
      </c>
      <c r="V20" s="7"/>
    </row>
    <row r="21" spans="2:22" x14ac:dyDescent="0.2">
      <c r="B21" s="70"/>
      <c r="C21" s="71"/>
      <c r="D21" s="71"/>
      <c r="E21" s="72"/>
      <c r="F21" s="8" t="s">
        <v>13</v>
      </c>
      <c r="G21" s="70"/>
      <c r="H21" s="72"/>
      <c r="I21" s="14">
        <f>1/SQRT(F20)-1/SQRT(F12)</f>
        <v>0.59154701610658389</v>
      </c>
      <c r="J21" s="14">
        <v>0</v>
      </c>
      <c r="K21" s="17">
        <f>H20*I21</f>
        <v>7.629999999999999</v>
      </c>
      <c r="L21" s="5">
        <v>0</v>
      </c>
      <c r="M21" s="2">
        <f>C3/(C2*SQRT(C7))-C2/SQRT(C8)</f>
        <v>7.6331044939182933</v>
      </c>
      <c r="R21" s="68"/>
      <c r="S21" s="7">
        <v>17</v>
      </c>
      <c r="T21" s="7">
        <f t="shared" si="0"/>
        <v>-200</v>
      </c>
      <c r="U21" s="7">
        <f t="shared" si="1"/>
        <v>0</v>
      </c>
      <c r="V21" s="7"/>
    </row>
    <row r="22" spans="2:22" x14ac:dyDescent="0.2">
      <c r="C22" s="2"/>
      <c r="E22" s="3"/>
      <c r="F22" s="2"/>
      <c r="R22" s="68"/>
      <c r="S22" s="7">
        <v>18</v>
      </c>
      <c r="T22" s="7">
        <f t="shared" si="0"/>
        <v>-400</v>
      </c>
      <c r="U22" s="7">
        <f t="shared" si="1"/>
        <v>-200</v>
      </c>
      <c r="V22" s="7"/>
    </row>
    <row r="23" spans="2:22" x14ac:dyDescent="0.2">
      <c r="C23" s="2"/>
      <c r="E23" s="3"/>
      <c r="F23" s="2"/>
      <c r="R23" s="23" t="s">
        <v>20</v>
      </c>
      <c r="S23" s="7">
        <v>19</v>
      </c>
      <c r="T23" s="7">
        <f t="shared" si="0"/>
        <v>-600</v>
      </c>
      <c r="U23" s="7">
        <f t="shared" si="1"/>
        <v>-400</v>
      </c>
      <c r="V23" s="7"/>
    </row>
    <row r="24" spans="2:22" x14ac:dyDescent="0.2">
      <c r="R24" s="23" t="s">
        <v>19</v>
      </c>
      <c r="S24" s="7">
        <v>20</v>
      </c>
      <c r="T24" s="7">
        <f t="shared" si="0"/>
        <v>-800</v>
      </c>
      <c r="U24" s="7">
        <f t="shared" si="1"/>
        <v>-600</v>
      </c>
      <c r="V24" s="7"/>
    </row>
    <row r="41" spans="6:29" ht="17" thickBot="1" x14ac:dyDescent="0.25"/>
    <row r="42" spans="6:29" ht="17" thickBot="1" x14ac:dyDescent="0.25">
      <c r="L42" s="30" t="s">
        <v>26</v>
      </c>
      <c r="M42" s="31">
        <v>100</v>
      </c>
    </row>
    <row r="43" spans="6:29" x14ac:dyDescent="0.2">
      <c r="W43" s="36">
        <v>0</v>
      </c>
      <c r="X43" s="36">
        <v>1</v>
      </c>
      <c r="Y43" s="36">
        <v>2</v>
      </c>
      <c r="Z43" s="36">
        <v>3</v>
      </c>
      <c r="AA43" s="36">
        <v>4</v>
      </c>
      <c r="AB43" s="36">
        <v>5</v>
      </c>
    </row>
    <row r="44" spans="6:29" x14ac:dyDescent="0.2">
      <c r="W44" s="36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</row>
    <row r="45" spans="6:29" x14ac:dyDescent="0.2">
      <c r="G45" t="s">
        <v>27</v>
      </c>
      <c r="H45" t="s">
        <v>4</v>
      </c>
      <c r="I45" t="s">
        <v>5</v>
      </c>
      <c r="J45" t="s">
        <v>0</v>
      </c>
      <c r="K45" t="s">
        <v>1</v>
      </c>
      <c r="L45" t="s">
        <v>29</v>
      </c>
      <c r="M45" t="s">
        <v>28</v>
      </c>
      <c r="N45" t="s">
        <v>30</v>
      </c>
      <c r="O45" t="s">
        <v>31</v>
      </c>
      <c r="P45" t="s">
        <v>4</v>
      </c>
      <c r="Q45" t="s">
        <v>5</v>
      </c>
      <c r="W45" s="36">
        <v>1</v>
      </c>
      <c r="X45" s="35">
        <v>3.8965E-2</v>
      </c>
      <c r="Y45" s="35">
        <v>0</v>
      </c>
      <c r="Z45" s="35">
        <v>1</v>
      </c>
      <c r="AA45" s="35">
        <v>6</v>
      </c>
      <c r="AB45" s="35">
        <v>5</v>
      </c>
      <c r="AC45" s="35">
        <v>1</v>
      </c>
    </row>
    <row r="46" spans="6:29" x14ac:dyDescent="0.2">
      <c r="F46">
        <f>ABS(H46-I46)</f>
        <v>4.7480897775755722</v>
      </c>
      <c r="G46" s="67">
        <v>2.5</v>
      </c>
      <c r="H46" s="27">
        <v>54.494897427831788</v>
      </c>
      <c r="I46" s="28">
        <f>(M46/J46+H46/SQRT(K46))*SQRT(J46)</f>
        <v>49.746807650256216</v>
      </c>
      <c r="J46">
        <v>5</v>
      </c>
      <c r="K46">
        <v>6</v>
      </c>
      <c r="L46">
        <v>0</v>
      </c>
      <c r="M46">
        <f>$M$42*L46</f>
        <v>0</v>
      </c>
      <c r="N46">
        <f>M46/G46</f>
        <v>0</v>
      </c>
      <c r="P46">
        <f>N46*SQRT(J46*K46)/(SQRT(K46)-SQRT(J46))</f>
        <v>0</v>
      </c>
      <c r="T46">
        <f>SQRT(6)/(SQRT(6)-SQRT(4))</f>
        <v>5.4494897427831805</v>
      </c>
      <c r="W46" s="36">
        <v>2</v>
      </c>
      <c r="X46" s="35">
        <v>5.2786E-2</v>
      </c>
      <c r="Y46" s="35">
        <v>0</v>
      </c>
      <c r="Z46" s="35">
        <v>1</v>
      </c>
      <c r="AA46" s="35">
        <v>5</v>
      </c>
      <c r="AB46" s="35">
        <v>4</v>
      </c>
      <c r="AC46" s="35">
        <v>2</v>
      </c>
    </row>
    <row r="47" spans="6:29" x14ac:dyDescent="0.2">
      <c r="G47" s="67"/>
      <c r="J47" s="4">
        <v>4</v>
      </c>
      <c r="K47" s="4">
        <v>5</v>
      </c>
      <c r="L47" s="4">
        <v>0</v>
      </c>
      <c r="M47" s="4">
        <f>$M$42*L47</f>
        <v>0</v>
      </c>
      <c r="N47">
        <f>M47/G46</f>
        <v>0</v>
      </c>
      <c r="P47">
        <f>N47*SQRT(J47*K47)/(SQRT(K47)-SQRT(J47))</f>
        <v>0</v>
      </c>
      <c r="R47">
        <v>12.496313164876483</v>
      </c>
      <c r="W47" s="36">
        <v>3</v>
      </c>
      <c r="X47" s="35">
        <v>7.7350000000000002E-2</v>
      </c>
      <c r="Y47" s="35">
        <v>0</v>
      </c>
      <c r="Z47" s="35">
        <v>1</v>
      </c>
      <c r="AA47" s="35">
        <v>4</v>
      </c>
      <c r="AB47" s="35">
        <v>3</v>
      </c>
      <c r="AC47" s="35">
        <v>3</v>
      </c>
    </row>
    <row r="48" spans="6:29" x14ac:dyDescent="0.2">
      <c r="G48" s="67"/>
      <c r="J48" s="4">
        <v>3</v>
      </c>
      <c r="K48" s="4">
        <v>4</v>
      </c>
      <c r="L48" s="4">
        <v>0.25</v>
      </c>
      <c r="M48" s="4">
        <f>$M$42*L48</f>
        <v>25</v>
      </c>
      <c r="N48">
        <f>M48/G46</f>
        <v>10</v>
      </c>
      <c r="P48">
        <f>N48*SQRT(J48*K48)/(SQRT(K48)-SQRT(J48))</f>
        <v>129.28203230275503</v>
      </c>
      <c r="Q48">
        <f>(N48+P48/SQRT(K48))*(O48+P48*SQRT(J48))</f>
        <v>16713.843876330597</v>
      </c>
      <c r="R48">
        <f>ABS(Q48-P48^2)</f>
        <v>3.637978807091713E-12</v>
      </c>
      <c r="W48" s="36">
        <v>4</v>
      </c>
      <c r="X48" s="35">
        <v>5.5105000000000001E-2</v>
      </c>
      <c r="Y48" s="35">
        <v>0.16692499999999999</v>
      </c>
      <c r="Z48" s="35">
        <v>1</v>
      </c>
      <c r="AA48" s="35">
        <v>3</v>
      </c>
      <c r="AB48" s="35">
        <v>2</v>
      </c>
      <c r="AC48" s="35">
        <v>4</v>
      </c>
    </row>
    <row r="49" spans="7:29" x14ac:dyDescent="0.2">
      <c r="G49" s="67"/>
      <c r="J49" s="34">
        <v>2</v>
      </c>
      <c r="K49" s="34">
        <v>3</v>
      </c>
      <c r="L49" s="34">
        <v>0.5</v>
      </c>
      <c r="M49" s="34">
        <f>$M$42*L49</f>
        <v>50</v>
      </c>
      <c r="N49">
        <f>N62</f>
        <v>9.0428874802815109</v>
      </c>
      <c r="O49">
        <f>O62</f>
        <v>27.392781299296228</v>
      </c>
      <c r="P49">
        <f>Q54</f>
        <v>164.10206600181226</v>
      </c>
      <c r="W49" s="36">
        <v>5</v>
      </c>
      <c r="X49" s="35">
        <v>0</v>
      </c>
      <c r="Y49" s="35">
        <v>0.41421400000000003</v>
      </c>
      <c r="Z49" s="35">
        <v>1</v>
      </c>
      <c r="AA49" s="35">
        <v>2</v>
      </c>
      <c r="AB49" s="35">
        <v>1</v>
      </c>
      <c r="AC49" s="35">
        <v>5</v>
      </c>
    </row>
    <row r="50" spans="7:29" x14ac:dyDescent="0.2">
      <c r="G50" s="67"/>
      <c r="J50">
        <v>1</v>
      </c>
      <c r="K50">
        <v>2</v>
      </c>
      <c r="L50">
        <v>0.25</v>
      </c>
      <c r="M50">
        <f>$M$42*L50</f>
        <v>25</v>
      </c>
      <c r="O50">
        <f>M50</f>
        <v>25</v>
      </c>
      <c r="P50">
        <f>O50/(SQRT(K50)-SQRT(J50))</f>
        <v>60.355339059327363</v>
      </c>
      <c r="W50" s="36">
        <v>6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6</v>
      </c>
    </row>
    <row r="52" spans="7:29" x14ac:dyDescent="0.2">
      <c r="M52" s="33"/>
      <c r="N52">
        <f>SQRT(G46)*SQRT(K49)/(SQRT(K49)-SQRT(G46))</f>
        <v>18.147087018349549</v>
      </c>
      <c r="O52">
        <f>1/(SQRT(G46)-SQRT(J49))</f>
        <v>5.9907047849145698</v>
      </c>
      <c r="X52">
        <f>N48/X47</f>
        <v>129.28248222365869</v>
      </c>
    </row>
    <row r="53" spans="7:29" x14ac:dyDescent="0.2">
      <c r="M53" s="33" t="s">
        <v>32</v>
      </c>
      <c r="N53" s="33">
        <f>N52/O52</f>
        <v>3.0292073587145278</v>
      </c>
      <c r="O53" s="33"/>
      <c r="U53">
        <f>O52/Y48</f>
        <v>35.888601377352522</v>
      </c>
      <c r="V53">
        <f>N52/X48</f>
        <v>329.31833805189274</v>
      </c>
      <c r="X53">
        <f>N49/X48</f>
        <v>164.10284874841685</v>
      </c>
      <c r="Y53">
        <f>O49/Y48</f>
        <v>164.10232918553979</v>
      </c>
    </row>
    <row r="54" spans="7:29" x14ac:dyDescent="0.2">
      <c r="M54" s="33" t="s">
        <v>33</v>
      </c>
      <c r="N54" s="33">
        <v>50</v>
      </c>
      <c r="O54" s="33"/>
      <c r="Q54">
        <f>N52*N49</f>
        <v>164.10206600181226</v>
      </c>
      <c r="R54">
        <f>O52*O49</f>
        <v>164.10206600181226</v>
      </c>
      <c r="V54">
        <f>V53/2</f>
        <v>164.65916902594637</v>
      </c>
      <c r="Y54">
        <f>O50/Y49</f>
        <v>60.355275292481657</v>
      </c>
    </row>
    <row r="55" spans="7:29" x14ac:dyDescent="0.2">
      <c r="M55" s="33">
        <f>N53+G46</f>
        <v>5.5292073587145278</v>
      </c>
      <c r="N55" s="33">
        <f>N54/M55</f>
        <v>9.0428874802815109</v>
      </c>
      <c r="O55" s="33">
        <f>N54-N55*3.5</f>
        <v>18.34989381901471</v>
      </c>
    </row>
    <row r="58" spans="7:29" x14ac:dyDescent="0.2">
      <c r="N58">
        <f>1/SQRT(G46)-1/SQRT(K49)</f>
        <v>5.510526284405004E-2</v>
      </c>
      <c r="O58">
        <f>SQRT(G46)-SQRT(J49)</f>
        <v>0.16692526771109462</v>
      </c>
    </row>
    <row r="59" spans="7:29" x14ac:dyDescent="0.2">
      <c r="N59">
        <f>N58*P48</f>
        <v>7.1241203710562839</v>
      </c>
      <c r="O59">
        <f>O58*P48</f>
        <v>21.580437852371766</v>
      </c>
      <c r="S59">
        <v>1</v>
      </c>
      <c r="T59">
        <f>1/(1+EXP(-S59))</f>
        <v>0.7310585786300049</v>
      </c>
      <c r="U59">
        <f>-LN(1/T59-1)</f>
        <v>1</v>
      </c>
    </row>
    <row r="60" spans="7:29" x14ac:dyDescent="0.2">
      <c r="N60">
        <f>N58*P49</f>
        <v>9.0428874802815127</v>
      </c>
      <c r="O60">
        <f>O58*P49</f>
        <v>27.392781299296228</v>
      </c>
      <c r="S60">
        <v>2</v>
      </c>
      <c r="T60">
        <f t="shared" ref="T60:T70" si="8">1/(1+EXP(-S60))</f>
        <v>0.88079707797788231</v>
      </c>
      <c r="U60">
        <f t="shared" ref="U60:U70" si="9">-LN(1/T60-1)</f>
        <v>1.9999999999999991</v>
      </c>
    </row>
    <row r="61" spans="7:29" x14ac:dyDescent="0.2">
      <c r="S61">
        <v>3</v>
      </c>
      <c r="T61">
        <f t="shared" si="8"/>
        <v>0.95257412682243336</v>
      </c>
      <c r="U61">
        <f t="shared" si="9"/>
        <v>3.0000000000000022</v>
      </c>
    </row>
    <row r="62" spans="7:29" x14ac:dyDescent="0.2">
      <c r="I62" s="35">
        <v>5.5105000000000001E-2</v>
      </c>
      <c r="J62" s="35">
        <v>0.16692499999999999</v>
      </c>
      <c r="N62">
        <f>M49/(G46+N52/O52)</f>
        <v>9.0428874802815109</v>
      </c>
      <c r="O62">
        <f>N52/O52*N62</f>
        <v>27.392781299296228</v>
      </c>
      <c r="S62">
        <v>4</v>
      </c>
      <c r="T62">
        <f t="shared" si="8"/>
        <v>0.98201379003790845</v>
      </c>
      <c r="U62">
        <f t="shared" si="9"/>
        <v>3.9999999999999978</v>
      </c>
    </row>
    <row r="63" spans="7:29" x14ac:dyDescent="0.2">
      <c r="I63">
        <f>I62*P49</f>
        <v>9.0428443470298649</v>
      </c>
      <c r="J63">
        <f>J62*P49</f>
        <v>27.39273736735251</v>
      </c>
      <c r="S63">
        <v>5</v>
      </c>
      <c r="T63">
        <f t="shared" si="8"/>
        <v>0.99330714907571527</v>
      </c>
      <c r="U63">
        <f t="shared" si="9"/>
        <v>5.0000000000000151</v>
      </c>
    </row>
    <row r="64" spans="7:29" x14ac:dyDescent="0.2">
      <c r="S64">
        <v>6</v>
      </c>
      <c r="T64">
        <f t="shared" si="8"/>
        <v>0.99752737684336534</v>
      </c>
      <c r="U64">
        <f t="shared" si="9"/>
        <v>6.0000000000000373</v>
      </c>
    </row>
    <row r="65" spans="9:21" x14ac:dyDescent="0.2">
      <c r="N65">
        <f>1/SQRT(G46)-1/SQRT(K49)</f>
        <v>5.510526284405004E-2</v>
      </c>
      <c r="S65">
        <v>7</v>
      </c>
      <c r="T65">
        <f t="shared" si="8"/>
        <v>0.9990889488055994</v>
      </c>
      <c r="U65">
        <f t="shared" si="9"/>
        <v>7.0000000000000471</v>
      </c>
    </row>
    <row r="66" spans="9:21" x14ac:dyDescent="0.2">
      <c r="I66" s="35">
        <v>7.7350000000000002E-2</v>
      </c>
      <c r="J66">
        <f>I66*P48</f>
        <v>9.9999651986181011</v>
      </c>
      <c r="N66">
        <f>N65*Q54</f>
        <v>9.0428874802815127</v>
      </c>
      <c r="S66">
        <v>8</v>
      </c>
      <c r="T66">
        <f t="shared" si="8"/>
        <v>0.99966464986953363</v>
      </c>
      <c r="U66">
        <f t="shared" si="9"/>
        <v>8.000000000000318</v>
      </c>
    </row>
    <row r="67" spans="9:21" x14ac:dyDescent="0.2">
      <c r="S67">
        <v>9</v>
      </c>
      <c r="T67">
        <f t="shared" si="8"/>
        <v>0.99987660542401369</v>
      </c>
      <c r="U67">
        <f t="shared" si="9"/>
        <v>8.9999999999993445</v>
      </c>
    </row>
    <row r="68" spans="9:21" x14ac:dyDescent="0.2">
      <c r="N68">
        <f>N49+Q54/SQRT(K49)</f>
        <v>103.78725946100155</v>
      </c>
      <c r="O68">
        <f>O49+Q54*SQRT(J49)</f>
        <v>259.46814865250394</v>
      </c>
      <c r="S68">
        <v>10</v>
      </c>
      <c r="T68">
        <f t="shared" si="8"/>
        <v>0.99995460213129761</v>
      </c>
      <c r="U68">
        <f t="shared" si="9"/>
        <v>9.9999999999998703</v>
      </c>
    </row>
    <row r="69" spans="9:21" x14ac:dyDescent="0.2">
      <c r="S69">
        <v>11</v>
      </c>
      <c r="T69">
        <f t="shared" si="8"/>
        <v>0.99998329857815205</v>
      </c>
      <c r="U69">
        <f t="shared" si="9"/>
        <v>11.00000000000537</v>
      </c>
    </row>
    <row r="70" spans="9:21" x14ac:dyDescent="0.2">
      <c r="O70">
        <f>O68/N68</f>
        <v>2.5000000000000004</v>
      </c>
      <c r="S70">
        <v>12</v>
      </c>
      <c r="T70">
        <f t="shared" si="8"/>
        <v>0.99999385582539779</v>
      </c>
      <c r="U70">
        <f t="shared" si="9"/>
        <v>11.99999999999762</v>
      </c>
    </row>
    <row r="72" spans="9:21" x14ac:dyDescent="0.2">
      <c r="N72">
        <v>10</v>
      </c>
      <c r="O72">
        <v>25</v>
      </c>
    </row>
    <row r="73" spans="9:21" x14ac:dyDescent="0.2">
      <c r="O73">
        <f>N72/X48</f>
        <v>181.4717357771527</v>
      </c>
    </row>
    <row r="74" spans="9:21" x14ac:dyDescent="0.2">
      <c r="O74">
        <f>O72/Y48</f>
        <v>149.76785981728321</v>
      </c>
    </row>
  </sheetData>
  <mergeCells count="9">
    <mergeCell ref="G46:G50"/>
    <mergeCell ref="R7:R13"/>
    <mergeCell ref="I10:J10"/>
    <mergeCell ref="K10:L10"/>
    <mergeCell ref="B11:E11"/>
    <mergeCell ref="G11:H11"/>
    <mergeCell ref="R17:R22"/>
    <mergeCell ref="B21:E21"/>
    <mergeCell ref="G21:H21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0732-D79E-C64C-BC2E-74DE2C0AF6CB}">
  <dimension ref="A2:W84"/>
  <sheetViews>
    <sheetView topLeftCell="A22" zoomScale="90" zoomScaleNormal="90" workbookViewId="0">
      <selection activeCell="Q54" sqref="Q54"/>
    </sheetView>
  </sheetViews>
  <sheetFormatPr baseColWidth="10" defaultRowHeight="16" x14ac:dyDescent="0.2"/>
  <cols>
    <col min="2" max="2" width="5.83203125" customWidth="1"/>
    <col min="3" max="7" width="9.33203125" customWidth="1"/>
    <col min="8" max="9" width="15.6640625" customWidth="1"/>
    <col min="10" max="10" width="12.6640625" customWidth="1"/>
    <col min="11" max="13" width="9.33203125" customWidth="1"/>
    <col min="15" max="15" width="13.5" bestFit="1" customWidth="1"/>
  </cols>
  <sheetData>
    <row r="2" spans="1:23" x14ac:dyDescent="0.2">
      <c r="B2" s="21" t="s">
        <v>4</v>
      </c>
      <c r="C2" s="19">
        <v>12.898053360195345</v>
      </c>
      <c r="D2" s="1"/>
    </row>
    <row r="3" spans="1:23" x14ac:dyDescent="0.2">
      <c r="B3" s="21" t="s">
        <v>5</v>
      </c>
      <c r="C3" s="6">
        <f>(C4+C2/SQRT(C8))*(C5+C2*SQRT(C7))</f>
        <v>166.36828505040731</v>
      </c>
      <c r="D3" s="1">
        <f>ABS(C3-C2^2)</f>
        <v>8.5045679608981573E-3</v>
      </c>
      <c r="E3" s="1"/>
      <c r="F3" s="1"/>
    </row>
    <row r="4" spans="1:23" x14ac:dyDescent="0.2">
      <c r="B4" s="21" t="s">
        <v>2</v>
      </c>
      <c r="C4" s="5">
        <v>2</v>
      </c>
      <c r="R4" s="7" t="s">
        <v>21</v>
      </c>
      <c r="S4" s="7" t="s">
        <v>15</v>
      </c>
      <c r="T4" s="7" t="s">
        <v>22</v>
      </c>
      <c r="U4" s="7" t="s">
        <v>23</v>
      </c>
      <c r="V4" s="7" t="s">
        <v>24</v>
      </c>
      <c r="W4" s="24" t="s">
        <v>25</v>
      </c>
    </row>
    <row r="5" spans="1:23" x14ac:dyDescent="0.2">
      <c r="B5" s="21" t="s">
        <v>3</v>
      </c>
      <c r="C5" s="5">
        <v>10</v>
      </c>
      <c r="R5" s="7" t="s">
        <v>16</v>
      </c>
      <c r="S5" s="7">
        <v>1</v>
      </c>
      <c r="T5" s="7">
        <v>3000</v>
      </c>
      <c r="U5" s="7">
        <v>4100</v>
      </c>
      <c r="V5" s="7"/>
      <c r="W5">
        <v>4000</v>
      </c>
    </row>
    <row r="6" spans="1:23" x14ac:dyDescent="0.2">
      <c r="B6" s="21" t="s">
        <v>10</v>
      </c>
      <c r="C6" s="5">
        <f>C5/C4</f>
        <v>5</v>
      </c>
      <c r="R6" s="7" t="s">
        <v>17</v>
      </c>
      <c r="S6" s="7">
        <v>2</v>
      </c>
      <c r="T6" s="7">
        <f>U6-200</f>
        <v>2800</v>
      </c>
      <c r="U6" s="7">
        <f>T5</f>
        <v>3000</v>
      </c>
      <c r="V6" s="7"/>
    </row>
    <row r="7" spans="1:23" x14ac:dyDescent="0.2">
      <c r="B7" s="21" t="s">
        <v>0</v>
      </c>
      <c r="C7" s="5">
        <v>1</v>
      </c>
      <c r="R7" s="68" t="s">
        <v>18</v>
      </c>
      <c r="S7" s="7">
        <v>3</v>
      </c>
      <c r="T7" s="7">
        <f t="shared" ref="T7:T24" si="0">U7-200</f>
        <v>2600</v>
      </c>
      <c r="U7" s="7">
        <f t="shared" ref="U7:U24" si="1">T6</f>
        <v>2800</v>
      </c>
      <c r="V7" s="7"/>
    </row>
    <row r="8" spans="1:23" x14ac:dyDescent="0.2">
      <c r="B8" s="21" t="s">
        <v>1</v>
      </c>
      <c r="C8" s="5">
        <v>6</v>
      </c>
      <c r="R8" s="68"/>
      <c r="S8" s="7">
        <v>4</v>
      </c>
      <c r="T8" s="7">
        <f t="shared" si="0"/>
        <v>2400</v>
      </c>
      <c r="U8" s="7">
        <f t="shared" si="1"/>
        <v>2600</v>
      </c>
      <c r="V8" s="7"/>
    </row>
    <row r="9" spans="1:23" x14ac:dyDescent="0.2">
      <c r="R9" s="68"/>
      <c r="S9" s="7">
        <v>5</v>
      </c>
      <c r="T9" s="7">
        <f t="shared" si="0"/>
        <v>2200</v>
      </c>
      <c r="U9" s="7">
        <f t="shared" si="1"/>
        <v>2400</v>
      </c>
      <c r="V9" s="7"/>
    </row>
    <row r="10" spans="1:23" x14ac:dyDescent="0.2">
      <c r="B10" s="21" t="s">
        <v>9</v>
      </c>
      <c r="C10" s="21" t="s">
        <v>6</v>
      </c>
      <c r="D10" s="21" t="s">
        <v>7</v>
      </c>
      <c r="E10" s="21" t="s">
        <v>8</v>
      </c>
      <c r="F10" s="21" t="s">
        <v>10</v>
      </c>
      <c r="G10" s="21" t="s">
        <v>5</v>
      </c>
      <c r="H10" s="21" t="s">
        <v>4</v>
      </c>
      <c r="I10" s="69" t="s">
        <v>14</v>
      </c>
      <c r="J10" s="69"/>
      <c r="K10" s="69" t="s">
        <v>11</v>
      </c>
      <c r="L10" s="69"/>
      <c r="R10" s="68"/>
      <c r="S10" s="7">
        <v>6</v>
      </c>
      <c r="T10" s="7">
        <f t="shared" si="0"/>
        <v>2000</v>
      </c>
      <c r="U10" s="7">
        <f t="shared" si="1"/>
        <v>2200</v>
      </c>
      <c r="V10" s="7"/>
    </row>
    <row r="11" spans="1:23" x14ac:dyDescent="0.2">
      <c r="B11" s="70"/>
      <c r="C11" s="71"/>
      <c r="D11" s="71"/>
      <c r="E11" s="72"/>
      <c r="F11" s="5" t="s">
        <v>12</v>
      </c>
      <c r="G11" s="70"/>
      <c r="H11" s="72"/>
      <c r="I11" s="5">
        <v>0</v>
      </c>
      <c r="J11" s="25">
        <f>SQRT(F12)-SQRT(F20)</f>
        <v>1.4493371783654252</v>
      </c>
      <c r="K11" s="5">
        <v>0</v>
      </c>
      <c r="L11" s="9">
        <f>H12*J11</f>
        <v>18.694106080886229</v>
      </c>
      <c r="R11" s="68"/>
      <c r="S11" s="7">
        <v>7</v>
      </c>
      <c r="T11" s="7">
        <f t="shared" si="0"/>
        <v>1800</v>
      </c>
      <c r="U11" s="7">
        <f t="shared" si="1"/>
        <v>2000</v>
      </c>
      <c r="V11" s="7"/>
    </row>
    <row r="12" spans="1:23" x14ac:dyDescent="0.2">
      <c r="B12" s="5">
        <v>0</v>
      </c>
      <c r="C12" s="6">
        <f>B12+$C$2/SQRT($C$8)</f>
        <v>5.2656082346114337</v>
      </c>
      <c r="D12" s="6">
        <f t="shared" ref="D12:D20" si="2">$C$3/C12</f>
        <v>31.595264523640385</v>
      </c>
      <c r="E12" s="18">
        <f>D12-$C$2*SQRT($C$7)</f>
        <v>18.69721116344504</v>
      </c>
      <c r="F12" s="6">
        <f>D12/C12</f>
        <v>6.0003067292323733</v>
      </c>
      <c r="G12" s="6">
        <f>D12*C12</f>
        <v>166.36828505040731</v>
      </c>
      <c r="H12" s="19">
        <f>SQRT(G12)</f>
        <v>12.898383040149152</v>
      </c>
      <c r="I12" s="5"/>
      <c r="J12" s="7"/>
      <c r="K12" s="5"/>
      <c r="L12" s="5"/>
      <c r="R12" s="68"/>
      <c r="S12" s="7">
        <v>8</v>
      </c>
      <c r="T12" s="7">
        <f t="shared" si="0"/>
        <v>1600</v>
      </c>
      <c r="U12" s="7">
        <f t="shared" si="1"/>
        <v>1800</v>
      </c>
      <c r="V12" s="7"/>
    </row>
    <row r="13" spans="1:23" x14ac:dyDescent="0.2">
      <c r="B13" s="5">
        <v>1</v>
      </c>
      <c r="C13" s="6">
        <f>B13+$C$2/SQRT($C$8)</f>
        <v>6.2656082346114337</v>
      </c>
      <c r="D13" s="6">
        <f t="shared" si="2"/>
        <v>26.552615296210707</v>
      </c>
      <c r="E13" s="10">
        <f t="shared" ref="E13:E20" si="3">D13-$C$2*SQRT($C$7)</f>
        <v>13.654561936015362</v>
      </c>
      <c r="F13" s="6">
        <f t="shared" ref="F13:F20" si="4">D13/C13</f>
        <v>4.2378352271584987</v>
      </c>
      <c r="G13" s="6">
        <f t="shared" ref="G13:G20" si="5">D13*C13</f>
        <v>166.36828505040731</v>
      </c>
      <c r="H13" s="19">
        <f t="shared" ref="H13:H20" si="6">SQRT(G13)</f>
        <v>12.898383040149152</v>
      </c>
      <c r="I13" s="5"/>
      <c r="J13" s="5"/>
      <c r="K13" s="5"/>
      <c r="L13" s="5"/>
      <c r="R13" s="68"/>
      <c r="S13" s="7">
        <v>9</v>
      </c>
      <c r="T13" s="7">
        <f t="shared" si="0"/>
        <v>1400</v>
      </c>
      <c r="U13" s="7">
        <f t="shared" si="1"/>
        <v>1600</v>
      </c>
      <c r="V13" s="7"/>
    </row>
    <row r="14" spans="1:23" x14ac:dyDescent="0.2">
      <c r="B14" s="5">
        <v>2</v>
      </c>
      <c r="C14" s="6">
        <f>B14+$C$2/SQRT($C$8)</f>
        <v>7.2656082346114337</v>
      </c>
      <c r="D14" s="6">
        <f t="shared" si="2"/>
        <v>22.898053360195345</v>
      </c>
      <c r="E14" s="10">
        <f t="shared" si="3"/>
        <v>10</v>
      </c>
      <c r="F14" s="6">
        <f t="shared" si="4"/>
        <v>3.1515673045946908</v>
      </c>
      <c r="G14" s="6">
        <f t="shared" si="5"/>
        <v>166.36828505040731</v>
      </c>
      <c r="H14" s="19">
        <f t="shared" si="6"/>
        <v>12.898383040149152</v>
      </c>
      <c r="I14" s="5"/>
      <c r="J14" s="5"/>
      <c r="K14" s="5"/>
      <c r="L14" s="5"/>
      <c r="M14" s="2"/>
      <c r="R14" s="7">
        <v>0</v>
      </c>
      <c r="S14" s="7">
        <v>10</v>
      </c>
      <c r="T14" s="7">
        <f t="shared" si="0"/>
        <v>1200</v>
      </c>
      <c r="U14" s="7">
        <f t="shared" si="1"/>
        <v>1400</v>
      </c>
      <c r="V14" s="7"/>
    </row>
    <row r="15" spans="1:23" x14ac:dyDescent="0.2">
      <c r="B15" s="5">
        <v>3</v>
      </c>
      <c r="C15" s="6">
        <f t="shared" ref="C15:C20" si="7">B15+$C$2/SQRT($C$8)</f>
        <v>8.2656082346114346</v>
      </c>
      <c r="D15" s="6">
        <f t="shared" si="2"/>
        <v>20.127772854483499</v>
      </c>
      <c r="E15" s="10">
        <f t="shared" si="3"/>
        <v>7.2297194942881546</v>
      </c>
      <c r="F15" s="6">
        <f t="shared" si="4"/>
        <v>2.4351230161381712</v>
      </c>
      <c r="G15" s="6">
        <f t="shared" si="5"/>
        <v>166.36828505040731</v>
      </c>
      <c r="H15" s="19">
        <f t="shared" si="6"/>
        <v>12.898383040149152</v>
      </c>
      <c r="I15" s="14">
        <f>1/SQRT(F15)-1/SQRT(F12)</f>
        <v>0.23258729335776562</v>
      </c>
      <c r="J15" s="8">
        <f>SQRT(F15)-SQRT(F20)</f>
        <v>0.56027289538811664</v>
      </c>
      <c r="K15" s="15">
        <f>H15*I15</f>
        <v>2.9999999999999996</v>
      </c>
      <c r="L15" s="15">
        <f>H15*J15</f>
        <v>7.2266144117293436</v>
      </c>
      <c r="R15" s="7">
        <v>-1</v>
      </c>
      <c r="S15" s="7">
        <v>11</v>
      </c>
      <c r="T15" s="7">
        <f t="shared" si="0"/>
        <v>1000</v>
      </c>
      <c r="U15" s="7">
        <f t="shared" si="1"/>
        <v>1200</v>
      </c>
      <c r="V15" s="7"/>
    </row>
    <row r="16" spans="1:23" s="4" customFormat="1" x14ac:dyDescent="0.2">
      <c r="A16" s="29">
        <f>F16*B16+E16</f>
        <v>12.80885445234377</v>
      </c>
      <c r="B16" s="11">
        <v>4</v>
      </c>
      <c r="C16" s="12">
        <f t="shared" si="7"/>
        <v>9.2656082346114346</v>
      </c>
      <c r="D16" s="12">
        <f t="shared" si="2"/>
        <v>17.955462915963032</v>
      </c>
      <c r="E16" s="13">
        <f t="shared" si="3"/>
        <v>5.0574095557676877</v>
      </c>
      <c r="F16" s="12">
        <f t="shared" si="4"/>
        <v>1.9378612241440205</v>
      </c>
      <c r="G16" s="12">
        <f t="shared" si="5"/>
        <v>166.36828505040731</v>
      </c>
      <c r="H16" s="20">
        <f t="shared" si="6"/>
        <v>12.898383040149152</v>
      </c>
      <c r="I16" s="14">
        <f>1/SQRT(F16)-1/SQRT(F12)</f>
        <v>0.31011639114368761</v>
      </c>
      <c r="J16" s="8">
        <f>SQRT(F16)-SQRT(F20)</f>
        <v>0.39185566574323327</v>
      </c>
      <c r="K16" s="15">
        <f>H16*I16</f>
        <v>4.0000000000000009</v>
      </c>
      <c r="L16" s="15">
        <f>H16*J16</f>
        <v>5.0543044732088749</v>
      </c>
      <c r="M16"/>
      <c r="N16" s="26">
        <f>I11-I16</f>
        <v>-0.31011639114368761</v>
      </c>
      <c r="O16" s="26">
        <f>J11-J16</f>
        <v>1.0574815126221919</v>
      </c>
      <c r="P16" s="26">
        <f>L11-L16</f>
        <v>13.639801607677354</v>
      </c>
      <c r="R16" s="22">
        <v>-2</v>
      </c>
      <c r="S16" s="7">
        <v>12</v>
      </c>
      <c r="T16" s="7">
        <f t="shared" si="0"/>
        <v>800</v>
      </c>
      <c r="U16" s="7">
        <f t="shared" si="1"/>
        <v>1000</v>
      </c>
      <c r="V16" s="22"/>
    </row>
    <row r="17" spans="2:22" x14ac:dyDescent="0.2">
      <c r="B17" s="5">
        <v>5</v>
      </c>
      <c r="C17" s="6">
        <f t="shared" si="7"/>
        <v>10.265608234611435</v>
      </c>
      <c r="D17" s="6">
        <f t="shared" si="2"/>
        <v>16.206373869741245</v>
      </c>
      <c r="E17" s="10">
        <f t="shared" si="3"/>
        <v>3.3083205095459007</v>
      </c>
      <c r="F17" s="6">
        <f t="shared" si="4"/>
        <v>1.5787056645216577</v>
      </c>
      <c r="G17" s="6">
        <f t="shared" si="5"/>
        <v>166.36828505040731</v>
      </c>
      <c r="H17" s="19">
        <f t="shared" si="6"/>
        <v>12.898383040149152</v>
      </c>
      <c r="I17" s="5"/>
      <c r="J17" s="5"/>
      <c r="K17" s="5"/>
      <c r="L17" s="5"/>
      <c r="O17">
        <f>O16*H15</f>
        <v>13.639801607677352</v>
      </c>
      <c r="R17" s="68" t="s">
        <v>18</v>
      </c>
      <c r="S17" s="7">
        <v>13</v>
      </c>
      <c r="T17" s="7">
        <f t="shared" si="0"/>
        <v>600</v>
      </c>
      <c r="U17" s="7">
        <f t="shared" si="1"/>
        <v>800</v>
      </c>
      <c r="V17" s="7"/>
    </row>
    <row r="18" spans="2:22" x14ac:dyDescent="0.2">
      <c r="B18" s="5">
        <v>6</v>
      </c>
      <c r="C18" s="6">
        <f t="shared" si="7"/>
        <v>11.265608234611435</v>
      </c>
      <c r="D18" s="6">
        <f t="shared" si="2"/>
        <v>14.767803174556741</v>
      </c>
      <c r="E18" s="10">
        <f t="shared" si="3"/>
        <v>1.8697498143613966</v>
      </c>
      <c r="F18" s="6">
        <f t="shared" si="4"/>
        <v>1.3108749094598799</v>
      </c>
      <c r="G18" s="6">
        <f t="shared" si="5"/>
        <v>166.36828505040731</v>
      </c>
      <c r="H18" s="19">
        <f t="shared" si="6"/>
        <v>12.898383040149152</v>
      </c>
      <c r="I18" s="5"/>
      <c r="J18" s="5"/>
      <c r="K18" s="5"/>
      <c r="L18" s="5"/>
      <c r="R18" s="68"/>
      <c r="S18" s="7">
        <v>14</v>
      </c>
      <c r="T18" s="7">
        <f t="shared" si="0"/>
        <v>400</v>
      </c>
      <c r="U18" s="7">
        <f t="shared" si="1"/>
        <v>600</v>
      </c>
      <c r="V18" s="7"/>
    </row>
    <row r="19" spans="2:22" x14ac:dyDescent="0.2">
      <c r="B19" s="5">
        <v>7</v>
      </c>
      <c r="C19" s="6">
        <f t="shared" si="7"/>
        <v>12.265608234611435</v>
      </c>
      <c r="D19" s="6">
        <f t="shared" si="2"/>
        <v>13.563802289147361</v>
      </c>
      <c r="E19" s="10">
        <f t="shared" si="3"/>
        <v>0.66574892895201643</v>
      </c>
      <c r="F19" s="6">
        <f t="shared" si="4"/>
        <v>1.1058401694970696</v>
      </c>
      <c r="G19" s="6">
        <f t="shared" si="5"/>
        <v>166.36828505040731</v>
      </c>
      <c r="H19" s="19">
        <f t="shared" si="6"/>
        <v>12.898383040149152</v>
      </c>
      <c r="I19" s="5"/>
      <c r="J19" s="5"/>
      <c r="K19" s="5"/>
      <c r="L19" s="5"/>
      <c r="M19" s="2"/>
      <c r="R19" s="68"/>
      <c r="S19" s="7">
        <v>15</v>
      </c>
      <c r="T19" s="7">
        <f t="shared" si="0"/>
        <v>200</v>
      </c>
      <c r="U19" s="7">
        <f t="shared" si="1"/>
        <v>400</v>
      </c>
      <c r="V19" s="7"/>
    </row>
    <row r="20" spans="2:22" x14ac:dyDescent="0.2">
      <c r="B20" s="16">
        <v>7.63</v>
      </c>
      <c r="C20" s="6">
        <f t="shared" si="7"/>
        <v>12.895608234611434</v>
      </c>
      <c r="D20" s="6">
        <f t="shared" si="2"/>
        <v>12.901158442754156</v>
      </c>
      <c r="E20" s="10">
        <f t="shared" si="3"/>
        <v>3.1050825588110342E-3</v>
      </c>
      <c r="F20" s="6">
        <f t="shared" si="4"/>
        <v>1.0004303952199654</v>
      </c>
      <c r="G20" s="6">
        <f t="shared" si="5"/>
        <v>166.36828505040731</v>
      </c>
      <c r="H20" s="19">
        <f t="shared" si="6"/>
        <v>12.898383040149152</v>
      </c>
      <c r="I20" s="5"/>
      <c r="J20" s="5"/>
      <c r="K20" s="5"/>
      <c r="L20" s="5"/>
      <c r="R20" s="68"/>
      <c r="S20" s="7">
        <v>16</v>
      </c>
      <c r="T20" s="7">
        <f t="shared" si="0"/>
        <v>0</v>
      </c>
      <c r="U20" s="7">
        <f t="shared" si="1"/>
        <v>200</v>
      </c>
      <c r="V20" s="7"/>
    </row>
    <row r="21" spans="2:22" x14ac:dyDescent="0.2">
      <c r="B21" s="70"/>
      <c r="C21" s="71"/>
      <c r="D21" s="71"/>
      <c r="E21" s="72"/>
      <c r="F21" s="8" t="s">
        <v>13</v>
      </c>
      <c r="G21" s="70"/>
      <c r="H21" s="72"/>
      <c r="I21" s="14">
        <f>1/SQRT(F20)-1/SQRT(F12)</f>
        <v>0.59154701610658389</v>
      </c>
      <c r="J21" s="14">
        <v>0</v>
      </c>
      <c r="K21" s="17">
        <f>H20*I21</f>
        <v>7.629999999999999</v>
      </c>
      <c r="L21" s="5">
        <v>0</v>
      </c>
      <c r="M21" s="2">
        <f>C3/(C2*SQRT(C7))-C2/SQRT(C8)</f>
        <v>7.6331044939182933</v>
      </c>
      <c r="R21" s="68"/>
      <c r="S21" s="7">
        <v>17</v>
      </c>
      <c r="T21" s="7">
        <f t="shared" si="0"/>
        <v>-200</v>
      </c>
      <c r="U21" s="7">
        <f t="shared" si="1"/>
        <v>0</v>
      </c>
      <c r="V21" s="7"/>
    </row>
    <row r="22" spans="2:22" x14ac:dyDescent="0.2">
      <c r="C22" s="2"/>
      <c r="E22" s="3"/>
      <c r="F22" s="2"/>
      <c r="R22" s="68"/>
      <c r="S22" s="7">
        <v>18</v>
      </c>
      <c r="T22" s="7">
        <f t="shared" si="0"/>
        <v>-400</v>
      </c>
      <c r="U22" s="7">
        <f t="shared" si="1"/>
        <v>-200</v>
      </c>
      <c r="V22" s="7"/>
    </row>
    <row r="23" spans="2:22" x14ac:dyDescent="0.2">
      <c r="C23" s="2"/>
      <c r="E23" s="3"/>
      <c r="F23" s="2"/>
      <c r="R23" s="23" t="s">
        <v>20</v>
      </c>
      <c r="S23" s="7">
        <v>19</v>
      </c>
      <c r="T23" s="7">
        <f t="shared" si="0"/>
        <v>-600</v>
      </c>
      <c r="U23" s="7">
        <f t="shared" si="1"/>
        <v>-400</v>
      </c>
      <c r="V23" s="7"/>
    </row>
    <row r="24" spans="2:22" x14ac:dyDescent="0.2">
      <c r="R24" s="23" t="s">
        <v>19</v>
      </c>
      <c r="S24" s="7">
        <v>20</v>
      </c>
      <c r="T24" s="7">
        <f t="shared" si="0"/>
        <v>-800</v>
      </c>
      <c r="U24" s="7">
        <f t="shared" si="1"/>
        <v>-600</v>
      </c>
      <c r="V24" s="7"/>
    </row>
    <row r="38" spans="6:23" x14ac:dyDescent="0.2">
      <c r="T38">
        <f>SQRT(5)</f>
        <v>2.2360679774997898</v>
      </c>
      <c r="U38">
        <f>T38-T39</f>
        <v>0.23606797749978981</v>
      </c>
      <c r="V38">
        <f>SQRT(6)</f>
        <v>2.4494897427831779</v>
      </c>
      <c r="W38">
        <f>V38-V39</f>
        <v>0.21342176528338808</v>
      </c>
    </row>
    <row r="39" spans="6:23" x14ac:dyDescent="0.2">
      <c r="T39">
        <f>SQRT(4)</f>
        <v>2</v>
      </c>
      <c r="V39">
        <f>SQRT(5)</f>
        <v>2.2360679774997898</v>
      </c>
    </row>
    <row r="41" spans="6:23" ht="17" thickBot="1" x14ac:dyDescent="0.25"/>
    <row r="42" spans="6:23" ht="17" thickBot="1" x14ac:dyDescent="0.25">
      <c r="L42" s="30" t="s">
        <v>26</v>
      </c>
      <c r="M42" s="31">
        <v>100</v>
      </c>
    </row>
    <row r="45" spans="6:23" x14ac:dyDescent="0.2">
      <c r="G45" t="s">
        <v>27</v>
      </c>
      <c r="H45" t="s">
        <v>4</v>
      </c>
      <c r="I45" t="s">
        <v>5</v>
      </c>
      <c r="J45" t="s">
        <v>0</v>
      </c>
      <c r="K45" t="s">
        <v>1</v>
      </c>
      <c r="L45" t="s">
        <v>29</v>
      </c>
      <c r="M45" t="s">
        <v>28</v>
      </c>
      <c r="N45" t="s">
        <v>30</v>
      </c>
      <c r="O45" t="s">
        <v>31</v>
      </c>
      <c r="P45" t="s">
        <v>4</v>
      </c>
      <c r="Q45" t="s">
        <v>5</v>
      </c>
    </row>
    <row r="46" spans="6:23" x14ac:dyDescent="0.2">
      <c r="F46">
        <f>ABS(H46-I46)</f>
        <v>4.7480897775755722</v>
      </c>
      <c r="G46" s="67">
        <v>3.1</v>
      </c>
      <c r="H46" s="27">
        <v>54.494897427831788</v>
      </c>
      <c r="I46" s="28">
        <f>(M46/J46+H46/SQRT(K46))*SQRT(J46)</f>
        <v>49.746807650256216</v>
      </c>
      <c r="J46">
        <v>5</v>
      </c>
      <c r="K46">
        <v>6</v>
      </c>
      <c r="L46">
        <f>'Лист1 (3)'!L46</f>
        <v>0</v>
      </c>
      <c r="M46">
        <f>$M$42*L46</f>
        <v>0</v>
      </c>
      <c r="N46">
        <f>M46/G46</f>
        <v>0</v>
      </c>
      <c r="P46">
        <f>'Лист1 (3)'!P46</f>
        <v>0</v>
      </c>
      <c r="T46">
        <f>SQRT(6)/(SQRT(6)-SQRT(4))</f>
        <v>5.4494897427831805</v>
      </c>
    </row>
    <row r="47" spans="6:23" x14ac:dyDescent="0.2">
      <c r="G47" s="67"/>
      <c r="J47">
        <v>4</v>
      </c>
      <c r="K47">
        <v>5</v>
      </c>
      <c r="L47">
        <f>'Лист1 (3)'!L47</f>
        <v>0</v>
      </c>
      <c r="M47">
        <f>$M$42*L47</f>
        <v>0</v>
      </c>
      <c r="N47">
        <f>M47/G46</f>
        <v>0</v>
      </c>
      <c r="P47">
        <f>'Лист1 (3)'!P47</f>
        <v>0</v>
      </c>
      <c r="R47">
        <v>12.496313164876483</v>
      </c>
    </row>
    <row r="48" spans="6:23" x14ac:dyDescent="0.2">
      <c r="G48" s="67"/>
      <c r="J48" s="32">
        <v>3</v>
      </c>
      <c r="K48" s="32">
        <v>4</v>
      </c>
      <c r="L48">
        <f>'Лист1 (3)'!L48</f>
        <v>0.25</v>
      </c>
      <c r="M48" s="32">
        <f>$M$42*L48</f>
        <v>25</v>
      </c>
      <c r="N48">
        <f>N62</f>
        <v>7.0996934818687123</v>
      </c>
      <c r="O48">
        <f>O62</f>
        <v>2.9909502062069913</v>
      </c>
      <c r="P48">
        <f>'Лист1 (3)'!P48</f>
        <v>129.28203230275503</v>
      </c>
      <c r="Q48">
        <f>(N48+P48/SQRT(K48))*(O48+P48*SQRT(J48))</f>
        <v>16278.971289610241</v>
      </c>
      <c r="R48">
        <f>ABS(Q48-P48^2)</f>
        <v>434.87258672035205</v>
      </c>
      <c r="T48">
        <f>N48/O48</f>
        <v>2.3737250680853936</v>
      </c>
    </row>
    <row r="49" spans="5:21" x14ac:dyDescent="0.2">
      <c r="G49" s="67"/>
      <c r="J49">
        <v>2</v>
      </c>
      <c r="K49">
        <v>3</v>
      </c>
      <c r="L49">
        <f>'Лист1 (3)'!L49</f>
        <v>0.5</v>
      </c>
      <c r="M49">
        <f>$M$42*L49</f>
        <v>50</v>
      </c>
      <c r="O49">
        <f>M49</f>
        <v>50</v>
      </c>
      <c r="P49">
        <f>'Лист1 (3)'!P49</f>
        <v>164.10206600181226</v>
      </c>
    </row>
    <row r="50" spans="5:21" x14ac:dyDescent="0.2">
      <c r="G50" s="67"/>
      <c r="J50">
        <v>1</v>
      </c>
      <c r="K50">
        <v>2</v>
      </c>
      <c r="L50">
        <f>'Лист1 (3)'!L50</f>
        <v>0.25</v>
      </c>
      <c r="M50">
        <f>$M$42*L50</f>
        <v>25</v>
      </c>
      <c r="O50">
        <f>M50</f>
        <v>25</v>
      </c>
      <c r="P50">
        <f>'Лист1 (3)'!P50</f>
        <v>60.355339059327363</v>
      </c>
    </row>
    <row r="52" spans="5:21" x14ac:dyDescent="0.2">
      <c r="M52" s="33"/>
      <c r="N52">
        <f>SQRT(G46)*SQRT(K48)/(SQRT(K48)-SQRT(G46))</f>
        <v>14.714140827404005</v>
      </c>
      <c r="O52">
        <f>1/(SQRT(G46)-SQRT(J48))</f>
        <v>34.927324937347642</v>
      </c>
    </row>
    <row r="53" spans="5:21" x14ac:dyDescent="0.2">
      <c r="M53" s="33" t="s">
        <v>32</v>
      </c>
      <c r="N53" s="33">
        <f>N52/O52</f>
        <v>0.42127877968891447</v>
      </c>
      <c r="O53" s="33"/>
    </row>
    <row r="54" spans="5:21" x14ac:dyDescent="0.2">
      <c r="M54" s="33" t="s">
        <v>33</v>
      </c>
      <c r="N54" s="33">
        <v>50</v>
      </c>
      <c r="O54" s="33"/>
      <c r="Q54">
        <f>N52*N48</f>
        <v>104.46588972361852</v>
      </c>
      <c r="R54">
        <f>O52*O48</f>
        <v>104.46588972361852</v>
      </c>
    </row>
    <row r="55" spans="5:21" x14ac:dyDescent="0.2">
      <c r="M55" s="33">
        <f>N53+G46</f>
        <v>3.5212787796889145</v>
      </c>
      <c r="N55" s="33">
        <f>N54/M55</f>
        <v>14.199386963737425</v>
      </c>
      <c r="O55" s="33">
        <f>N54-N55*3.5</f>
        <v>0.30214562691901392</v>
      </c>
    </row>
    <row r="58" spans="5:21" x14ac:dyDescent="0.2">
      <c r="N58">
        <f>1/SQRT(G46)-1/SQRT(K48)</f>
        <v>6.7961834247064812E-2</v>
      </c>
      <c r="O58">
        <f>SQRT(G46)-SQRT(J48)</f>
        <v>2.8630878597023734E-2</v>
      </c>
    </row>
    <row r="59" spans="5:21" x14ac:dyDescent="0.2">
      <c r="N59">
        <f>N58*P48</f>
        <v>8.786244050483516</v>
      </c>
      <c r="O59">
        <f>O58*P48</f>
        <v>3.7014581716366801</v>
      </c>
      <c r="S59">
        <v>1</v>
      </c>
      <c r="T59">
        <f>1/(1+EXP(-S59))</f>
        <v>0.7310585786300049</v>
      </c>
      <c r="U59">
        <f>-LN(1/T59-1)</f>
        <v>1</v>
      </c>
    </row>
    <row r="60" spans="5:21" x14ac:dyDescent="0.2">
      <c r="S60">
        <v>2</v>
      </c>
      <c r="T60">
        <f t="shared" ref="T60:T70" si="8">1/(1+EXP(-S60))</f>
        <v>0.88079707797788231</v>
      </c>
      <c r="U60">
        <f t="shared" ref="U60:U70" si="9">-LN(1/T60-1)</f>
        <v>1.9999999999999991</v>
      </c>
    </row>
    <row r="61" spans="5:21" x14ac:dyDescent="0.2">
      <c r="S61">
        <v>3</v>
      </c>
      <c r="T61">
        <f t="shared" si="8"/>
        <v>0.95257412682243336</v>
      </c>
      <c r="U61">
        <f t="shared" si="9"/>
        <v>3.0000000000000022</v>
      </c>
    </row>
    <row r="62" spans="5:21" x14ac:dyDescent="0.2">
      <c r="E62">
        <f>LOG(0.00001)</f>
        <v>-5</v>
      </c>
      <c r="N62">
        <f>M48/(G46+N52/O52)</f>
        <v>7.0996934818687123</v>
      </c>
      <c r="O62">
        <f>N52/O52*N62</f>
        <v>2.9909502062069913</v>
      </c>
      <c r="S62">
        <v>4</v>
      </c>
      <c r="T62">
        <f t="shared" si="8"/>
        <v>0.98201379003790845</v>
      </c>
      <c r="U62">
        <f t="shared" si="9"/>
        <v>3.9999999999999978</v>
      </c>
    </row>
    <row r="63" spans="5:21" x14ac:dyDescent="0.2">
      <c r="S63">
        <v>5</v>
      </c>
      <c r="T63">
        <f t="shared" si="8"/>
        <v>0.99330714907571527</v>
      </c>
      <c r="U63">
        <f t="shared" si="9"/>
        <v>5.0000000000000151</v>
      </c>
    </row>
    <row r="64" spans="5:21" x14ac:dyDescent="0.2">
      <c r="S64">
        <v>6</v>
      </c>
      <c r="T64">
        <f t="shared" si="8"/>
        <v>0.99752737684336534</v>
      </c>
      <c r="U64">
        <f t="shared" si="9"/>
        <v>6.0000000000000373</v>
      </c>
    </row>
    <row r="65" spans="5:21" x14ac:dyDescent="0.2">
      <c r="N65">
        <f>1/SQRT(G46)-1/SQRT(K48)</f>
        <v>6.7961834247064812E-2</v>
      </c>
      <c r="S65">
        <v>7</v>
      </c>
      <c r="T65">
        <f t="shared" si="8"/>
        <v>0.9990889488055994</v>
      </c>
      <c r="U65">
        <f t="shared" si="9"/>
        <v>7.0000000000000471</v>
      </c>
    </row>
    <row r="66" spans="5:21" x14ac:dyDescent="0.2">
      <c r="N66">
        <f>N65*Q54</f>
        <v>7.0996934818687132</v>
      </c>
      <c r="S66">
        <v>8</v>
      </c>
      <c r="T66">
        <f t="shared" si="8"/>
        <v>0.99966464986953363</v>
      </c>
      <c r="U66">
        <f t="shared" si="9"/>
        <v>8.000000000000318</v>
      </c>
    </row>
    <row r="67" spans="5:21" x14ac:dyDescent="0.2">
      <c r="S67">
        <v>9</v>
      </c>
      <c r="T67">
        <f t="shared" si="8"/>
        <v>0.99987660542401369</v>
      </c>
      <c r="U67">
        <f t="shared" si="9"/>
        <v>8.9999999999993445</v>
      </c>
    </row>
    <row r="68" spans="5:21" x14ac:dyDescent="0.2">
      <c r="N68">
        <f>N48+Q54/SQRT(K48)</f>
        <v>59.332638343677971</v>
      </c>
      <c r="O68">
        <f>O48+Q54*SQRT(J48)</f>
        <v>183.93117886540173</v>
      </c>
      <c r="S68">
        <v>10</v>
      </c>
      <c r="T68">
        <f t="shared" si="8"/>
        <v>0.99995460213129761</v>
      </c>
      <c r="U68">
        <f t="shared" si="9"/>
        <v>9.9999999999998703</v>
      </c>
    </row>
    <row r="69" spans="5:21" x14ac:dyDescent="0.2">
      <c r="S69">
        <v>11</v>
      </c>
      <c r="T69">
        <f t="shared" si="8"/>
        <v>0.99998329857815205</v>
      </c>
      <c r="U69">
        <f t="shared" si="9"/>
        <v>11.00000000000537</v>
      </c>
    </row>
    <row r="70" spans="5:21" x14ac:dyDescent="0.2">
      <c r="O70">
        <f>O68/N68</f>
        <v>3.1000000000000005</v>
      </c>
      <c r="S70">
        <v>12</v>
      </c>
      <c r="T70">
        <f t="shared" si="8"/>
        <v>0.99999385582539779</v>
      </c>
      <c r="U70">
        <f t="shared" si="9"/>
        <v>11.99999999999762</v>
      </c>
    </row>
    <row r="73" spans="5:21" x14ac:dyDescent="0.2">
      <c r="E73">
        <v>0</v>
      </c>
      <c r="F73">
        <v>0</v>
      </c>
      <c r="G73">
        <v>10</v>
      </c>
      <c r="H73">
        <v>15</v>
      </c>
      <c r="I73">
        <v>50</v>
      </c>
      <c r="J73">
        <v>15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5:21" x14ac:dyDescent="0.2">
      <c r="E74">
        <v>0</v>
      </c>
      <c r="F74">
        <v>0</v>
      </c>
      <c r="G74">
        <v>0</v>
      </c>
      <c r="H74">
        <v>0</v>
      </c>
      <c r="I74">
        <v>0</v>
      </c>
      <c r="J74">
        <v>11</v>
      </c>
      <c r="K74">
        <v>16</v>
      </c>
      <c r="L74">
        <v>51</v>
      </c>
      <c r="M74">
        <v>16</v>
      </c>
      <c r="N74">
        <v>11</v>
      </c>
      <c r="O74">
        <v>0</v>
      </c>
      <c r="P74">
        <v>0</v>
      </c>
    </row>
    <row r="75" spans="5:21" x14ac:dyDescent="0.2">
      <c r="E75">
        <f>E73-E74</f>
        <v>0</v>
      </c>
      <c r="F75">
        <f t="shared" ref="F75:P75" si="10">F73-F74</f>
        <v>0</v>
      </c>
      <c r="G75">
        <f>G73-G74</f>
        <v>10</v>
      </c>
      <c r="H75">
        <f t="shared" si="10"/>
        <v>15</v>
      </c>
      <c r="I75">
        <f t="shared" si="10"/>
        <v>50</v>
      </c>
      <c r="J75">
        <f t="shared" si="10"/>
        <v>4</v>
      </c>
      <c r="K75">
        <f t="shared" si="10"/>
        <v>-6</v>
      </c>
      <c r="L75">
        <f t="shared" si="10"/>
        <v>-51</v>
      </c>
      <c r="M75">
        <f t="shared" si="10"/>
        <v>-16</v>
      </c>
      <c r="N75">
        <f t="shared" si="10"/>
        <v>-11</v>
      </c>
      <c r="O75">
        <f t="shared" si="10"/>
        <v>0</v>
      </c>
      <c r="P75">
        <f t="shared" si="10"/>
        <v>0</v>
      </c>
    </row>
    <row r="77" spans="5:21" x14ac:dyDescent="0.2">
      <c r="O77">
        <v>2000</v>
      </c>
    </row>
    <row r="78" spans="5:21" x14ac:dyDescent="0.2">
      <c r="H78" s="37">
        <f>G75+H75+I75+J75+5</f>
        <v>84</v>
      </c>
      <c r="O78">
        <v>21000</v>
      </c>
    </row>
    <row r="79" spans="5:21" x14ac:dyDescent="0.2">
      <c r="H79">
        <f>K75+L75+M75+N75</f>
        <v>-84</v>
      </c>
      <c r="O79">
        <f>10^(-9)</f>
        <v>1.0000000000000001E-9</v>
      </c>
    </row>
    <row r="80" spans="5:21" x14ac:dyDescent="0.2">
      <c r="O80">
        <f>O79*O78*O82</f>
        <v>6.3000000000000003E-4</v>
      </c>
    </row>
    <row r="81" spans="15:17" x14ac:dyDescent="0.2">
      <c r="O81">
        <f>O80*O77</f>
        <v>1.26</v>
      </c>
      <c r="Q81">
        <f>100/2*O82*O78*O79</f>
        <v>3.15E-2</v>
      </c>
    </row>
    <row r="82" spans="15:17" x14ac:dyDescent="0.2">
      <c r="O82">
        <v>30</v>
      </c>
    </row>
    <row r="84" spans="15:17" x14ac:dyDescent="0.2">
      <c r="O84">
        <f>O78*O79*O77</f>
        <v>4.2000000000000003E-2</v>
      </c>
    </row>
  </sheetData>
  <mergeCells count="9">
    <mergeCell ref="G46:G50"/>
    <mergeCell ref="R7:R13"/>
    <mergeCell ref="I10:J10"/>
    <mergeCell ref="K10:L10"/>
    <mergeCell ref="B11:E11"/>
    <mergeCell ref="G11:H11"/>
    <mergeCell ref="R17:R22"/>
    <mergeCell ref="B21:E21"/>
    <mergeCell ref="G21:H21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7F1F-5776-8946-A0DE-E855BEF3CCB0}">
  <dimension ref="A2:W84"/>
  <sheetViews>
    <sheetView topLeftCell="A35" zoomScale="90" zoomScaleNormal="90" workbookViewId="0">
      <selection activeCell="Q54" sqref="Q54"/>
    </sheetView>
  </sheetViews>
  <sheetFormatPr baseColWidth="10" defaultRowHeight="16" x14ac:dyDescent="0.2"/>
  <cols>
    <col min="2" max="2" width="5.83203125" customWidth="1"/>
    <col min="3" max="7" width="9.33203125" customWidth="1"/>
    <col min="8" max="9" width="15.6640625" customWidth="1"/>
    <col min="10" max="10" width="12.6640625" customWidth="1"/>
    <col min="11" max="13" width="9.33203125" customWidth="1"/>
    <col min="15" max="15" width="13.5" bestFit="1" customWidth="1"/>
  </cols>
  <sheetData>
    <row r="2" spans="1:23" x14ac:dyDescent="0.2">
      <c r="B2" s="21" t="s">
        <v>4</v>
      </c>
      <c r="C2" s="19">
        <v>12.898053360195345</v>
      </c>
      <c r="D2" s="1"/>
    </row>
    <row r="3" spans="1:23" x14ac:dyDescent="0.2">
      <c r="B3" s="21" t="s">
        <v>5</v>
      </c>
      <c r="C3" s="6">
        <f>(C4+C2/SQRT(C8))*(C5+C2*SQRT(C7))</f>
        <v>166.36828505040731</v>
      </c>
      <c r="D3" s="1">
        <f>ABS(C3-C2^2)</f>
        <v>8.5045679608981573E-3</v>
      </c>
      <c r="E3" s="1"/>
      <c r="F3" s="1"/>
    </row>
    <row r="4" spans="1:23" x14ac:dyDescent="0.2">
      <c r="B4" s="21" t="s">
        <v>2</v>
      </c>
      <c r="C4" s="5">
        <v>2</v>
      </c>
      <c r="R4" s="7" t="s">
        <v>21</v>
      </c>
      <c r="S4" s="7" t="s">
        <v>15</v>
      </c>
      <c r="T4" s="7" t="s">
        <v>22</v>
      </c>
      <c r="U4" s="7" t="s">
        <v>23</v>
      </c>
      <c r="V4" s="7" t="s">
        <v>24</v>
      </c>
      <c r="W4" s="24" t="s">
        <v>25</v>
      </c>
    </row>
    <row r="5" spans="1:23" x14ac:dyDescent="0.2">
      <c r="B5" s="21" t="s">
        <v>3</v>
      </c>
      <c r="C5" s="5">
        <v>10</v>
      </c>
      <c r="R5" s="7" t="s">
        <v>16</v>
      </c>
      <c r="S5" s="7">
        <v>1</v>
      </c>
      <c r="T5" s="7">
        <v>3000</v>
      </c>
      <c r="U5" s="7">
        <v>4100</v>
      </c>
      <c r="V5" s="7"/>
      <c r="W5">
        <v>4000</v>
      </c>
    </row>
    <row r="6" spans="1:23" x14ac:dyDescent="0.2">
      <c r="B6" s="21" t="s">
        <v>10</v>
      </c>
      <c r="C6" s="5">
        <f>C5/C4</f>
        <v>5</v>
      </c>
      <c r="R6" s="7" t="s">
        <v>17</v>
      </c>
      <c r="S6" s="7">
        <v>2</v>
      </c>
      <c r="T6" s="7">
        <f>U6-200</f>
        <v>2800</v>
      </c>
      <c r="U6" s="7">
        <f>T5</f>
        <v>3000</v>
      </c>
      <c r="V6" s="7"/>
    </row>
    <row r="7" spans="1:23" x14ac:dyDescent="0.2">
      <c r="B7" s="21" t="s">
        <v>0</v>
      </c>
      <c r="C7" s="5">
        <v>1</v>
      </c>
      <c r="R7" s="68" t="s">
        <v>18</v>
      </c>
      <c r="S7" s="7">
        <v>3</v>
      </c>
      <c r="T7" s="7">
        <f t="shared" ref="T7:T24" si="0">U7-200</f>
        <v>2600</v>
      </c>
      <c r="U7" s="7">
        <f t="shared" ref="U7:U24" si="1">T6</f>
        <v>2800</v>
      </c>
      <c r="V7" s="7"/>
    </row>
    <row r="8" spans="1:23" x14ac:dyDescent="0.2">
      <c r="B8" s="21" t="s">
        <v>1</v>
      </c>
      <c r="C8" s="5">
        <v>6</v>
      </c>
      <c r="R8" s="68"/>
      <c r="S8" s="7">
        <v>4</v>
      </c>
      <c r="T8" s="7">
        <f t="shared" si="0"/>
        <v>2400</v>
      </c>
      <c r="U8" s="7">
        <f t="shared" si="1"/>
        <v>2600</v>
      </c>
      <c r="V8" s="7"/>
    </row>
    <row r="9" spans="1:23" x14ac:dyDescent="0.2">
      <c r="R9" s="68"/>
      <c r="S9" s="7">
        <v>5</v>
      </c>
      <c r="T9" s="7">
        <f t="shared" si="0"/>
        <v>2200</v>
      </c>
      <c r="U9" s="7">
        <f t="shared" si="1"/>
        <v>2400</v>
      </c>
      <c r="V9" s="7"/>
    </row>
    <row r="10" spans="1:23" x14ac:dyDescent="0.2">
      <c r="B10" s="21" t="s">
        <v>9</v>
      </c>
      <c r="C10" s="21" t="s">
        <v>6</v>
      </c>
      <c r="D10" s="21" t="s">
        <v>7</v>
      </c>
      <c r="E10" s="21" t="s">
        <v>8</v>
      </c>
      <c r="F10" s="21" t="s">
        <v>10</v>
      </c>
      <c r="G10" s="21" t="s">
        <v>5</v>
      </c>
      <c r="H10" s="21" t="s">
        <v>4</v>
      </c>
      <c r="I10" s="69" t="s">
        <v>14</v>
      </c>
      <c r="J10" s="69"/>
      <c r="K10" s="69" t="s">
        <v>11</v>
      </c>
      <c r="L10" s="69"/>
      <c r="R10" s="68"/>
      <c r="S10" s="7">
        <v>6</v>
      </c>
      <c r="T10" s="7">
        <f t="shared" si="0"/>
        <v>2000</v>
      </c>
      <c r="U10" s="7">
        <f t="shared" si="1"/>
        <v>2200</v>
      </c>
      <c r="V10" s="7"/>
    </row>
    <row r="11" spans="1:23" x14ac:dyDescent="0.2">
      <c r="B11" s="70"/>
      <c r="C11" s="71"/>
      <c r="D11" s="71"/>
      <c r="E11" s="72"/>
      <c r="F11" s="5" t="s">
        <v>12</v>
      </c>
      <c r="G11" s="70"/>
      <c r="H11" s="72"/>
      <c r="I11" s="5">
        <v>0</v>
      </c>
      <c r="J11" s="25">
        <f>SQRT(F12)-SQRT(F20)</f>
        <v>1.4493371783654252</v>
      </c>
      <c r="K11" s="5">
        <v>0</v>
      </c>
      <c r="L11" s="9">
        <f>H12*J11</f>
        <v>18.694106080886229</v>
      </c>
      <c r="R11" s="68"/>
      <c r="S11" s="7">
        <v>7</v>
      </c>
      <c r="T11" s="7">
        <f t="shared" si="0"/>
        <v>1800</v>
      </c>
      <c r="U11" s="7">
        <f t="shared" si="1"/>
        <v>2000</v>
      </c>
      <c r="V11" s="7"/>
    </row>
    <row r="12" spans="1:23" x14ac:dyDescent="0.2">
      <c r="B12" s="5">
        <v>0</v>
      </c>
      <c r="C12" s="6">
        <f>B12+$C$2/SQRT($C$8)</f>
        <v>5.2656082346114337</v>
      </c>
      <c r="D12" s="6">
        <f t="shared" ref="D12:D20" si="2">$C$3/C12</f>
        <v>31.595264523640385</v>
      </c>
      <c r="E12" s="18">
        <f>D12-$C$2*SQRT($C$7)</f>
        <v>18.69721116344504</v>
      </c>
      <c r="F12" s="6">
        <f>D12/C12</f>
        <v>6.0003067292323733</v>
      </c>
      <c r="G12" s="6">
        <f>D12*C12</f>
        <v>166.36828505040731</v>
      </c>
      <c r="H12" s="19">
        <f>SQRT(G12)</f>
        <v>12.898383040149152</v>
      </c>
      <c r="I12" s="5"/>
      <c r="J12" s="7"/>
      <c r="K12" s="5"/>
      <c r="L12" s="5"/>
      <c r="R12" s="68"/>
      <c r="S12" s="7">
        <v>8</v>
      </c>
      <c r="T12" s="7">
        <f t="shared" si="0"/>
        <v>1600</v>
      </c>
      <c r="U12" s="7">
        <f t="shared" si="1"/>
        <v>1800</v>
      </c>
      <c r="V12" s="7"/>
    </row>
    <row r="13" spans="1:23" x14ac:dyDescent="0.2">
      <c r="B13" s="5">
        <v>1</v>
      </c>
      <c r="C13" s="6">
        <f>B13+$C$2/SQRT($C$8)</f>
        <v>6.2656082346114337</v>
      </c>
      <c r="D13" s="6">
        <f t="shared" si="2"/>
        <v>26.552615296210707</v>
      </c>
      <c r="E13" s="10">
        <f t="shared" ref="E13:E20" si="3">D13-$C$2*SQRT($C$7)</f>
        <v>13.654561936015362</v>
      </c>
      <c r="F13" s="6">
        <f t="shared" ref="F13:F20" si="4">D13/C13</f>
        <v>4.2378352271584987</v>
      </c>
      <c r="G13" s="6">
        <f t="shared" ref="G13:G20" si="5">D13*C13</f>
        <v>166.36828505040731</v>
      </c>
      <c r="H13" s="19">
        <f t="shared" ref="H13:H20" si="6">SQRT(G13)</f>
        <v>12.898383040149152</v>
      </c>
      <c r="I13" s="5"/>
      <c r="J13" s="5"/>
      <c r="K13" s="5"/>
      <c r="L13" s="5"/>
      <c r="R13" s="68"/>
      <c r="S13" s="7">
        <v>9</v>
      </c>
      <c r="T13" s="7">
        <f t="shared" si="0"/>
        <v>1400</v>
      </c>
      <c r="U13" s="7">
        <f t="shared" si="1"/>
        <v>1600</v>
      </c>
      <c r="V13" s="7"/>
    </row>
    <row r="14" spans="1:23" x14ac:dyDescent="0.2">
      <c r="B14" s="5">
        <v>2</v>
      </c>
      <c r="C14" s="6">
        <f>B14+$C$2/SQRT($C$8)</f>
        <v>7.2656082346114337</v>
      </c>
      <c r="D14" s="6">
        <f t="shared" si="2"/>
        <v>22.898053360195345</v>
      </c>
      <c r="E14" s="10">
        <f t="shared" si="3"/>
        <v>10</v>
      </c>
      <c r="F14" s="6">
        <f t="shared" si="4"/>
        <v>3.1515673045946908</v>
      </c>
      <c r="G14" s="6">
        <f t="shared" si="5"/>
        <v>166.36828505040731</v>
      </c>
      <c r="H14" s="19">
        <f t="shared" si="6"/>
        <v>12.898383040149152</v>
      </c>
      <c r="I14" s="5"/>
      <c r="J14" s="5"/>
      <c r="K14" s="5"/>
      <c r="L14" s="5"/>
      <c r="M14" s="2"/>
      <c r="R14" s="7">
        <v>0</v>
      </c>
      <c r="S14" s="7">
        <v>10</v>
      </c>
      <c r="T14" s="7">
        <f t="shared" si="0"/>
        <v>1200</v>
      </c>
      <c r="U14" s="7">
        <f t="shared" si="1"/>
        <v>1400</v>
      </c>
      <c r="V14" s="7"/>
    </row>
    <row r="15" spans="1:23" x14ac:dyDescent="0.2">
      <c r="B15" s="5">
        <v>3</v>
      </c>
      <c r="C15" s="6">
        <f t="shared" ref="C15:C20" si="7">B15+$C$2/SQRT($C$8)</f>
        <v>8.2656082346114346</v>
      </c>
      <c r="D15" s="6">
        <f t="shared" si="2"/>
        <v>20.127772854483499</v>
      </c>
      <c r="E15" s="10">
        <f t="shared" si="3"/>
        <v>7.2297194942881546</v>
      </c>
      <c r="F15" s="6">
        <f t="shared" si="4"/>
        <v>2.4351230161381712</v>
      </c>
      <c r="G15" s="6">
        <f t="shared" si="5"/>
        <v>166.36828505040731</v>
      </c>
      <c r="H15" s="19">
        <f t="shared" si="6"/>
        <v>12.898383040149152</v>
      </c>
      <c r="I15" s="14">
        <f>1/SQRT(F15)-1/SQRT(F12)</f>
        <v>0.23258729335776562</v>
      </c>
      <c r="J15" s="8">
        <f>SQRT(F15)-SQRT(F20)</f>
        <v>0.56027289538811664</v>
      </c>
      <c r="K15" s="15">
        <f>H15*I15</f>
        <v>2.9999999999999996</v>
      </c>
      <c r="L15" s="15">
        <f>H15*J15</f>
        <v>7.2266144117293436</v>
      </c>
      <c r="R15" s="7">
        <v>-1</v>
      </c>
      <c r="S15" s="7">
        <v>11</v>
      </c>
      <c r="T15" s="7">
        <f t="shared" si="0"/>
        <v>1000</v>
      </c>
      <c r="U15" s="7">
        <f t="shared" si="1"/>
        <v>1200</v>
      </c>
      <c r="V15" s="7"/>
    </row>
    <row r="16" spans="1:23" s="4" customFormat="1" x14ac:dyDescent="0.2">
      <c r="A16" s="29">
        <f>F16*B16+E16</f>
        <v>12.80885445234377</v>
      </c>
      <c r="B16" s="11">
        <v>4</v>
      </c>
      <c r="C16" s="12">
        <f t="shared" si="7"/>
        <v>9.2656082346114346</v>
      </c>
      <c r="D16" s="12">
        <f t="shared" si="2"/>
        <v>17.955462915963032</v>
      </c>
      <c r="E16" s="13">
        <f t="shared" si="3"/>
        <v>5.0574095557676877</v>
      </c>
      <c r="F16" s="12">
        <f t="shared" si="4"/>
        <v>1.9378612241440205</v>
      </c>
      <c r="G16" s="12">
        <f t="shared" si="5"/>
        <v>166.36828505040731</v>
      </c>
      <c r="H16" s="20">
        <f t="shared" si="6"/>
        <v>12.898383040149152</v>
      </c>
      <c r="I16" s="14">
        <f>1/SQRT(F16)-1/SQRT(F12)</f>
        <v>0.31011639114368761</v>
      </c>
      <c r="J16" s="8">
        <f>SQRT(F16)-SQRT(F20)</f>
        <v>0.39185566574323327</v>
      </c>
      <c r="K16" s="15">
        <f>H16*I16</f>
        <v>4.0000000000000009</v>
      </c>
      <c r="L16" s="15">
        <f>H16*J16</f>
        <v>5.0543044732088749</v>
      </c>
      <c r="M16"/>
      <c r="N16" s="26">
        <f>I11-I16</f>
        <v>-0.31011639114368761</v>
      </c>
      <c r="O16" s="26">
        <f>J11-J16</f>
        <v>1.0574815126221919</v>
      </c>
      <c r="P16" s="26">
        <f>L11-L16</f>
        <v>13.639801607677354</v>
      </c>
      <c r="R16" s="22">
        <v>-2</v>
      </c>
      <c r="S16" s="7">
        <v>12</v>
      </c>
      <c r="T16" s="7">
        <f t="shared" si="0"/>
        <v>800</v>
      </c>
      <c r="U16" s="7">
        <f t="shared" si="1"/>
        <v>1000</v>
      </c>
      <c r="V16" s="22"/>
    </row>
    <row r="17" spans="2:22" x14ac:dyDescent="0.2">
      <c r="B17" s="5">
        <v>5</v>
      </c>
      <c r="C17" s="6">
        <f t="shared" si="7"/>
        <v>10.265608234611435</v>
      </c>
      <c r="D17" s="6">
        <f t="shared" si="2"/>
        <v>16.206373869741245</v>
      </c>
      <c r="E17" s="10">
        <f t="shared" si="3"/>
        <v>3.3083205095459007</v>
      </c>
      <c r="F17" s="6">
        <f t="shared" si="4"/>
        <v>1.5787056645216577</v>
      </c>
      <c r="G17" s="6">
        <f t="shared" si="5"/>
        <v>166.36828505040731</v>
      </c>
      <c r="H17" s="19">
        <f t="shared" si="6"/>
        <v>12.898383040149152</v>
      </c>
      <c r="I17" s="5"/>
      <c r="J17" s="5"/>
      <c r="K17" s="5"/>
      <c r="L17" s="5"/>
      <c r="O17">
        <f>O16*H15</f>
        <v>13.639801607677352</v>
      </c>
      <c r="R17" s="68" t="s">
        <v>18</v>
      </c>
      <c r="S17" s="7">
        <v>13</v>
      </c>
      <c r="T17" s="7">
        <f t="shared" si="0"/>
        <v>600</v>
      </c>
      <c r="U17" s="7">
        <f t="shared" si="1"/>
        <v>800</v>
      </c>
      <c r="V17" s="7"/>
    </row>
    <row r="18" spans="2:22" x14ac:dyDescent="0.2">
      <c r="B18" s="5">
        <v>6</v>
      </c>
      <c r="C18" s="6">
        <f t="shared" si="7"/>
        <v>11.265608234611435</v>
      </c>
      <c r="D18" s="6">
        <f t="shared" si="2"/>
        <v>14.767803174556741</v>
      </c>
      <c r="E18" s="10">
        <f t="shared" si="3"/>
        <v>1.8697498143613966</v>
      </c>
      <c r="F18" s="6">
        <f t="shared" si="4"/>
        <v>1.3108749094598799</v>
      </c>
      <c r="G18" s="6">
        <f t="shared" si="5"/>
        <v>166.36828505040731</v>
      </c>
      <c r="H18" s="19">
        <f t="shared" si="6"/>
        <v>12.898383040149152</v>
      </c>
      <c r="I18" s="5"/>
      <c r="J18" s="5"/>
      <c r="K18" s="5"/>
      <c r="L18" s="5"/>
      <c r="R18" s="68"/>
      <c r="S18" s="7">
        <v>14</v>
      </c>
      <c r="T18" s="7">
        <f t="shared" si="0"/>
        <v>400</v>
      </c>
      <c r="U18" s="7">
        <f t="shared" si="1"/>
        <v>600</v>
      </c>
      <c r="V18" s="7"/>
    </row>
    <row r="19" spans="2:22" x14ac:dyDescent="0.2">
      <c r="B19" s="5">
        <v>7</v>
      </c>
      <c r="C19" s="6">
        <f t="shared" si="7"/>
        <v>12.265608234611435</v>
      </c>
      <c r="D19" s="6">
        <f t="shared" si="2"/>
        <v>13.563802289147361</v>
      </c>
      <c r="E19" s="10">
        <f t="shared" si="3"/>
        <v>0.66574892895201643</v>
      </c>
      <c r="F19" s="6">
        <f t="shared" si="4"/>
        <v>1.1058401694970696</v>
      </c>
      <c r="G19" s="6">
        <f t="shared" si="5"/>
        <v>166.36828505040731</v>
      </c>
      <c r="H19" s="19">
        <f t="shared" si="6"/>
        <v>12.898383040149152</v>
      </c>
      <c r="I19" s="5"/>
      <c r="J19" s="5"/>
      <c r="K19" s="5"/>
      <c r="L19" s="5"/>
      <c r="M19" s="2"/>
      <c r="R19" s="68"/>
      <c r="S19" s="7">
        <v>15</v>
      </c>
      <c r="T19" s="7">
        <f t="shared" si="0"/>
        <v>200</v>
      </c>
      <c r="U19" s="7">
        <f t="shared" si="1"/>
        <v>400</v>
      </c>
      <c r="V19" s="7"/>
    </row>
    <row r="20" spans="2:22" x14ac:dyDescent="0.2">
      <c r="B20" s="16">
        <v>7.63</v>
      </c>
      <c r="C20" s="6">
        <f t="shared" si="7"/>
        <v>12.895608234611434</v>
      </c>
      <c r="D20" s="6">
        <f t="shared" si="2"/>
        <v>12.901158442754156</v>
      </c>
      <c r="E20" s="10">
        <f t="shared" si="3"/>
        <v>3.1050825588110342E-3</v>
      </c>
      <c r="F20" s="6">
        <f t="shared" si="4"/>
        <v>1.0004303952199654</v>
      </c>
      <c r="G20" s="6">
        <f t="shared" si="5"/>
        <v>166.36828505040731</v>
      </c>
      <c r="H20" s="19">
        <f t="shared" si="6"/>
        <v>12.898383040149152</v>
      </c>
      <c r="I20" s="5"/>
      <c r="J20" s="5"/>
      <c r="K20" s="5"/>
      <c r="L20" s="5"/>
      <c r="R20" s="68"/>
      <c r="S20" s="7">
        <v>16</v>
      </c>
      <c r="T20" s="7">
        <f t="shared" si="0"/>
        <v>0</v>
      </c>
      <c r="U20" s="7">
        <f t="shared" si="1"/>
        <v>200</v>
      </c>
      <c r="V20" s="7"/>
    </row>
    <row r="21" spans="2:22" x14ac:dyDescent="0.2">
      <c r="B21" s="70"/>
      <c r="C21" s="71"/>
      <c r="D21" s="71"/>
      <c r="E21" s="72"/>
      <c r="F21" s="8" t="s">
        <v>13</v>
      </c>
      <c r="G21" s="70"/>
      <c r="H21" s="72"/>
      <c r="I21" s="14">
        <f>1/SQRT(F20)-1/SQRT(F12)</f>
        <v>0.59154701610658389</v>
      </c>
      <c r="J21" s="14">
        <v>0</v>
      </c>
      <c r="K21" s="17">
        <f>H20*I21</f>
        <v>7.629999999999999</v>
      </c>
      <c r="L21" s="5">
        <v>0</v>
      </c>
      <c r="M21" s="2">
        <f>C3/(C2*SQRT(C7))-C2/SQRT(C8)</f>
        <v>7.6331044939182933</v>
      </c>
      <c r="R21" s="68"/>
      <c r="S21" s="7">
        <v>17</v>
      </c>
      <c r="T21" s="7">
        <f t="shared" si="0"/>
        <v>-200</v>
      </c>
      <c r="U21" s="7">
        <f t="shared" si="1"/>
        <v>0</v>
      </c>
      <c r="V21" s="7"/>
    </row>
    <row r="22" spans="2:22" x14ac:dyDescent="0.2">
      <c r="C22" s="2"/>
      <c r="E22" s="3"/>
      <c r="F22" s="2"/>
      <c r="R22" s="68"/>
      <c r="S22" s="7">
        <v>18</v>
      </c>
      <c r="T22" s="7">
        <f t="shared" si="0"/>
        <v>-400</v>
      </c>
      <c r="U22" s="7">
        <f t="shared" si="1"/>
        <v>-200</v>
      </c>
      <c r="V22" s="7"/>
    </row>
    <row r="23" spans="2:22" x14ac:dyDescent="0.2">
      <c r="C23" s="2"/>
      <c r="E23" s="3"/>
      <c r="F23" s="2"/>
      <c r="R23" s="23" t="s">
        <v>20</v>
      </c>
      <c r="S23" s="7">
        <v>19</v>
      </c>
      <c r="T23" s="7">
        <f t="shared" si="0"/>
        <v>-600</v>
      </c>
      <c r="U23" s="7">
        <f t="shared" si="1"/>
        <v>-400</v>
      </c>
      <c r="V23" s="7"/>
    </row>
    <row r="24" spans="2:22" x14ac:dyDescent="0.2">
      <c r="R24" s="23" t="s">
        <v>19</v>
      </c>
      <c r="S24" s="7">
        <v>20</v>
      </c>
      <c r="T24" s="7">
        <f t="shared" si="0"/>
        <v>-800</v>
      </c>
      <c r="U24" s="7">
        <f t="shared" si="1"/>
        <v>-600</v>
      </c>
      <c r="V24" s="7"/>
    </row>
    <row r="38" spans="6:23" x14ac:dyDescent="0.2">
      <c r="T38">
        <f>SQRT(5)</f>
        <v>2.2360679774997898</v>
      </c>
      <c r="U38">
        <f>T38-T39</f>
        <v>0.23606797749978981</v>
      </c>
      <c r="V38">
        <f>SQRT(6)</f>
        <v>2.4494897427831779</v>
      </c>
      <c r="W38">
        <f>V38-V39</f>
        <v>0.21342176528338808</v>
      </c>
    </row>
    <row r="39" spans="6:23" x14ac:dyDescent="0.2">
      <c r="T39">
        <f>SQRT(4)</f>
        <v>2</v>
      </c>
      <c r="V39">
        <f>SQRT(5)</f>
        <v>2.2360679774997898</v>
      </c>
    </row>
    <row r="41" spans="6:23" ht="17" thickBot="1" x14ac:dyDescent="0.25"/>
    <row r="42" spans="6:23" ht="17" thickBot="1" x14ac:dyDescent="0.25">
      <c r="L42" s="30" t="s">
        <v>26</v>
      </c>
      <c r="M42" s="31">
        <v>100</v>
      </c>
    </row>
    <row r="45" spans="6:23" x14ac:dyDescent="0.2">
      <c r="G45" t="s">
        <v>27</v>
      </c>
      <c r="H45" t="s">
        <v>4</v>
      </c>
      <c r="I45" t="s">
        <v>5</v>
      </c>
      <c r="J45" t="s">
        <v>0</v>
      </c>
      <c r="K45" t="s">
        <v>1</v>
      </c>
      <c r="L45" t="s">
        <v>29</v>
      </c>
      <c r="M45" t="s">
        <v>28</v>
      </c>
      <c r="N45" t="s">
        <v>30</v>
      </c>
      <c r="O45" t="s">
        <v>31</v>
      </c>
      <c r="P45" t="s">
        <v>4</v>
      </c>
      <c r="Q45" t="s">
        <v>5</v>
      </c>
    </row>
    <row r="46" spans="6:23" x14ac:dyDescent="0.2">
      <c r="F46">
        <f>ABS(H46-I46)</f>
        <v>0.27595382257599255</v>
      </c>
      <c r="G46" s="67">
        <v>3.1</v>
      </c>
      <c r="H46" s="27">
        <v>54.494897427831788</v>
      </c>
      <c r="I46" s="28">
        <f>(M46/J46+H46/SQRT(K46))*SQRT(J46)</f>
        <v>54.218943605255795</v>
      </c>
      <c r="J46">
        <v>5</v>
      </c>
      <c r="K46">
        <v>6</v>
      </c>
      <c r="L46">
        <v>0.1</v>
      </c>
      <c r="M46">
        <f>$M$42*L46</f>
        <v>10</v>
      </c>
      <c r="N46">
        <f>M46/G46</f>
        <v>3.225806451612903</v>
      </c>
      <c r="P46">
        <f>N46*SQRT(J46*K46)/(SQRT(K46)-SQRT(J46))</f>
        <v>82.78663412553118</v>
      </c>
      <c r="T46">
        <f>SQRT(6)/(SQRT(6)-SQRT(4))</f>
        <v>5.4494897427831805</v>
      </c>
    </row>
    <row r="47" spans="6:23" x14ac:dyDescent="0.2">
      <c r="G47" s="67"/>
      <c r="J47">
        <v>4</v>
      </c>
      <c r="K47">
        <v>5</v>
      </c>
      <c r="L47">
        <v>0.15</v>
      </c>
      <c r="M47">
        <f>$M$42*L47</f>
        <v>15</v>
      </c>
      <c r="N47">
        <f>M47/G46</f>
        <v>4.838709677419355</v>
      </c>
      <c r="P47">
        <f>N47*SQRT(J47*K47)/(SQRT(K47)-SQRT(J47))</f>
        <v>91.665831822576536</v>
      </c>
      <c r="R47">
        <v>12.496313164876483</v>
      </c>
    </row>
    <row r="48" spans="6:23" x14ac:dyDescent="0.2">
      <c r="G48" s="67"/>
      <c r="J48" s="32">
        <v>3</v>
      </c>
      <c r="K48" s="32">
        <v>4</v>
      </c>
      <c r="L48" s="32">
        <v>0.5</v>
      </c>
      <c r="M48" s="32">
        <f>$M$42*L48</f>
        <v>50</v>
      </c>
      <c r="N48">
        <f>N62</f>
        <v>14.199386963737425</v>
      </c>
      <c r="O48">
        <f>O62</f>
        <v>5.9819004124139825</v>
      </c>
      <c r="P48">
        <f>Q54</f>
        <v>208.93177944723703</v>
      </c>
      <c r="Q48">
        <f>(N48+P48/SQRT(K48))*(O48+P48*SQRT(J48))</f>
        <v>43652.488462988906</v>
      </c>
      <c r="R48">
        <f>ABS(Q48-P48^2)</f>
        <v>7.2759576141834259E-12</v>
      </c>
      <c r="T48">
        <f>N48/O48</f>
        <v>2.3737250680853936</v>
      </c>
    </row>
    <row r="49" spans="5:21" x14ac:dyDescent="0.2">
      <c r="G49" s="67"/>
      <c r="J49">
        <v>2</v>
      </c>
      <c r="K49">
        <v>3</v>
      </c>
      <c r="L49">
        <v>0.15</v>
      </c>
      <c r="M49">
        <f>$M$42*L49</f>
        <v>15</v>
      </c>
      <c r="O49">
        <f>M49</f>
        <v>15</v>
      </c>
      <c r="P49">
        <f>O49/(SQRT(K49)-SQRT(J49))</f>
        <v>47.193965549129615</v>
      </c>
    </row>
    <row r="50" spans="5:21" x14ac:dyDescent="0.2">
      <c r="G50" s="67"/>
      <c r="J50">
        <v>1</v>
      </c>
      <c r="K50">
        <v>2</v>
      </c>
      <c r="L50">
        <v>0.1</v>
      </c>
      <c r="M50">
        <f>$M$42*L50</f>
        <v>10</v>
      </c>
      <c r="O50">
        <f>M50</f>
        <v>10</v>
      </c>
      <c r="P50">
        <f>O50/(SQRT(K50)-SQRT(J50))</f>
        <v>24.142135623730944</v>
      </c>
    </row>
    <row r="52" spans="5:21" x14ac:dyDescent="0.2">
      <c r="M52" s="33"/>
      <c r="N52">
        <f>SQRT(G46)*SQRT(K48)/(SQRT(K48)-SQRT(G46))</f>
        <v>14.714140827404005</v>
      </c>
      <c r="O52">
        <f>1/(SQRT(G46)-SQRT(J48))</f>
        <v>34.927324937347642</v>
      </c>
    </row>
    <row r="53" spans="5:21" x14ac:dyDescent="0.2">
      <c r="M53" s="33" t="s">
        <v>32</v>
      </c>
      <c r="N53" s="33">
        <f>N52/O52</f>
        <v>0.42127877968891447</v>
      </c>
      <c r="O53" s="33"/>
    </row>
    <row r="54" spans="5:21" x14ac:dyDescent="0.2">
      <c r="M54" s="33" t="s">
        <v>33</v>
      </c>
      <c r="N54" s="33">
        <v>50</v>
      </c>
      <c r="O54" s="33"/>
      <c r="Q54">
        <f>N52*N48</f>
        <v>208.93177944723703</v>
      </c>
      <c r="R54">
        <f>O52*O48</f>
        <v>208.93177944723703</v>
      </c>
    </row>
    <row r="55" spans="5:21" x14ac:dyDescent="0.2">
      <c r="M55" s="33">
        <f>N53+G46</f>
        <v>3.5212787796889145</v>
      </c>
      <c r="N55" s="33">
        <f>N54/M55</f>
        <v>14.199386963737425</v>
      </c>
      <c r="O55" s="33">
        <f>N54-N55*3.5</f>
        <v>0.30214562691901392</v>
      </c>
    </row>
    <row r="58" spans="5:21" x14ac:dyDescent="0.2">
      <c r="N58">
        <f>1/SQRT(G46)-1/SQRT(K48)</f>
        <v>6.7961834247064812E-2</v>
      </c>
      <c r="O58">
        <f>SQRT(G46)-SQRT(J48)</f>
        <v>2.8630878597023734E-2</v>
      </c>
    </row>
    <row r="59" spans="5:21" x14ac:dyDescent="0.2">
      <c r="N59">
        <f>N58*P48</f>
        <v>14.199386963737426</v>
      </c>
      <c r="O59">
        <f>O58*P48</f>
        <v>5.9819004124139825</v>
      </c>
      <c r="S59">
        <v>1</v>
      </c>
      <c r="T59">
        <f>1/(1+EXP(-S59))</f>
        <v>0.7310585786300049</v>
      </c>
      <c r="U59">
        <f>-LN(1/T59-1)</f>
        <v>1</v>
      </c>
    </row>
    <row r="60" spans="5:21" x14ac:dyDescent="0.2">
      <c r="S60">
        <v>2</v>
      </c>
      <c r="T60">
        <f t="shared" ref="T60:T70" si="8">1/(1+EXP(-S60))</f>
        <v>0.88079707797788231</v>
      </c>
      <c r="U60">
        <f t="shared" ref="U60:U70" si="9">-LN(1/T60-1)</f>
        <v>1.9999999999999991</v>
      </c>
    </row>
    <row r="61" spans="5:21" x14ac:dyDescent="0.2">
      <c r="S61">
        <v>3</v>
      </c>
      <c r="T61">
        <f t="shared" si="8"/>
        <v>0.95257412682243336</v>
      </c>
      <c r="U61">
        <f t="shared" si="9"/>
        <v>3.0000000000000022</v>
      </c>
    </row>
    <row r="62" spans="5:21" x14ac:dyDescent="0.2">
      <c r="E62">
        <f>LOG(0.00001)</f>
        <v>-5</v>
      </c>
      <c r="N62">
        <f>M48/(G46+N52/O52)</f>
        <v>14.199386963737425</v>
      </c>
      <c r="O62">
        <f>N52/O52*N62</f>
        <v>5.9819004124139825</v>
      </c>
      <c r="S62">
        <v>4</v>
      </c>
      <c r="T62">
        <f t="shared" si="8"/>
        <v>0.98201379003790845</v>
      </c>
      <c r="U62">
        <f t="shared" si="9"/>
        <v>3.9999999999999978</v>
      </c>
    </row>
    <row r="63" spans="5:21" x14ac:dyDescent="0.2">
      <c r="S63">
        <v>5</v>
      </c>
      <c r="T63">
        <f t="shared" si="8"/>
        <v>0.99330714907571527</v>
      </c>
      <c r="U63">
        <f t="shared" si="9"/>
        <v>5.0000000000000151</v>
      </c>
    </row>
    <row r="64" spans="5:21" x14ac:dyDescent="0.2">
      <c r="S64">
        <v>6</v>
      </c>
      <c r="T64">
        <f t="shared" si="8"/>
        <v>0.99752737684336534</v>
      </c>
      <c r="U64">
        <f t="shared" si="9"/>
        <v>6.0000000000000373</v>
      </c>
    </row>
    <row r="65" spans="5:21" x14ac:dyDescent="0.2">
      <c r="N65">
        <f>1/SQRT(G46)-1/SQRT(K48)</f>
        <v>6.7961834247064812E-2</v>
      </c>
      <c r="S65">
        <v>7</v>
      </c>
      <c r="T65">
        <f t="shared" si="8"/>
        <v>0.9990889488055994</v>
      </c>
      <c r="U65">
        <f t="shared" si="9"/>
        <v>7.0000000000000471</v>
      </c>
    </row>
    <row r="66" spans="5:21" x14ac:dyDescent="0.2">
      <c r="N66">
        <f>N65*Q54</f>
        <v>14.199386963737426</v>
      </c>
      <c r="S66">
        <v>8</v>
      </c>
      <c r="T66">
        <f t="shared" si="8"/>
        <v>0.99966464986953363</v>
      </c>
      <c r="U66">
        <f t="shared" si="9"/>
        <v>8.000000000000318</v>
      </c>
    </row>
    <row r="67" spans="5:21" x14ac:dyDescent="0.2">
      <c r="S67">
        <v>9</v>
      </c>
      <c r="T67">
        <f t="shared" si="8"/>
        <v>0.99987660542401369</v>
      </c>
      <c r="U67">
        <f t="shared" si="9"/>
        <v>8.9999999999993445</v>
      </c>
    </row>
    <row r="68" spans="5:21" x14ac:dyDescent="0.2">
      <c r="N68">
        <f>N48+Q54/SQRT(K48)</f>
        <v>118.66527668735594</v>
      </c>
      <c r="O68">
        <f>O48+Q54*SQRT(J48)</f>
        <v>367.86235773080347</v>
      </c>
      <c r="S68">
        <v>10</v>
      </c>
      <c r="T68">
        <f t="shared" si="8"/>
        <v>0.99995460213129761</v>
      </c>
      <c r="U68">
        <f t="shared" si="9"/>
        <v>9.9999999999998703</v>
      </c>
    </row>
    <row r="69" spans="5:21" x14ac:dyDescent="0.2">
      <c r="S69">
        <v>11</v>
      </c>
      <c r="T69">
        <f t="shared" si="8"/>
        <v>0.99998329857815205</v>
      </c>
      <c r="U69">
        <f t="shared" si="9"/>
        <v>11.00000000000537</v>
      </c>
    </row>
    <row r="70" spans="5:21" x14ac:dyDescent="0.2">
      <c r="O70">
        <f>O68/N68</f>
        <v>3.1000000000000005</v>
      </c>
      <c r="S70">
        <v>12</v>
      </c>
      <c r="T70">
        <f t="shared" si="8"/>
        <v>0.99999385582539779</v>
      </c>
      <c r="U70">
        <f t="shared" si="9"/>
        <v>11.99999999999762</v>
      </c>
    </row>
    <row r="73" spans="5:21" x14ac:dyDescent="0.2">
      <c r="E73">
        <v>0</v>
      </c>
      <c r="F73">
        <v>0</v>
      </c>
      <c r="G73">
        <v>10</v>
      </c>
      <c r="H73">
        <v>15</v>
      </c>
      <c r="I73">
        <v>50</v>
      </c>
      <c r="J73">
        <v>15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5:21" x14ac:dyDescent="0.2">
      <c r="E74">
        <v>0</v>
      </c>
      <c r="F74">
        <v>0</v>
      </c>
      <c r="G74">
        <v>0</v>
      </c>
      <c r="H74">
        <v>0</v>
      </c>
      <c r="I74">
        <v>0</v>
      </c>
      <c r="J74">
        <v>11</v>
      </c>
      <c r="K74">
        <v>16</v>
      </c>
      <c r="L74">
        <v>51</v>
      </c>
      <c r="M74">
        <v>16</v>
      </c>
      <c r="N74">
        <v>11</v>
      </c>
      <c r="O74">
        <v>0</v>
      </c>
      <c r="P74">
        <v>0</v>
      </c>
    </row>
    <row r="75" spans="5:21" x14ac:dyDescent="0.2">
      <c r="E75">
        <f>E73-E74</f>
        <v>0</v>
      </c>
      <c r="F75">
        <f t="shared" ref="F75:P75" si="10">F73-F74</f>
        <v>0</v>
      </c>
      <c r="G75">
        <f>G73-G74</f>
        <v>10</v>
      </c>
      <c r="H75">
        <f t="shared" si="10"/>
        <v>15</v>
      </c>
      <c r="I75">
        <f t="shared" si="10"/>
        <v>50</v>
      </c>
      <c r="J75">
        <f t="shared" si="10"/>
        <v>4</v>
      </c>
      <c r="K75">
        <f t="shared" si="10"/>
        <v>-6</v>
      </c>
      <c r="L75">
        <f t="shared" si="10"/>
        <v>-51</v>
      </c>
      <c r="M75">
        <f t="shared" si="10"/>
        <v>-16</v>
      </c>
      <c r="N75">
        <f t="shared" si="10"/>
        <v>-11</v>
      </c>
      <c r="O75">
        <f t="shared" si="10"/>
        <v>0</v>
      </c>
      <c r="P75">
        <f t="shared" si="10"/>
        <v>0</v>
      </c>
    </row>
    <row r="77" spans="5:21" x14ac:dyDescent="0.2">
      <c r="O77">
        <v>2000</v>
      </c>
    </row>
    <row r="78" spans="5:21" x14ac:dyDescent="0.2">
      <c r="H78" s="37">
        <f>G75+H75+I75+J75+5</f>
        <v>84</v>
      </c>
      <c r="O78">
        <v>21000</v>
      </c>
    </row>
    <row r="79" spans="5:21" x14ac:dyDescent="0.2">
      <c r="H79">
        <f>K75+L75+M75+N75</f>
        <v>-84</v>
      </c>
      <c r="O79">
        <f>10^(-9)</f>
        <v>1.0000000000000001E-9</v>
      </c>
    </row>
    <row r="80" spans="5:21" x14ac:dyDescent="0.2">
      <c r="O80">
        <f>O79*O78*O82</f>
        <v>6.3000000000000003E-4</v>
      </c>
    </row>
    <row r="81" spans="15:17" x14ac:dyDescent="0.2">
      <c r="O81">
        <f>O80*O77</f>
        <v>1.26</v>
      </c>
      <c r="Q81">
        <f>100/2*O82*O78*O79</f>
        <v>3.15E-2</v>
      </c>
    </row>
    <row r="82" spans="15:17" x14ac:dyDescent="0.2">
      <c r="O82">
        <v>30</v>
      </c>
    </row>
    <row r="84" spans="15:17" x14ac:dyDescent="0.2">
      <c r="O84">
        <f>O78*O79*O77</f>
        <v>4.2000000000000003E-2</v>
      </c>
    </row>
  </sheetData>
  <mergeCells count="9">
    <mergeCell ref="B11:E11"/>
    <mergeCell ref="G11:H11"/>
    <mergeCell ref="B21:E21"/>
    <mergeCell ref="G21:H21"/>
    <mergeCell ref="R7:R13"/>
    <mergeCell ref="R17:R22"/>
    <mergeCell ref="G46:G50"/>
    <mergeCell ref="I10:J10"/>
    <mergeCell ref="K10:L10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23FB-B4BC-0643-BC4F-13771C863EBA}">
  <dimension ref="B2:M23"/>
  <sheetViews>
    <sheetView zoomScale="90" zoomScaleNormal="90" workbookViewId="0">
      <selection activeCell="Q54" sqref="Q54"/>
    </sheetView>
  </sheetViews>
  <sheetFormatPr baseColWidth="10" defaultRowHeight="16" x14ac:dyDescent="0.2"/>
  <cols>
    <col min="2" max="2" width="5.83203125" customWidth="1"/>
    <col min="3" max="13" width="9.33203125" customWidth="1"/>
  </cols>
  <sheetData>
    <row r="2" spans="2:12" x14ac:dyDescent="0.2">
      <c r="B2" s="21" t="s">
        <v>4</v>
      </c>
      <c r="C2" s="19">
        <v>12.898053360195345</v>
      </c>
      <c r="D2" s="1"/>
    </row>
    <row r="3" spans="2:12" x14ac:dyDescent="0.2">
      <c r="B3" s="21" t="s">
        <v>5</v>
      </c>
      <c r="C3" s="6">
        <f>(C4+C2/SQRT(C8))*(C5+C2*SQRT(C7))</f>
        <v>166.36828505040731</v>
      </c>
      <c r="D3" s="1">
        <f>ABS(C3-C2^2)</f>
        <v>8.5045679608981573E-3</v>
      </c>
      <c r="E3" s="1"/>
      <c r="F3" s="1"/>
    </row>
    <row r="4" spans="2:12" x14ac:dyDescent="0.2">
      <c r="B4" s="21" t="s">
        <v>2</v>
      </c>
      <c r="C4" s="5">
        <v>2</v>
      </c>
    </row>
    <row r="5" spans="2:12" x14ac:dyDescent="0.2">
      <c r="B5" s="21" t="s">
        <v>3</v>
      </c>
      <c r="C5" s="5">
        <v>10</v>
      </c>
    </row>
    <row r="6" spans="2:12" x14ac:dyDescent="0.2">
      <c r="B6" s="21" t="s">
        <v>10</v>
      </c>
      <c r="C6" s="5">
        <f>C5/C4</f>
        <v>5</v>
      </c>
    </row>
    <row r="7" spans="2:12" x14ac:dyDescent="0.2">
      <c r="B7" s="21" t="s">
        <v>0</v>
      </c>
      <c r="C7" s="5">
        <v>1</v>
      </c>
    </row>
    <row r="8" spans="2:12" x14ac:dyDescent="0.2">
      <c r="B8" s="21" t="s">
        <v>1</v>
      </c>
      <c r="C8" s="5">
        <v>6</v>
      </c>
    </row>
    <row r="10" spans="2:12" x14ac:dyDescent="0.2">
      <c r="B10" s="21" t="s">
        <v>9</v>
      </c>
      <c r="C10" s="21" t="s">
        <v>6</v>
      </c>
      <c r="D10" s="21" t="s">
        <v>7</v>
      </c>
      <c r="E10" s="21" t="s">
        <v>8</v>
      </c>
      <c r="F10" s="21" t="s">
        <v>10</v>
      </c>
      <c r="G10" s="21" t="s">
        <v>5</v>
      </c>
      <c r="H10" s="21" t="s">
        <v>4</v>
      </c>
      <c r="I10" s="69" t="s">
        <v>14</v>
      </c>
      <c r="J10" s="69"/>
      <c r="K10" s="69" t="s">
        <v>11</v>
      </c>
      <c r="L10" s="69"/>
    </row>
    <row r="11" spans="2:12" x14ac:dyDescent="0.2">
      <c r="B11" s="70"/>
      <c r="C11" s="71"/>
      <c r="D11" s="71"/>
      <c r="E11" s="72"/>
      <c r="F11" s="5" t="s">
        <v>12</v>
      </c>
      <c r="G11" s="70"/>
      <c r="H11" s="72"/>
      <c r="I11" s="5">
        <v>0</v>
      </c>
      <c r="J11" s="8">
        <f>SQRT(F12)-SQRT(F20)</f>
        <v>1.4493371783654252</v>
      </c>
      <c r="K11" s="5">
        <v>0</v>
      </c>
      <c r="L11" s="9">
        <f>H12*J11</f>
        <v>18.694106080886229</v>
      </c>
    </row>
    <row r="12" spans="2:12" x14ac:dyDescent="0.2">
      <c r="B12" s="5">
        <v>0</v>
      </c>
      <c r="C12" s="6">
        <f>B12+$C$2/SQRT($C$8)</f>
        <v>5.2656082346114337</v>
      </c>
      <c r="D12" s="6">
        <f t="shared" ref="D12:D20" si="0">$C$3/C12</f>
        <v>31.595264523640385</v>
      </c>
      <c r="E12" s="18">
        <f>D12-$C$2*SQRT($C$7)</f>
        <v>18.69721116344504</v>
      </c>
      <c r="F12" s="6">
        <f>D12/C12</f>
        <v>6.0003067292323733</v>
      </c>
      <c r="G12" s="6">
        <f>D12*C12</f>
        <v>166.36828505040731</v>
      </c>
      <c r="H12" s="19">
        <f>SQRT(G12)</f>
        <v>12.898383040149152</v>
      </c>
      <c r="I12" s="5"/>
      <c r="J12" s="7"/>
      <c r="K12" s="5"/>
      <c r="L12" s="5"/>
    </row>
    <row r="13" spans="2:12" x14ac:dyDescent="0.2">
      <c r="B13" s="5">
        <v>1</v>
      </c>
      <c r="C13" s="6">
        <f>B13+$C$2/SQRT($C$8)</f>
        <v>6.2656082346114337</v>
      </c>
      <c r="D13" s="6">
        <f t="shared" si="0"/>
        <v>26.552615296210707</v>
      </c>
      <c r="E13" s="10">
        <f t="shared" ref="E13:E20" si="1">D13-$C$2*SQRT($C$7)</f>
        <v>13.654561936015362</v>
      </c>
      <c r="F13" s="6">
        <f t="shared" ref="F13:F20" si="2">D13/C13</f>
        <v>4.2378352271584987</v>
      </c>
      <c r="G13" s="6">
        <f t="shared" ref="G13:G20" si="3">D13*C13</f>
        <v>166.36828505040731</v>
      </c>
      <c r="H13" s="19">
        <f t="shared" ref="H13:H20" si="4">SQRT(G13)</f>
        <v>12.898383040149152</v>
      </c>
      <c r="I13" s="5"/>
      <c r="J13" s="5"/>
      <c r="K13" s="5"/>
      <c r="L13" s="5"/>
    </row>
    <row r="14" spans="2:12" x14ac:dyDescent="0.2">
      <c r="B14" s="5">
        <v>2</v>
      </c>
      <c r="C14" s="6">
        <f>B14+$C$2/SQRT($C$8)</f>
        <v>7.2656082346114337</v>
      </c>
      <c r="D14" s="6">
        <f t="shared" si="0"/>
        <v>22.898053360195345</v>
      </c>
      <c r="E14" s="10">
        <f t="shared" si="1"/>
        <v>10</v>
      </c>
      <c r="F14" s="6">
        <f t="shared" si="2"/>
        <v>3.1515673045946908</v>
      </c>
      <c r="G14" s="6">
        <f t="shared" si="3"/>
        <v>166.36828505040731</v>
      </c>
      <c r="H14" s="19">
        <f t="shared" si="4"/>
        <v>12.898383040149152</v>
      </c>
      <c r="I14" s="5"/>
      <c r="J14" s="5"/>
      <c r="K14" s="5"/>
      <c r="L14" s="5"/>
    </row>
    <row r="15" spans="2:12" x14ac:dyDescent="0.2">
      <c r="B15" s="5">
        <v>3</v>
      </c>
      <c r="C15" s="6">
        <f t="shared" ref="C15:C20" si="5">B15+$C$2/SQRT($C$8)</f>
        <v>8.2656082346114346</v>
      </c>
      <c r="D15" s="6">
        <f t="shared" si="0"/>
        <v>20.127772854483499</v>
      </c>
      <c r="E15" s="10">
        <f t="shared" si="1"/>
        <v>7.2297194942881546</v>
      </c>
      <c r="F15" s="6">
        <f t="shared" si="2"/>
        <v>2.4351230161381712</v>
      </c>
      <c r="G15" s="6">
        <f t="shared" si="3"/>
        <v>166.36828505040731</v>
      </c>
      <c r="H15" s="19">
        <f t="shared" si="4"/>
        <v>12.898383040149152</v>
      </c>
      <c r="I15" s="5"/>
      <c r="J15" s="5"/>
      <c r="K15" s="5"/>
      <c r="L15" s="5"/>
    </row>
    <row r="16" spans="2:12" s="4" customFormat="1" x14ac:dyDescent="0.2">
      <c r="B16" s="11">
        <v>4</v>
      </c>
      <c r="C16" s="12">
        <f t="shared" si="5"/>
        <v>9.2656082346114346</v>
      </c>
      <c r="D16" s="12">
        <f t="shared" si="0"/>
        <v>17.955462915963032</v>
      </c>
      <c r="E16" s="13">
        <f t="shared" si="1"/>
        <v>5.0574095557676877</v>
      </c>
      <c r="F16" s="12">
        <f t="shared" si="2"/>
        <v>1.9378612241440205</v>
      </c>
      <c r="G16" s="12">
        <f t="shared" si="3"/>
        <v>166.36828505040731</v>
      </c>
      <c r="H16" s="20">
        <f t="shared" si="4"/>
        <v>12.898383040149152</v>
      </c>
      <c r="I16" s="14">
        <f>1/SQRT(F16)-1/SQRT(F12)</f>
        <v>0.31011639114368761</v>
      </c>
      <c r="J16" s="8">
        <f>SQRT(F16)-SQRT(F20)</f>
        <v>0.39185566574323327</v>
      </c>
      <c r="K16" s="15">
        <f>H16*I16</f>
        <v>4.0000000000000009</v>
      </c>
      <c r="L16" s="15">
        <f>H16*J16</f>
        <v>5.0543044732088749</v>
      </c>
    </row>
    <row r="17" spans="2:13" x14ac:dyDescent="0.2">
      <c r="B17" s="5">
        <v>5</v>
      </c>
      <c r="C17" s="6">
        <f t="shared" si="5"/>
        <v>10.265608234611435</v>
      </c>
      <c r="D17" s="6">
        <f t="shared" si="0"/>
        <v>16.206373869741245</v>
      </c>
      <c r="E17" s="10">
        <f t="shared" si="1"/>
        <v>3.3083205095459007</v>
      </c>
      <c r="F17" s="6">
        <f t="shared" si="2"/>
        <v>1.5787056645216577</v>
      </c>
      <c r="G17" s="6">
        <f t="shared" si="3"/>
        <v>166.36828505040731</v>
      </c>
      <c r="H17" s="19">
        <f t="shared" si="4"/>
        <v>12.898383040149152</v>
      </c>
      <c r="I17" s="5"/>
      <c r="J17" s="5"/>
      <c r="K17" s="5"/>
      <c r="L17" s="5"/>
    </row>
    <row r="18" spans="2:13" x14ac:dyDescent="0.2">
      <c r="B18" s="5">
        <v>6</v>
      </c>
      <c r="C18" s="6">
        <f t="shared" si="5"/>
        <v>11.265608234611435</v>
      </c>
      <c r="D18" s="6">
        <f t="shared" si="0"/>
        <v>14.767803174556741</v>
      </c>
      <c r="E18" s="10">
        <f t="shared" si="1"/>
        <v>1.8697498143613966</v>
      </c>
      <c r="F18" s="6">
        <f t="shared" si="2"/>
        <v>1.3108749094598799</v>
      </c>
      <c r="G18" s="6">
        <f t="shared" si="3"/>
        <v>166.36828505040731</v>
      </c>
      <c r="H18" s="19">
        <f t="shared" si="4"/>
        <v>12.898383040149152</v>
      </c>
      <c r="I18" s="5"/>
      <c r="J18" s="5"/>
      <c r="K18" s="5"/>
      <c r="L18" s="5"/>
    </row>
    <row r="19" spans="2:13" x14ac:dyDescent="0.2">
      <c r="B19" s="5">
        <v>7</v>
      </c>
      <c r="C19" s="6">
        <f t="shared" si="5"/>
        <v>12.265608234611435</v>
      </c>
      <c r="D19" s="6">
        <f t="shared" si="0"/>
        <v>13.563802289147361</v>
      </c>
      <c r="E19" s="10">
        <f t="shared" si="1"/>
        <v>0.66574892895201643</v>
      </c>
      <c r="F19" s="6">
        <f t="shared" si="2"/>
        <v>1.1058401694970696</v>
      </c>
      <c r="G19" s="6">
        <f t="shared" si="3"/>
        <v>166.36828505040731</v>
      </c>
      <c r="H19" s="19">
        <f t="shared" si="4"/>
        <v>12.898383040149152</v>
      </c>
      <c r="I19" s="5"/>
      <c r="J19" s="5"/>
      <c r="K19" s="5"/>
      <c r="L19" s="5"/>
    </row>
    <row r="20" spans="2:13" x14ac:dyDescent="0.2">
      <c r="B20" s="16">
        <v>7.63</v>
      </c>
      <c r="C20" s="6">
        <f t="shared" si="5"/>
        <v>12.895608234611434</v>
      </c>
      <c r="D20" s="6">
        <f t="shared" si="0"/>
        <v>12.901158442754156</v>
      </c>
      <c r="E20" s="10">
        <f t="shared" si="1"/>
        <v>3.1050825588110342E-3</v>
      </c>
      <c r="F20" s="6">
        <f t="shared" si="2"/>
        <v>1.0004303952199654</v>
      </c>
      <c r="G20" s="6">
        <f t="shared" si="3"/>
        <v>166.36828505040731</v>
      </c>
      <c r="H20" s="19">
        <f t="shared" si="4"/>
        <v>12.898383040149152</v>
      </c>
      <c r="I20" s="5"/>
      <c r="J20" s="5"/>
      <c r="K20" s="5"/>
      <c r="L20" s="5"/>
    </row>
    <row r="21" spans="2:13" x14ac:dyDescent="0.2">
      <c r="B21" s="70"/>
      <c r="C21" s="71"/>
      <c r="D21" s="71"/>
      <c r="E21" s="72"/>
      <c r="F21" s="8" t="s">
        <v>13</v>
      </c>
      <c r="G21" s="70"/>
      <c r="H21" s="72"/>
      <c r="I21" s="14">
        <f>1/SQRT(F20)-1/SQRT(F12)</f>
        <v>0.59154701610658389</v>
      </c>
      <c r="J21" s="14">
        <v>0</v>
      </c>
      <c r="K21" s="17">
        <f>H20*I21</f>
        <v>7.629999999999999</v>
      </c>
      <c r="L21" s="5">
        <v>0</v>
      </c>
      <c r="M21" s="2">
        <f>C3/(C2*SQRT(C7))-C2/SQRT(C8)</f>
        <v>7.6331044939182933</v>
      </c>
    </row>
    <row r="22" spans="2:13" x14ac:dyDescent="0.2">
      <c r="C22" s="2"/>
      <c r="E22" s="3"/>
      <c r="F22" s="2"/>
    </row>
    <row r="23" spans="2:13" x14ac:dyDescent="0.2">
      <c r="C23" s="2"/>
      <c r="E23" s="3"/>
      <c r="F23" s="2"/>
    </row>
  </sheetData>
  <mergeCells count="6">
    <mergeCell ref="K10:L10"/>
    <mergeCell ref="I10:J10"/>
    <mergeCell ref="B11:E11"/>
    <mergeCell ref="G11:H11"/>
    <mergeCell ref="B21:E21"/>
    <mergeCell ref="G21:H2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 (4)</vt:lpstr>
      <vt:lpstr>Ex_0_(no_costs)</vt:lpstr>
      <vt:lpstr>Ex_1</vt:lpstr>
      <vt:lpstr>Ex_2</vt:lpstr>
      <vt:lpstr>tst0</vt:lpstr>
      <vt:lpstr>Лист1 (3)</vt:lpstr>
      <vt:lpstr>Лист1 (5)</vt:lpstr>
      <vt:lpstr>Лист1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2023-11-06T16:05:11Z</dcterms:created>
  <dcterms:modified xsi:type="dcterms:W3CDTF">2024-05-09T21:21:49Z</dcterms:modified>
</cp:coreProperties>
</file>