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05" yWindow="75" windowWidth="23250" windowHeight="12390" activeTab="2"/>
  </bookViews>
  <sheets>
    <sheet name="Instructions" sheetId="4" r:id="rId1"/>
    <sheet name="Questions" sheetId="2" r:id="rId2"/>
    <sheet name="Case" sheetId="5" r:id="rId3"/>
    <sheet name="Case bonus" sheetId="3" r:id="rId4"/>
  </sheets>
  <calcPr calcId="144525"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9" i="5" l="1"/>
  <c r="I44" i="5"/>
  <c r="I45" i="5" s="1"/>
  <c r="H32" i="5" l="1"/>
  <c r="I32" i="5"/>
  <c r="G32" i="5"/>
  <c r="Q59" i="5" l="1"/>
  <c r="R59" i="5" s="1"/>
  <c r="S59" i="5" s="1"/>
  <c r="P59" i="5"/>
  <c r="O59" i="5"/>
  <c r="F32" i="5"/>
  <c r="D52" i="5"/>
  <c r="D44" i="5"/>
  <c r="F46" i="5"/>
  <c r="E46" i="5"/>
  <c r="E45" i="5"/>
  <c r="F44" i="5"/>
  <c r="I42" i="5"/>
  <c r="I33" i="5"/>
  <c r="H33" i="5"/>
  <c r="G33" i="5"/>
  <c r="F33" i="5"/>
  <c r="E33" i="5"/>
  <c r="I55" i="5"/>
  <c r="H55" i="5"/>
  <c r="G55" i="5"/>
  <c r="F55" i="5"/>
  <c r="E55" i="5"/>
  <c r="I58" i="5"/>
  <c r="H58" i="5"/>
  <c r="G58" i="5"/>
  <c r="F58" i="5"/>
  <c r="E58" i="5"/>
  <c r="E56" i="5"/>
  <c r="E34" i="5" s="1"/>
  <c r="Q55" i="5"/>
  <c r="R55" i="5" s="1"/>
  <c r="S55" i="5" s="1"/>
  <c r="P55" i="5"/>
  <c r="O55" i="5"/>
  <c r="S58" i="5"/>
  <c r="R58" i="5"/>
  <c r="Q58" i="5"/>
  <c r="P58" i="5"/>
  <c r="O58" i="5"/>
  <c r="E32" i="5"/>
  <c r="H42" i="5"/>
  <c r="G42" i="5"/>
  <c r="F42" i="5"/>
  <c r="E42" i="5"/>
  <c r="D66" i="5"/>
  <c r="Q44" i="5"/>
  <c r="P44" i="5"/>
  <c r="F37" i="5"/>
  <c r="G37" i="5"/>
  <c r="H37" i="5"/>
  <c r="I37" i="5"/>
  <c r="E37" i="5"/>
  <c r="F36" i="5" l="1"/>
  <c r="G36" i="5"/>
  <c r="H36" i="5"/>
  <c r="I36" i="5"/>
  <c r="E36" i="5"/>
  <c r="E35" i="5"/>
  <c r="E38" i="5" s="1"/>
  <c r="E39" i="5" s="1"/>
  <c r="E40" i="5" s="1"/>
  <c r="E43" i="5" s="1"/>
  <c r="E44" i="5" s="1"/>
  <c r="C167" i="2"/>
  <c r="C171" i="2" s="1"/>
  <c r="N22" i="2" s="1"/>
  <c r="F122" i="2"/>
  <c r="E122" i="2"/>
  <c r="D121" i="2"/>
  <c r="C120" i="2"/>
  <c r="D120" i="2"/>
  <c r="C119" i="2"/>
  <c r="D119" i="2"/>
  <c r="D118" i="2"/>
  <c r="D117" i="2"/>
  <c r="C118" i="2"/>
  <c r="C117" i="2"/>
  <c r="E108" i="2"/>
  <c r="C168" i="2"/>
  <c r="N21" i="2"/>
  <c r="N15" i="2"/>
  <c r="C100" i="2"/>
  <c r="N14" i="2"/>
  <c r="F88" i="2"/>
  <c r="E21" i="2"/>
  <c r="E167" i="2" l="1"/>
  <c r="N20" i="2"/>
  <c r="N23" i="2"/>
  <c r="H158" i="2"/>
  <c r="D161" i="2"/>
  <c r="E158" i="2"/>
  <c r="F158" i="2"/>
  <c r="G158" i="2"/>
  <c r="D158" i="2"/>
  <c r="F58" i="2"/>
  <c r="N7" i="2"/>
  <c r="F11" i="2"/>
  <c r="D11" i="2"/>
  <c r="D65" i="5"/>
  <c r="D64" i="5"/>
  <c r="D63" i="5"/>
  <c r="G61" i="5"/>
  <c r="H61" i="5"/>
  <c r="I61" i="5"/>
  <c r="F61" i="5"/>
  <c r="E61" i="5"/>
  <c r="F59" i="5"/>
  <c r="G59" i="5"/>
  <c r="H59" i="5"/>
  <c r="I59" i="5"/>
  <c r="E59" i="5"/>
  <c r="C161" i="2" l="1"/>
  <c r="F56" i="5"/>
  <c r="F34" i="5" s="1"/>
  <c r="F35" i="5" s="1"/>
  <c r="F38" i="5" s="1"/>
  <c r="F39" i="5" s="1"/>
  <c r="F40" i="5" s="1"/>
  <c r="F43" i="5" s="1"/>
  <c r="I57" i="5"/>
  <c r="H57" i="5"/>
  <c r="G57" i="5"/>
  <c r="F57" i="5"/>
  <c r="E57" i="5"/>
  <c r="F54" i="5"/>
  <c r="E54" i="5"/>
  <c r="G54" i="5"/>
  <c r="H54" i="5" s="1"/>
  <c r="I54" i="5" s="1"/>
  <c r="N13" i="2"/>
  <c r="N12" i="2"/>
  <c r="B67" i="2"/>
  <c r="N11" i="2"/>
  <c r="N10" i="2"/>
  <c r="N8" i="2"/>
  <c r="C30" i="2"/>
  <c r="N9" i="2"/>
  <c r="E20" i="2"/>
  <c r="F45" i="5" l="1"/>
  <c r="C99" i="2"/>
  <c r="C98" i="2"/>
  <c r="C97" i="2"/>
  <c r="C181" i="2"/>
  <c r="C179" i="2"/>
  <c r="C178" i="2"/>
  <c r="C177" i="2"/>
  <c r="D171" i="2"/>
  <c r="B148" i="2"/>
  <c r="C137" i="2"/>
  <c r="G56" i="5" l="1"/>
  <c r="G34" i="5" s="1"/>
  <c r="G35" i="5" s="1"/>
  <c r="G38" i="5" s="1"/>
  <c r="G39" i="5" s="1"/>
  <c r="G40" i="5" s="1"/>
  <c r="G43" i="5" s="1"/>
  <c r="G44" i="5" s="1"/>
  <c r="C127" i="2"/>
  <c r="B127" i="2"/>
  <c r="F108" i="2"/>
  <c r="D113" i="2"/>
  <c r="C113" i="2"/>
  <c r="D112" i="2"/>
  <c r="D110" i="2"/>
  <c r="D109" i="2"/>
  <c r="C112" i="2"/>
  <c r="C111" i="2"/>
  <c r="C110" i="2"/>
  <c r="C109" i="2"/>
  <c r="D108" i="2"/>
  <c r="C108" i="2"/>
  <c r="D81" i="2"/>
  <c r="C81" i="2"/>
  <c r="C80" i="2"/>
  <c r="C77" i="2"/>
  <c r="C79" i="2"/>
  <c r="C78" i="2"/>
  <c r="I56" i="5" l="1"/>
  <c r="I34" i="5" s="1"/>
  <c r="I35" i="5" s="1"/>
  <c r="I38" i="5" s="1"/>
  <c r="H56" i="5"/>
  <c r="H34" i="5" s="1"/>
  <c r="H35" i="5" s="1"/>
  <c r="H38" i="5" s="1"/>
  <c r="G45" i="5"/>
  <c r="E58" i="2"/>
  <c r="C62" i="2"/>
  <c r="C60" i="2"/>
  <c r="C59" i="2"/>
  <c r="E48" i="2"/>
  <c r="C51" i="2"/>
  <c r="C49" i="2"/>
  <c r="C48" i="2"/>
  <c r="G46" i="5" l="1"/>
  <c r="I39" i="5"/>
  <c r="I40" i="5" s="1"/>
  <c r="I43" i="5" s="1"/>
  <c r="H39" i="5"/>
  <c r="H40" i="5" s="1"/>
  <c r="H43" i="5" s="1"/>
  <c r="H44" i="5" s="1"/>
  <c r="C37" i="2"/>
  <c r="D38" i="2"/>
  <c r="C38" i="2"/>
  <c r="C29" i="2"/>
  <c r="C28" i="2"/>
  <c r="C27" i="2"/>
  <c r="D50" i="5" l="1"/>
  <c r="H45" i="5"/>
  <c r="H46" i="5" s="1"/>
  <c r="E18" i="2"/>
  <c r="D20" i="2"/>
  <c r="D19" i="2"/>
  <c r="D18" i="2"/>
  <c r="D21" i="2" s="1"/>
  <c r="C18" i="2"/>
  <c r="C20" i="2"/>
  <c r="C21" i="2" s="1"/>
  <c r="C19" i="2"/>
  <c r="I46" i="5" l="1"/>
  <c r="D48" i="5"/>
  <c r="F10" i="2"/>
  <c r="D10" i="2"/>
  <c r="H7" i="2" s="1"/>
  <c r="N6" i="2" s="1"/>
  <c r="F91" i="3" l="1"/>
  <c r="D89" i="3"/>
  <c r="D90" i="3" s="1"/>
  <c r="D82" i="3"/>
  <c r="D83" i="3" s="1"/>
  <c r="E80" i="3" s="1"/>
  <c r="E82" i="3" s="1"/>
  <c r="D92" i="3" l="1"/>
  <c r="E89" i="3" s="1"/>
  <c r="E83" i="3"/>
  <c r="F80" i="3" s="1"/>
  <c r="F82" i="3" s="1"/>
  <c r="F83" i="3" s="1"/>
  <c r="E90" i="3" l="1"/>
  <c r="E92" i="3" s="1"/>
  <c r="F89" i="3" s="1"/>
  <c r="F90" i="3" s="1"/>
  <c r="F92" i="3" s="1"/>
</calcChain>
</file>

<file path=xl/sharedStrings.xml><?xml version="1.0" encoding="utf-8"?>
<sst xmlns="http://schemas.openxmlformats.org/spreadsheetml/2006/main" count="294" uniqueCount="239">
  <si>
    <t>Питання 1</t>
  </si>
  <si>
    <t>Рішення</t>
  </si>
  <si>
    <t>Питання 2</t>
  </si>
  <si>
    <t>Питання 3</t>
  </si>
  <si>
    <t>Питання 4</t>
  </si>
  <si>
    <t>Питання 5</t>
  </si>
  <si>
    <t>Питання 6</t>
  </si>
  <si>
    <t>Питання 7</t>
  </si>
  <si>
    <t>Використовуючи умову з питання 5 та 6, яким буде IRR проекту?</t>
  </si>
  <si>
    <t>Питання 8</t>
  </si>
  <si>
    <t>Питання 9</t>
  </si>
  <si>
    <t>У вас є дві опції, купити облігацію, або інвестувати гроші в фінансовий інструмент, що платить складний процент. Облігація платить купон розміром 5% протягом 10 років. Який річний відсоток ви б хотіли отримувати по фінансовому інструменту, щоб, в результаті, отримати з нього ту ж саму суму через 10 років, що й по облігації.</t>
  </si>
  <si>
    <t>Питання 10</t>
  </si>
  <si>
    <t>Питання 11</t>
  </si>
  <si>
    <t>Питання 12</t>
  </si>
  <si>
    <t>Питання 13</t>
  </si>
  <si>
    <t>Використовуючи умову питання 11, який проект матиме більший індекс прибутковості?</t>
  </si>
  <si>
    <t>Питання 14</t>
  </si>
  <si>
    <t>Питання 15</t>
  </si>
  <si>
    <t>Питання 16</t>
  </si>
  <si>
    <t>Питання 17</t>
  </si>
  <si>
    <t>Питання 18</t>
  </si>
  <si>
    <t>Питання 19</t>
  </si>
  <si>
    <t>В чому логіка DCF аналізу?</t>
  </si>
  <si>
    <t>Питання 20</t>
  </si>
  <si>
    <t>Що вам далося найлегше та найважче протягом модуля?</t>
  </si>
  <si>
    <t>Використовуючи умову питання 11, яка різниця (в місяцях) між проектами В та А (В-А)?</t>
  </si>
  <si>
    <t>Пам'ятаєте кейс з попереднього домашнього?))) Інвестори Сихівських столів мають очікуваний рівень дохідності 20%. Використовуючи Balance Sheet з кейсу за 2015 рік та вказані в умові проценти по боргових інструментах а також рівень податків, який юуде wacc цього бізнесу? (припускаємо що відсоток який платиться по кредиторській заборгованості =0. Спочатку потрібно порахувати середньозважений процент бо боргах)</t>
  </si>
  <si>
    <t>Вам дали проаналізувати компанію. Читаючи їхній balance sheet ви визнчили, що debt ratio становит 0.4. Додатково проаналізувавши beta інших компаній з індустрії, ви вирахували вартість equity цієї компанії, яка становить 8%. Також, з balance sheet ви визначили, що в компанії всі зобов'язання складаються тільки з одної облігації терміном на 5 років та купоном 5%. Яка середньозважена вартість капіталу компанії(wacc) ігноруючи податковий щит (tax shield)?</t>
  </si>
  <si>
    <t>Ви заробили 10,000 доларів та вирішили покласти їх на рахунок який платить простий відсоток. Ваш кум порадив покласти 4,000 доларів в JP Morgan під 8% річних на 5 років та 6,000 доларів в Citi під 7% річних на 6 років. Скільки в цілому доларів по відсотках ви отримаєте від цього вкладення.</t>
  </si>
  <si>
    <t>Порахуйте суму майбутніх вартостей 10,000 доларів (і+іі+ііі): і) через 5 років під складних 10% іі) через 7 років під складних 7% ііі) через 10 років під простих 8%</t>
  </si>
  <si>
    <t>Компанія Сихівські Столи має пенсійне зобов'язання перед майстрами у розмірі 100,000 грн, які повинні бути виплаченими через 25 років. Виходячи на ІРО, рада директорів найняла оцінити вартість акцій компанії. Для цього вам потрібно оцінити теперішню вартість цього зобовязання. Якою вона буде, знаючи що ставка дисконтування для цього бізнесу є 16.5%.</t>
  </si>
  <si>
    <t>У 2012 році Василь вернувся з заробітків в Чехії і купив квартиру на Сихові за 30,000 доларів. Рівно через три роки, в зв'язку з підвищеним попитом на нерухомість, він продав цю квартиру за 38,000 доларів. Яка річна дохідність цієї інвестиції?</t>
  </si>
  <si>
    <t>Використовуючи умову з питання 5, та знаючи, що інвестиція в проект становить $1,000, яким буде NPV проекту, якщо wacc становить 20%.</t>
  </si>
  <si>
    <t>Ви вирішили назбирати гроші на квартиру, щоб купити її через 5 років. Сьогодні в вас є 20,000 доларів. Кожного місяця ви докладатимете 100 доларів на цей рахунок, який нараховуватиме складні відсотки щомісячно. Річний процент, який платить банк становить 5%. Квартира коштуватиме 50,000 доларів. Скільки в вас залишиться/бракуватиме грошей для цієї покупки через 5 років (сума Х-50,000)?</t>
  </si>
  <si>
    <t>Вам на стіл поклали два інвестиційні проекти. Проект А вимагає інвестицій у розмірі 20000, проект В вимагає інвестицій у розмірі 30,000. Грошовий потік проекту А: рік 1 = 10,000, рік 2 = 12,000, рік 3= 15,000, рік 4 = 16,000. Грошовий потік проекту  В становить: рік 1 = 9,000, рік 2 = 12,000, рік 3 = 15,000, рік 4 = 17,000. Ставка дисконтування проектів А та В становить 10%. Використовуючи NPV, який проект ви оберете?</t>
  </si>
  <si>
    <t xml:space="preserve">У цьому році, EBITDA вашої компанії становила 15,000 доларів. Ви проаналізували конкурентні компанії на ринку і побачили що середній мультиплікатор EV/EBITDA для них становить х5.3. Яка EV вашої компанії? </t>
  </si>
  <si>
    <t>Вам запропонували інвестиційний проект, в який необхідно інвестувати 100,000 доларів. Проект генеруватиме 50,000 доларів доходу щороку. На діяльність проекту вам необхідно буде витрачати щороку 20,000 доларів. Амортизації та процентів в проекті не буде. В кінці 5-го року ви продасте проект за х2 EBITDA останнього року. Який IRR проекту?</t>
  </si>
  <si>
    <t>Ви вирішили щомісяця відкладати по 350 доларів на рахунок, починаючи з кінця цього місяця. Рахунок платить складний процент у розмірі 10% річних. Скільки місяців вам доведеться відкладати, поки ви назбираєте 35,000.</t>
  </si>
  <si>
    <t>Через 5 років ви вийдете на пенсію та отримуватимете 5,000 гривень в кінці кожного року, що ви на пенсії. Ваших пенсійних забезпечень вистарчить на 20 років таких платежів (тобто ваш пенсійний фонд становитиме 100,000 гривень). Яка сьогодні теперішня вартість ваших майбутніх пенсійних виплат, якщо ставка дисконтування становить 6%?</t>
  </si>
  <si>
    <t>Ви розглядаєте інветиційний проект, що генеруватиме наступний грошовий потік: Рік 1 =980, рік 2 = 1,040, рік 3 =1,500, рік 4 = 1,600, рік 5 = 1,680. Яка теперішня вартість грошових потоків цього проекту, якщо wacc цього проекту 10%.</t>
  </si>
  <si>
    <t>грн в місяць на харчування,</t>
  </si>
  <si>
    <t xml:space="preserve">грн в місяць на одяг та </t>
  </si>
  <si>
    <t>Перегорнувши чверть століття життя, він намагється зрозуміти, що ж йому далі робити в житті?! Знайома ситуація, еге ж…</t>
  </si>
  <si>
    <t>Петро закінчив економічний факультет три роки тому і відразу влаштувалася на роботу в офісі, яка йому платитиме з наступного року зарплату у розмірі</t>
  </si>
  <si>
    <t>грн. Не маючи власного житла, він змушений орендувати квартиру, віддаючи за неї</t>
  </si>
  <si>
    <t xml:space="preserve">грн в місяць за комуналку. Окрім того, він тратить в середньому </t>
  </si>
  <si>
    <t>Три роки тому Петро починав свою трудову діяльність з зарплати</t>
  </si>
  <si>
    <t>Петро дуже хоче вчитися. У нього є дві опції, поступити на магістерську програму в УКУ у Львові, або поїхати навчатися в KMBS у Києві.</t>
  </si>
  <si>
    <t>Програма в УКУ коштує</t>
  </si>
  <si>
    <t>грн в рік. Участь в позакласних активітетах обходитиметься</t>
  </si>
  <si>
    <t>грн в місяць. Всі інші витрати Петра протягом навчання становитимуть в середньому</t>
  </si>
  <si>
    <t>грн в місяць. Після закінчення навчання Петро очікує отримати нову роботу, зі стартовою зарплатою у розмірі</t>
  </si>
  <si>
    <t xml:space="preserve"> щороку. Премія на цій роботі очікується у розмірі</t>
  </si>
  <si>
    <t>грн в місяць орендної плати а також, в середньому,</t>
  </si>
  <si>
    <t>грн в рік. Проте, УКУ надає можливість проживання в гуртожитку, що коштує</t>
  </si>
  <si>
    <t>грн в місяць та очікуваним ростом у розмірі</t>
  </si>
  <si>
    <t>Навчання в Києві триватиме 3 роки та коштуватиме</t>
  </si>
  <si>
    <t>грн. Окрім плати за навчання, Петрові навчальні матеріали коштуватимуть</t>
  </si>
  <si>
    <t>грн в рік. KMBS не дає можливості продивати в гуртожитку, тому Петрові доведеться винаймати квартиру за</t>
  </si>
  <si>
    <t>грн в місяць протягом періоду навчання. Всі інші витрати Петра становитимуть</t>
  </si>
  <si>
    <t>річних. Наприклад, якщо Петро заощаджував 100 грн у 2016, то клав їх на рахунок в кінці 2016, а відсотки на ці 100 грн нараховувались у 2017. Сума та відсоток з попереднього року накопичуються.</t>
  </si>
  <si>
    <t>грн  та триває 2 роки. Оплата за навчанна проводиться на початку навчання. Окрім плати за навчання, Петрові навчальні матеріали коштуватимуть</t>
  </si>
  <si>
    <t>грн в місяць. Всі витрати (крім оплати за навчання відбуваються в кінці року). Після закінчення навчання Петро очікує отримати нову роботу, зі стартовою зарплатою у розмірі</t>
  </si>
  <si>
    <t>На вулиці темно, гості йдуть додому, а Петро збирається мити велику кількість посуди - він щойно відсвяткував свій 25-й день народження.</t>
  </si>
  <si>
    <t>Ріст зарплатні становив 1000 грн в рік. Якщо він залишиться на цій роботі, то подальший очікуваний ріст зарплатні становитиме</t>
  </si>
  <si>
    <t>За підсумками кожного року, всі гроші, які в нього залишалися, в кінці того ж року він відкладав на гривневий рахунок в банку, який платить йому простий відсоток у розмірі</t>
  </si>
  <si>
    <t>Окрім того, працюючи офіційно, Петро сплачує Податок на доходи фізичних осіб (ПДФО) та військовий збір, які в сумі становлять</t>
  </si>
  <si>
    <t>у випадку, якщо він залишиться на сьогоднішній роботі.</t>
  </si>
  <si>
    <t>Ставка кредитування банку становить</t>
  </si>
  <si>
    <t>Відсотки, які нараховуються банком протягом періоду навчання (поки немає доходу), накопичуються на баланс боргу.</t>
  </si>
  <si>
    <t>А</t>
  </si>
  <si>
    <t>В</t>
  </si>
  <si>
    <t>С</t>
  </si>
  <si>
    <t>D</t>
  </si>
  <si>
    <t>Допоможіть Петрові прийняти рішення</t>
  </si>
  <si>
    <t>2) Скільки грошей Петро заощадив станом на сьогодні?</t>
  </si>
  <si>
    <t>Е</t>
  </si>
  <si>
    <t>5) Порахуйте теперешню вартість прибутку від трудової діяльності та прибутку від рахунку в банку в результаті такого рішення?</t>
  </si>
  <si>
    <t>7) Порахуйте грошовий потік Петра якщо він вирішить вчитися у Львові?</t>
  </si>
  <si>
    <t>8) Порахуйте теперешню вартість прибутку від трудової діяльності та прибутку від рахунку в банку в результаті такого рішення?</t>
  </si>
  <si>
    <t>10) Порахуйте грошовий потік Петра якщо він вирішить вчитися в Києві?</t>
  </si>
  <si>
    <t>11) Порахуйте теперешню вартість прибутку від трудової діяльності та прибутку від рахунку в банку в результаті такого рішення?</t>
  </si>
  <si>
    <r>
      <t xml:space="preserve">та його витрати ,були ті ж що і зараз (та сама </t>
    </r>
    <r>
      <rPr>
        <u/>
        <sz val="11"/>
        <color theme="1"/>
        <rFont val="Calibri"/>
        <family val="2"/>
        <scheme val="minor"/>
      </rPr>
      <t>сума</t>
    </r>
    <r>
      <rPr>
        <sz val="11"/>
        <color theme="1"/>
        <rFont val="Calibri"/>
        <family val="2"/>
        <scheme val="minor"/>
      </rPr>
      <t xml:space="preserve"> кожного року).</t>
    </r>
  </si>
  <si>
    <t>за рік. Також, Петро отримував та в подальшому отримуватиме щорічну премію у розмірі</t>
  </si>
  <si>
    <t>від доходу (дохід = зарплата + премія).</t>
  </si>
  <si>
    <t>Рік</t>
  </si>
  <si>
    <t>Баланс початок року</t>
  </si>
  <si>
    <t>Заощаджено</t>
  </si>
  <si>
    <t>Баланс кінець року</t>
  </si>
  <si>
    <t>Нараховані % по депозиту</t>
  </si>
  <si>
    <r>
      <t xml:space="preserve">Те саме він робитиме і в подальшому. </t>
    </r>
    <r>
      <rPr>
        <i/>
        <sz val="11"/>
        <color theme="1"/>
        <rFont val="Calibri"/>
        <family val="2"/>
        <scheme val="minor"/>
      </rPr>
      <t>(Дивись додаток 1)</t>
    </r>
  </si>
  <si>
    <t>Додаток 1</t>
  </si>
  <si>
    <t>від укладу. Структура споживання/заощадження буде такою ж, як і зараз, податок такий же ж. Протягом навчання працювати йому заборонено.</t>
  </si>
  <si>
    <t>Варто зазаначити, що для проведення розрахунків, Петро використовує ставку дисконтування у розмірі</t>
  </si>
  <si>
    <t>у випадку, якщо він піде навчатися на одну з програм, та</t>
  </si>
  <si>
    <t>Це означає, що сума, яку Петро повинен взяти до початку навчання = сума оплати за навчання + сума, наобхіна для покриття всіх витрат протягом періоду навчання - сума яку він заощадив за попередні три роки роботи.</t>
  </si>
  <si>
    <r>
      <t xml:space="preserve">Коли в Петра появиться дохід, то він весь йтиме на покриття балансу боргу. Після виплати боргу, всі гроші Петро заощаджуватиме на той саамий накопичувальний рахунок, що і сьогодні. </t>
    </r>
    <r>
      <rPr>
        <i/>
        <sz val="11"/>
        <color theme="1"/>
        <rFont val="Calibri"/>
        <family val="2"/>
        <scheme val="minor"/>
      </rPr>
      <t>(Дивись додаток 2)</t>
    </r>
  </si>
  <si>
    <t>Додаток 2</t>
  </si>
  <si>
    <t>Сума необхідна для всього періоду навчання =</t>
  </si>
  <si>
    <t>Нараховані % по кредиту</t>
  </si>
  <si>
    <t>Кошти на погашення балансу</t>
  </si>
  <si>
    <t>Баланс на кінець року</t>
  </si>
  <si>
    <t>Прибуток коли ми почали працювати =</t>
  </si>
  <si>
    <t>1) Складіть історичний грошовий потік Петра до сьогодні?</t>
  </si>
  <si>
    <t>ВПИШІТЬ ЄДИНУ ПРАВИЛЬНУ ВІДПОДВІЬ В ЖОВТУ КЛІТИНКУ!!!!</t>
  </si>
  <si>
    <t>Робота в класі</t>
  </si>
  <si>
    <t>Питання</t>
  </si>
  <si>
    <t>Кейс</t>
  </si>
  <si>
    <t>У випадку, якщо логіка розв'язання є правильною, проте десь є помилка в обчисленнях, студент може отримати 0.75%.</t>
  </si>
  <si>
    <t>Деякі пояснення до того, як готувати домашнє завдання.</t>
  </si>
  <si>
    <t>ЗАВДАННЯ</t>
  </si>
  <si>
    <t>3) Яка, на Вашу думку, теперішня вартість заощаджених грошей?</t>
  </si>
  <si>
    <t>4) Порахуйте грошовий потік Петра, якщо він вирішить залишитися на тій же ж роботі?</t>
  </si>
  <si>
    <t>6) Порахуйте NPV такого рішення?</t>
  </si>
  <si>
    <t>9) Порахуйте NPV такого рішення?</t>
  </si>
  <si>
    <t>12) Порахуйте NPV такого рішення?</t>
  </si>
  <si>
    <t>13) Чому, на Вашу думку, ставки дисконтування різняться?</t>
  </si>
  <si>
    <t>14) Розуміючи терію вартості грошей в часі та критиреії прийняття інвестиційних рішень, чи пішли б Ви навчатися сьогодні?</t>
  </si>
  <si>
    <t>ВЧИТИСЬ ЧИ НЕ ВЧИТИСЬ?</t>
  </si>
  <si>
    <t>грн в місяць на всі інші витрати (транспорт, дозвілля і тд.). Така структура витрат зберігатиметься протягом всього періоду що він працюватиме (структура = витрата/зарплату).</t>
  </si>
  <si>
    <t xml:space="preserve">від річного посадового укладу. Цю премію він заощаджує і вона виплачується в кінці кожного року, що Петро працює. </t>
  </si>
  <si>
    <r>
      <t xml:space="preserve">Петро планує працювати ще 40 років та очікує, що, якщо він залишиться на цій роботі, то </t>
    </r>
    <r>
      <rPr>
        <u/>
        <sz val="11"/>
        <color theme="1"/>
        <rFont val="Calibri"/>
        <family val="2"/>
        <scheme val="minor"/>
      </rPr>
      <t>структура</t>
    </r>
    <r>
      <rPr>
        <sz val="11"/>
        <color theme="1"/>
        <rFont val="Calibri"/>
        <family val="2"/>
        <scheme val="minor"/>
      </rPr>
      <t xml:space="preserve"> його витрат протягом цього періоду буде тією ж, що і зараз.</t>
    </r>
  </si>
  <si>
    <t>Якщо Петро вирішить йти вчитися, то йому доведеться брати кредит на навчання. Банк погодився профінансувати це навчання, за умови, що кредит буде вибраний перед початком навчання.</t>
  </si>
  <si>
    <t>ВІДПОВІДІ</t>
  </si>
  <si>
    <t>Кейс Бонус</t>
  </si>
  <si>
    <t>Payback period =</t>
  </si>
  <si>
    <t>5.</t>
  </si>
  <si>
    <t>IRR =</t>
  </si>
  <si>
    <t>4.</t>
  </si>
  <si>
    <t>NPV =</t>
  </si>
  <si>
    <t>3.</t>
  </si>
  <si>
    <t>Акумульовані PV ГП проекту</t>
  </si>
  <si>
    <t>PV ГП проекту</t>
  </si>
  <si>
    <t>ГП проекту</t>
  </si>
  <si>
    <t>ГП від операцій</t>
  </si>
  <si>
    <t>Інвестиція</t>
  </si>
  <si>
    <t>Чистий прибуток</t>
  </si>
  <si>
    <t>Податок</t>
  </si>
  <si>
    <t>EBT</t>
  </si>
  <si>
    <t>Процент</t>
  </si>
  <si>
    <t>Амортизація</t>
  </si>
  <si>
    <t>EBITDA</t>
  </si>
  <si>
    <t>Операційні витрати</t>
  </si>
  <si>
    <t>Собівартість</t>
  </si>
  <si>
    <t>Дохід</t>
  </si>
  <si>
    <t xml:space="preserve">2. </t>
  </si>
  <si>
    <t>WACC =</t>
  </si>
  <si>
    <t>1.</t>
  </si>
  <si>
    <t>Відповіді та калькуляції показати нижче</t>
  </si>
  <si>
    <t>5. Порахувати дисконтований період окупності проекту</t>
  </si>
  <si>
    <t>4. Порахувати IRR проекту</t>
  </si>
  <si>
    <t>3. Порахувати NPV проекту</t>
  </si>
  <si>
    <t>2. Скласти грошовий потік для проекту</t>
  </si>
  <si>
    <t>1. Порахувати WACC компанії</t>
  </si>
  <si>
    <t>Завдання</t>
  </si>
  <si>
    <t>В кінці 5го року інвестори планують продати бізнес за дві EBITDA п'ятого року.</t>
  </si>
  <si>
    <t>Податкова ставка для таких бізнесів становить 40%.</t>
  </si>
  <si>
    <t>Очікувана дохідність інвесторів становить 20%.</t>
  </si>
  <si>
    <t>Гроші вкладені в товар повернуться в кінці 5го року.</t>
  </si>
  <si>
    <t>Решту суми, необхідної для інветсиції, вклали власники: 30000 грн для купівлі автомобіля (які невистачало з позики) та 50000 грн для закупки товару.</t>
  </si>
  <si>
    <t>Щоб купити автомобіль, компанія позичила 120000 грн під 8% річних (виплата щороку) та поверненням позики в кінці 5го року.</t>
  </si>
  <si>
    <t>В кінці 5го року вони планують продати її на брухт за 50000 грн.</t>
  </si>
  <si>
    <t>Для перевозки шкарпеток компанія купили Таврію за 150000 грн, яка амортизується прямолінійним методом протягом наступних 5 років.</t>
  </si>
  <si>
    <t>Інвестиція в бізнес становить 200000 грн.</t>
  </si>
  <si>
    <t>Компанія домовилась з опертором будок, що вони братимауть ці будки в довгострокову оренду з фіксованою ціною 7000 грн в місяць за будку протягом наступних 5 років.</t>
  </si>
  <si>
    <t>На перший рік, зарплата одного продавця становитиме, 3200 грн в рік, і надалі ростиме з інфляцією.</t>
  </si>
  <si>
    <t>Компанія матиме по 2 продавці в кожну будку. В перший рік планується 1 будка, в другий 2, в третій 3, в четвертий 4, в п'ятий також 4 будки.</t>
  </si>
  <si>
    <t>Інших валових витрат в компанії немає.</t>
  </si>
  <si>
    <t xml:space="preserve">Закупівельні та продажні ціни рухатимуться з інфляцією, яка прогнозується в середньому 10% протягом наступних 5 років. </t>
  </si>
  <si>
    <t>В перший рік шкарпетки купуватимуть по 10 грн а продаватимуть по 20 грн.</t>
  </si>
  <si>
    <t>Ріст продаж планується 50% в другий рік, 40% в третій рік, 30% в четвертий і 15% в п'ятий рік, відповідно.</t>
  </si>
  <si>
    <t xml:space="preserve">В перший рік компанія планує продажі на рівні 2000 пар шкарпеток в місяць. </t>
  </si>
  <si>
    <t>Два партнери вирішили відкрити будки на базарі та продавати шкарпетки.</t>
  </si>
  <si>
    <t>Умова задачі</t>
  </si>
  <si>
    <t>У випадку присутності на лекції, студент отримує 16% автоматично та 4% за активність у класі. Два дні = max 20%.</t>
  </si>
  <si>
    <r>
      <t xml:space="preserve">Одне питання = 1.5%. Питання вважатиметься зарахованим у випадку, якщо є правильна відповідь в </t>
    </r>
    <r>
      <rPr>
        <b/>
        <u/>
        <sz val="11"/>
        <color theme="1"/>
        <rFont val="Calibri"/>
        <family val="2"/>
        <scheme val="minor"/>
      </rPr>
      <t>жовтій</t>
    </r>
    <r>
      <rPr>
        <sz val="11"/>
        <color theme="1"/>
        <rFont val="Calibri"/>
        <family val="2"/>
        <scheme val="minor"/>
      </rPr>
      <t xml:space="preserve"> клітинці, поданий розв'язок в </t>
    </r>
    <r>
      <rPr>
        <b/>
        <u/>
        <sz val="11"/>
        <color theme="1"/>
        <rFont val="Calibri"/>
        <family val="2"/>
        <scheme val="minor"/>
      </rPr>
      <t>таблиці</t>
    </r>
    <r>
      <rPr>
        <sz val="11"/>
        <color theme="1"/>
        <rFont val="Calibri"/>
        <family val="2"/>
        <scheme val="minor"/>
      </rPr>
      <t xml:space="preserve"> під питанням та</t>
    </r>
  </si>
  <si>
    <t>правильна відповідь заокруглена до 2 значень після коми.</t>
  </si>
  <si>
    <t>Якщо ці три параметри не збігаються, то питання = 0!!!!!</t>
  </si>
  <si>
    <t>Відповіді на кейс теж повинні заноситися в жовті клітинки в закладці Case.</t>
  </si>
  <si>
    <t>Розв'язок потрібно подати нижче.</t>
  </si>
  <si>
    <t>Заокруглення - два значення піся коми</t>
  </si>
  <si>
    <t>Також, ви можете розв'язати бонусний кейс і покращити таким чином свою оцінку за цю домашню роботу.</t>
  </si>
  <si>
    <t>Відповідь на питання 19 та 20 впишіть у бокс під питанням.</t>
  </si>
  <si>
    <t>Успіхів!</t>
  </si>
  <si>
    <t xml:space="preserve"> </t>
  </si>
  <si>
    <t xml:space="preserve"> 1) </t>
  </si>
  <si>
    <t>PV</t>
  </si>
  <si>
    <t>NPER</t>
  </si>
  <si>
    <t>RATE</t>
  </si>
  <si>
    <t>FV</t>
  </si>
  <si>
    <t>3)Interests</t>
  </si>
  <si>
    <t>Rate</t>
  </si>
  <si>
    <t>i</t>
  </si>
  <si>
    <t>ii</t>
  </si>
  <si>
    <t>iii</t>
  </si>
  <si>
    <t>RR=</t>
  </si>
  <si>
    <t>СF</t>
  </si>
  <si>
    <t>WACC</t>
  </si>
  <si>
    <t>NPV</t>
  </si>
  <si>
    <t>I</t>
  </si>
  <si>
    <t>Проект А</t>
  </si>
  <si>
    <t>Проект В</t>
  </si>
  <si>
    <t>І</t>
  </si>
  <si>
    <t>Rate of Discount</t>
  </si>
  <si>
    <t>NPV(A)</t>
  </si>
  <si>
    <t>NPV(B)</t>
  </si>
  <si>
    <t>RR</t>
  </si>
  <si>
    <t>TaxRate</t>
  </si>
  <si>
    <t>Initial Investment</t>
  </si>
  <si>
    <t>Revenue</t>
  </si>
  <si>
    <t>Expences</t>
  </si>
  <si>
    <t>debt ratio</t>
  </si>
  <si>
    <t>Equity value</t>
  </si>
  <si>
    <t>A</t>
  </si>
  <si>
    <t>Sales</t>
  </si>
  <si>
    <t>COGS</t>
  </si>
  <si>
    <t>OPEX</t>
  </si>
  <si>
    <t>Будки, шт</t>
  </si>
  <si>
    <t>ФОП, грн</t>
  </si>
  <si>
    <t>Оренда, грн.</t>
  </si>
  <si>
    <t xml:space="preserve">Інвестиція, </t>
  </si>
  <si>
    <t>Довгостроковий кредит</t>
  </si>
  <si>
    <t>Власний капітал</t>
  </si>
  <si>
    <t>Очікувана дохідність</t>
  </si>
  <si>
    <t>Ставка податку</t>
  </si>
  <si>
    <t>EBIDTA</t>
  </si>
  <si>
    <t>IRR</t>
  </si>
  <si>
    <t>(1+r/100)^10=(1+5/100*10) (1+r/100)^10=1,5 r=(1,0414-1)*100 r=4,14</t>
  </si>
  <si>
    <t>r=</t>
  </si>
  <si>
    <t>14 міс</t>
  </si>
  <si>
    <t>Він використовується для аналізу привабливості певної інвестиційної можливості. При цьому використовуються передбачувані майбутні вільні грошові потоки. Вони дисконтуються , щоб отримати їх справжню вартість для оцінки потенціалу інвестицій. Якщо вартість, отримана в результаті аналізу дисконтованих грошових потоків вище, ніж поточна вартість інвестицій, така інвестиція є привабливою.</t>
  </si>
  <si>
    <t>Таврія, амортизація</t>
  </si>
  <si>
    <t>Роб. Кап.</t>
  </si>
  <si>
    <t>ЗП1</t>
  </si>
  <si>
    <t>ЗП2</t>
  </si>
  <si>
    <t>ЗП3</t>
  </si>
  <si>
    <t>ЗП4</t>
  </si>
  <si>
    <t>ЗП5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</si>
</sst>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0.00&quot;р.&quot;;[Red]\-#,##0.00&quot;р.&quot;"/>
    <numFmt numFmtId="44" formatCode="_-* #,##0.00&quot;р.&quot;_-;\-* #,##0.00&quot;р.&quot;_-;_-* &quot;-&quot;??&quot;р.&quot;_-;_-@_-"/>
    <numFmt numFmtId="43" formatCode="_-* #,##0.00_р_._-;\-* #,##0.00_р_._-;_-* &quot;-&quot;??_р_._-;_-@_-"/>
    <numFmt numFmtId="164" formatCode="&quot;$&quot;#,##0_);[Red]\(&quot;$&quot;#,##0\)"/>
    <numFmt numFmtId="165" formatCode="&quot;$&quot;#,##0.00_);[Red]\(&quot;$&quot;#,##0.00\)"/>
    <numFmt numFmtId="166" formatCode="_(* #,##0.00_);_(* \(#,##0.00\);_(* &quot;-&quot;??_);_(@_)"/>
    <numFmt numFmtId="167" formatCode="_(* #,##0_);_(* \(#,##0\);_(* &quot;-&quot;??_);_(@_)"/>
    <numFmt numFmtId="168" formatCode="0.0%"/>
    <numFmt numFmtId="169" formatCode="#,##0;[Red]#,##0"/>
    <numFmt numFmtId="170" formatCode="#,##0.00_р_."/>
    <numFmt numFmtId="171" formatCode="#,##0.00;[Red]#,##0.00"/>
    <numFmt numFmtId="172" formatCode="#,##0.00_р_.;[Red]#,##0.00_р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color rgb="FFFF000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166" fontId="1" fillId="0" borderId="0" applyFont="0" applyFill="0" applyBorder="0" applyAlignment="0" applyProtection="0"/>
  </cellStyleXfs>
  <cellXfs count="119">
    <xf numFmtId="0" fontId="0" fillId="0" borderId="0" xfId="0"/>
    <xf numFmtId="0" fontId="4" fillId="0" borderId="1" xfId="0" applyFont="1" applyBorder="1"/>
    <xf numFmtId="0" fontId="0" fillId="0" borderId="2" xfId="0" applyBorder="1"/>
    <xf numFmtId="0" fontId="0" fillId="0" borderId="3" xfId="0" applyBorder="1"/>
    <xf numFmtId="0" fontId="3" fillId="0" borderId="4" xfId="0" applyFont="1" applyBorder="1"/>
    <xf numFmtId="0" fontId="0" fillId="0" borderId="0" xfId="0" applyBorder="1"/>
    <xf numFmtId="0" fontId="0" fillId="0" borderId="5" xfId="0" applyBorder="1"/>
    <xf numFmtId="0" fontId="2" fillId="0" borderId="6" xfId="0" applyFont="1" applyBorder="1"/>
    <xf numFmtId="0" fontId="2" fillId="0" borderId="7" xfId="0" applyFont="1" applyBorder="1"/>
    <xf numFmtId="0" fontId="2" fillId="0" borderId="8" xfId="0" applyFont="1" applyBorder="1"/>
    <xf numFmtId="0" fontId="2" fillId="0" borderId="4" xfId="0" applyFont="1" applyBorder="1"/>
    <xf numFmtId="0" fontId="2" fillId="0" borderId="0" xfId="0" applyFont="1" applyBorder="1"/>
    <xf numFmtId="0" fontId="2" fillId="0" borderId="5" xfId="0" applyFont="1" applyBorder="1"/>
    <xf numFmtId="0" fontId="2" fillId="0" borderId="9" xfId="0" applyFont="1" applyBorder="1"/>
    <xf numFmtId="0" fontId="2" fillId="0" borderId="10" xfId="0" applyFont="1" applyBorder="1"/>
    <xf numFmtId="0" fontId="2" fillId="0" borderId="11" xfId="0" applyFont="1" applyBorder="1"/>
    <xf numFmtId="165" fontId="2" fillId="0" borderId="0" xfId="0" applyNumberFormat="1" applyFont="1" applyBorder="1"/>
    <xf numFmtId="9" fontId="2" fillId="0" borderId="0" xfId="0" applyNumberFormat="1" applyFont="1" applyBorder="1"/>
    <xf numFmtId="10" fontId="2" fillId="0" borderId="0" xfId="0" applyNumberFormat="1" applyFont="1" applyBorder="1"/>
    <xf numFmtId="10" fontId="2" fillId="0" borderId="7" xfId="1" applyNumberFormat="1" applyFont="1" applyBorder="1"/>
    <xf numFmtId="9" fontId="2" fillId="0" borderId="7" xfId="0" applyNumberFormat="1" applyFont="1" applyBorder="1"/>
    <xf numFmtId="9" fontId="0" fillId="0" borderId="0" xfId="0" applyNumberFormat="1"/>
    <xf numFmtId="10" fontId="0" fillId="0" borderId="0" xfId="0" applyNumberFormat="1"/>
    <xf numFmtId="167" fontId="0" fillId="0" borderId="0" xfId="2" applyNumberFormat="1" applyFont="1"/>
    <xf numFmtId="167" fontId="0" fillId="0" borderId="0" xfId="0" applyNumberFormat="1"/>
    <xf numFmtId="168" fontId="0" fillId="0" borderId="0" xfId="0" applyNumberFormat="1"/>
    <xf numFmtId="165" fontId="0" fillId="0" borderId="0" xfId="0" applyNumberFormat="1"/>
    <xf numFmtId="0" fontId="3" fillId="0" borderId="0" xfId="0" applyFont="1"/>
    <xf numFmtId="164" fontId="0" fillId="0" borderId="0" xfId="0" applyNumberFormat="1"/>
    <xf numFmtId="0" fontId="0" fillId="0" borderId="0" xfId="0" applyNumberFormat="1"/>
    <xf numFmtId="0" fontId="3" fillId="0" borderId="0" xfId="0" applyNumberFormat="1" applyFont="1"/>
    <xf numFmtId="0" fontId="4" fillId="0" borderId="0" xfId="0" applyFont="1"/>
    <xf numFmtId="0" fontId="0" fillId="0" borderId="0" xfId="0" applyFont="1"/>
    <xf numFmtId="0" fontId="2" fillId="2" borderId="0" xfId="0" applyFont="1" applyFill="1"/>
    <xf numFmtId="0" fontId="0" fillId="2" borderId="0" xfId="0" applyFill="1"/>
    <xf numFmtId="0" fontId="0" fillId="0" borderId="12" xfId="0" applyBorder="1"/>
    <xf numFmtId="0" fontId="0" fillId="0" borderId="13" xfId="0" applyBorder="1"/>
    <xf numFmtId="9" fontId="0" fillId="0" borderId="14" xfId="0" applyNumberFormat="1" applyBorder="1"/>
    <xf numFmtId="0" fontId="0" fillId="0" borderId="4" xfId="0" applyBorder="1"/>
    <xf numFmtId="9" fontId="0" fillId="0" borderId="5" xfId="0" applyNumberFormat="1" applyBorder="1"/>
    <xf numFmtId="0" fontId="0" fillId="0" borderId="9" xfId="0" applyBorder="1"/>
    <xf numFmtId="0" fontId="0" fillId="0" borderId="10" xfId="0" applyBorder="1"/>
    <xf numFmtId="9" fontId="0" fillId="0" borderId="11" xfId="0" applyNumberFormat="1" applyBorder="1"/>
    <xf numFmtId="0" fontId="0" fillId="0" borderId="15" xfId="0" applyBorder="1"/>
    <xf numFmtId="0" fontId="0" fillId="2" borderId="15" xfId="0" applyFill="1" applyBorder="1"/>
    <xf numFmtId="0" fontId="7" fillId="0" borderId="0" xfId="0" applyFont="1"/>
    <xf numFmtId="0" fontId="0" fillId="0" borderId="16" xfId="0" applyFill="1" applyBorder="1"/>
    <xf numFmtId="0" fontId="0" fillId="0" borderId="17" xfId="0" applyBorder="1"/>
    <xf numFmtId="9" fontId="0" fillId="0" borderId="18" xfId="0" applyNumberFormat="1" applyBorder="1"/>
    <xf numFmtId="165" fontId="2" fillId="0" borderId="8" xfId="0" applyNumberFormat="1" applyFont="1" applyBorder="1"/>
    <xf numFmtId="165" fontId="0" fillId="2" borderId="15" xfId="0" applyNumberFormat="1" applyFill="1" applyBorder="1"/>
    <xf numFmtId="0" fontId="2" fillId="0" borderId="15" xfId="0" applyFont="1" applyBorder="1"/>
    <xf numFmtId="165" fontId="2" fillId="0" borderId="15" xfId="0" applyNumberFormat="1" applyFont="1" applyBorder="1"/>
    <xf numFmtId="1" fontId="2" fillId="0" borderId="15" xfId="0" applyNumberFormat="1" applyFont="1" applyBorder="1"/>
    <xf numFmtId="43" fontId="2" fillId="0" borderId="15" xfId="0" applyNumberFormat="1" applyFont="1" applyBorder="1"/>
    <xf numFmtId="44" fontId="2" fillId="0" borderId="7" xfId="0" applyNumberFormat="1" applyFont="1" applyBorder="1"/>
    <xf numFmtId="169" fontId="2" fillId="0" borderId="0" xfId="0" applyNumberFormat="1" applyFont="1" applyBorder="1"/>
    <xf numFmtId="2" fontId="2" fillId="0" borderId="7" xfId="0" applyNumberFormat="1" applyFont="1" applyBorder="1"/>
    <xf numFmtId="0" fontId="2" fillId="0" borderId="15" xfId="0" applyFont="1" applyBorder="1" applyAlignment="1">
      <alignment horizontal="center"/>
    </xf>
    <xf numFmtId="10" fontId="2" fillId="0" borderId="6" xfId="0" applyNumberFormat="1" applyFont="1" applyBorder="1"/>
    <xf numFmtId="8" fontId="2" fillId="0" borderId="10" xfId="0" applyNumberFormat="1" applyFont="1" applyBorder="1"/>
    <xf numFmtId="0" fontId="4" fillId="0" borderId="22" xfId="0" applyFont="1" applyBorder="1"/>
    <xf numFmtId="0" fontId="0" fillId="0" borderId="23" xfId="0" applyBorder="1"/>
    <xf numFmtId="0" fontId="0" fillId="0" borderId="15" xfId="0" applyBorder="1" applyAlignment="1">
      <alignment wrapText="1"/>
    </xf>
    <xf numFmtId="10" fontId="0" fillId="0" borderId="15" xfId="0" applyNumberFormat="1" applyBorder="1"/>
    <xf numFmtId="40" fontId="2" fillId="2" borderId="15" xfId="0" applyNumberFormat="1" applyFont="1" applyFill="1" applyBorder="1"/>
    <xf numFmtId="0" fontId="2" fillId="0" borderId="15" xfId="0" applyFont="1" applyBorder="1" applyAlignment="1">
      <alignment wrapText="1"/>
    </xf>
    <xf numFmtId="10" fontId="2" fillId="0" borderId="15" xfId="0" applyNumberFormat="1" applyFont="1" applyBorder="1"/>
    <xf numFmtId="10" fontId="2" fillId="0" borderId="7" xfId="0" applyNumberFormat="1" applyFont="1" applyBorder="1"/>
    <xf numFmtId="1" fontId="0" fillId="2" borderId="15" xfId="0" applyNumberFormat="1" applyFill="1" applyBorder="1"/>
    <xf numFmtId="10" fontId="0" fillId="2" borderId="15" xfId="0" applyNumberFormat="1" applyFill="1" applyBorder="1"/>
    <xf numFmtId="43" fontId="2" fillId="0" borderId="0" xfId="0" applyNumberFormat="1" applyFont="1" applyBorder="1"/>
    <xf numFmtId="2" fontId="0" fillId="2" borderId="15" xfId="0" applyNumberFormat="1" applyFill="1" applyBorder="1"/>
    <xf numFmtId="8" fontId="0" fillId="2" borderId="15" xfId="0" applyNumberFormat="1" applyFill="1" applyBorder="1"/>
    <xf numFmtId="40" fontId="2" fillId="3" borderId="15" xfId="0" applyNumberFormat="1" applyFont="1" applyFill="1" applyBorder="1"/>
    <xf numFmtId="0" fontId="0" fillId="0" borderId="15" xfId="0" quotePrefix="1" applyBorder="1"/>
    <xf numFmtId="0" fontId="6" fillId="0" borderId="15" xfId="0" applyFont="1" applyBorder="1"/>
    <xf numFmtId="0" fontId="0" fillId="0" borderId="15" xfId="0" applyFill="1" applyBorder="1"/>
    <xf numFmtId="171" fontId="2" fillId="0" borderId="10" xfId="0" applyNumberFormat="1" applyFont="1" applyBorder="1"/>
    <xf numFmtId="43" fontId="0" fillId="2" borderId="15" xfId="0" applyNumberFormat="1" applyFill="1" applyBorder="1" applyAlignment="1">
      <alignment horizontal="center" vertical="center"/>
    </xf>
    <xf numFmtId="9" fontId="2" fillId="0" borderId="15" xfId="0" applyNumberFormat="1" applyFont="1" applyBorder="1"/>
    <xf numFmtId="2" fontId="0" fillId="2" borderId="15" xfId="0" applyNumberFormat="1" applyFill="1" applyBorder="1" applyAlignment="1">
      <alignment horizontal="center"/>
    </xf>
    <xf numFmtId="40" fontId="0" fillId="2" borderId="15" xfId="0" applyNumberFormat="1" applyFill="1" applyBorder="1" applyAlignment="1">
      <alignment horizontal="center"/>
    </xf>
    <xf numFmtId="2" fontId="2" fillId="2" borderId="6" xfId="0" applyNumberFormat="1" applyFont="1" applyFill="1" applyBorder="1"/>
    <xf numFmtId="0" fontId="2" fillId="0" borderId="20" xfId="0" applyFont="1" applyFill="1" applyBorder="1"/>
    <xf numFmtId="10" fontId="2" fillId="0" borderId="0" xfId="0" applyNumberFormat="1" applyFont="1" applyBorder="1" applyAlignment="1"/>
    <xf numFmtId="9" fontId="0" fillId="2" borderId="15" xfId="0" applyNumberFormat="1" applyFill="1" applyBorder="1"/>
    <xf numFmtId="2" fontId="2" fillId="0" borderId="15" xfId="0" applyNumberFormat="1" applyFont="1" applyBorder="1"/>
    <xf numFmtId="2" fontId="0" fillId="0" borderId="15" xfId="0" applyNumberFormat="1" applyBorder="1"/>
    <xf numFmtId="8" fontId="0" fillId="0" borderId="15" xfId="0" applyNumberFormat="1" applyBorder="1"/>
    <xf numFmtId="172" fontId="0" fillId="2" borderId="15" xfId="0" applyNumberFormat="1" applyFill="1" applyBorder="1"/>
    <xf numFmtId="171" fontId="0" fillId="2" borderId="15" xfId="0" applyNumberFormat="1" applyFill="1" applyBorder="1"/>
    <xf numFmtId="0" fontId="0" fillId="0" borderId="15" xfId="0" applyBorder="1" applyAlignment="1">
      <alignment horizontal="center"/>
    </xf>
    <xf numFmtId="10" fontId="2" fillId="0" borderId="19" xfId="0" applyNumberFormat="1" applyFont="1" applyBorder="1" applyAlignment="1">
      <alignment horizontal="center" vertical="center" wrapText="1"/>
    </xf>
    <xf numFmtId="10" fontId="2" fillId="0" borderId="20" xfId="0" applyNumberFormat="1" applyFont="1" applyBorder="1" applyAlignment="1">
      <alignment horizontal="center" vertical="center" wrapText="1"/>
    </xf>
    <xf numFmtId="10" fontId="2" fillId="0" borderId="21" xfId="0" applyNumberFormat="1"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20" xfId="0" applyNumberFormat="1" applyFont="1" applyBorder="1" applyAlignment="1">
      <alignment horizontal="center" vertical="center" wrapText="1"/>
    </xf>
    <xf numFmtId="2" fontId="2" fillId="0" borderId="21" xfId="0" applyNumberFormat="1" applyFont="1" applyBorder="1" applyAlignment="1">
      <alignment horizontal="center" vertical="center" wrapText="1"/>
    </xf>
    <xf numFmtId="170" fontId="2" fillId="0" borderId="19" xfId="0" applyNumberFormat="1" applyFont="1" applyBorder="1" applyAlignment="1">
      <alignment horizontal="center" vertical="center" wrapText="1"/>
    </xf>
    <xf numFmtId="170" fontId="2" fillId="0" borderId="20" xfId="0" applyNumberFormat="1" applyFont="1" applyBorder="1" applyAlignment="1">
      <alignment horizontal="center" vertical="center" wrapText="1"/>
    </xf>
    <xf numFmtId="170" fontId="2" fillId="0" borderId="21" xfId="0" applyNumberFormat="1" applyFont="1" applyBorder="1" applyAlignment="1">
      <alignment horizontal="center" vertical="center" wrapText="1"/>
    </xf>
    <xf numFmtId="8" fontId="2" fillId="0" borderId="19" xfId="0" applyNumberFormat="1"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49" fontId="2" fillId="0" borderId="6" xfId="0" applyNumberFormat="1" applyFont="1" applyBorder="1" applyAlignment="1">
      <alignment vertical="top" wrapText="1"/>
    </xf>
    <xf numFmtId="49" fontId="0" fillId="0" borderId="7" xfId="0" applyNumberFormat="1" applyBorder="1" applyAlignment="1">
      <alignment vertical="top" wrapText="1"/>
    </xf>
    <xf numFmtId="49" fontId="0" fillId="0" borderId="4" xfId="0" applyNumberFormat="1" applyBorder="1" applyAlignment="1">
      <alignment vertical="top" wrapText="1"/>
    </xf>
    <xf numFmtId="49" fontId="0" fillId="0" borderId="0" xfId="0" applyNumberFormat="1" applyAlignment="1">
      <alignment vertical="top" wrapText="1"/>
    </xf>
    <xf numFmtId="49" fontId="0" fillId="0" borderId="9" xfId="0" applyNumberFormat="1" applyBorder="1" applyAlignment="1">
      <alignment vertical="top" wrapText="1"/>
    </xf>
    <xf numFmtId="49" fontId="0" fillId="0" borderId="10" xfId="0" applyNumberFormat="1" applyBorder="1" applyAlignment="1">
      <alignment vertical="top" wrapText="1"/>
    </xf>
    <xf numFmtId="0" fontId="0" fillId="0" borderId="0" xfId="0" applyBorder="1" applyAlignment="1">
      <alignment wrapText="1"/>
    </xf>
    <xf numFmtId="0" fontId="0" fillId="0" borderId="0" xfId="0" applyAlignment="1">
      <alignment wrapText="1"/>
    </xf>
    <xf numFmtId="0" fontId="0" fillId="0" borderId="5" xfId="0" applyBorder="1" applyAlignment="1">
      <alignment wrapText="1"/>
    </xf>
    <xf numFmtId="0" fontId="0" fillId="0" borderId="10" xfId="0" applyBorder="1" applyAlignment="1">
      <alignment wrapText="1"/>
    </xf>
    <xf numFmtId="0" fontId="0" fillId="0" borderId="11" xfId="0" applyBorder="1" applyAlignment="1">
      <alignment wrapText="1"/>
    </xf>
  </cellXfs>
  <cellStyles count="3">
    <cellStyle name="Обычный" xfId="0" builtinId="0"/>
    <cellStyle name="Процентный" xfId="1" builtinId="5"/>
    <cellStyle name="Финансовый"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J25"/>
  <sheetViews>
    <sheetView showGridLines="0" workbookViewId="0">
      <selection activeCell="J25" sqref="J25"/>
    </sheetView>
  </sheetViews>
  <sheetFormatPr defaultRowHeight="15" x14ac:dyDescent="0.25"/>
  <sheetData>
    <row r="2" spans="2:4" ht="15.75" thickBot="1" x14ac:dyDescent="0.3"/>
    <row r="3" spans="2:4" x14ac:dyDescent="0.25">
      <c r="B3" s="35" t="s">
        <v>106</v>
      </c>
      <c r="C3" s="36"/>
      <c r="D3" s="37">
        <v>0.2</v>
      </c>
    </row>
    <row r="4" spans="2:4" x14ac:dyDescent="0.25">
      <c r="B4" s="38" t="s">
        <v>107</v>
      </c>
      <c r="C4" s="5"/>
      <c r="D4" s="39">
        <v>0.4</v>
      </c>
    </row>
    <row r="5" spans="2:4" ht="15.75" thickBot="1" x14ac:dyDescent="0.3">
      <c r="B5" s="40" t="s">
        <v>108</v>
      </c>
      <c r="C5" s="41"/>
      <c r="D5" s="42">
        <v>0.4</v>
      </c>
    </row>
    <row r="6" spans="2:4" ht="15.75" thickBot="1" x14ac:dyDescent="0.3">
      <c r="B6" s="46" t="s">
        <v>125</v>
      </c>
      <c r="C6" s="47"/>
      <c r="D6" s="48">
        <v>0.2</v>
      </c>
    </row>
    <row r="8" spans="2:4" x14ac:dyDescent="0.25">
      <c r="B8" t="s">
        <v>110</v>
      </c>
    </row>
    <row r="9" spans="2:4" x14ac:dyDescent="0.25">
      <c r="B9" s="27" t="s">
        <v>106</v>
      </c>
    </row>
    <row r="10" spans="2:4" x14ac:dyDescent="0.25">
      <c r="C10" t="s">
        <v>175</v>
      </c>
    </row>
    <row r="11" spans="2:4" x14ac:dyDescent="0.25">
      <c r="B11" s="27" t="s">
        <v>107</v>
      </c>
    </row>
    <row r="12" spans="2:4" x14ac:dyDescent="0.25">
      <c r="C12" t="s">
        <v>176</v>
      </c>
    </row>
    <row r="13" spans="2:4" x14ac:dyDescent="0.25">
      <c r="C13" t="s">
        <v>177</v>
      </c>
    </row>
    <row r="14" spans="2:4" x14ac:dyDescent="0.25">
      <c r="C14" t="s">
        <v>178</v>
      </c>
    </row>
    <row r="15" spans="2:4" x14ac:dyDescent="0.25">
      <c r="C15" t="s">
        <v>183</v>
      </c>
    </row>
    <row r="16" spans="2:4" x14ac:dyDescent="0.25">
      <c r="C16" t="s">
        <v>109</v>
      </c>
    </row>
    <row r="17" spans="2:10" x14ac:dyDescent="0.25">
      <c r="B17" s="27" t="s">
        <v>108</v>
      </c>
    </row>
    <row r="18" spans="2:10" x14ac:dyDescent="0.25">
      <c r="C18" t="s">
        <v>179</v>
      </c>
    </row>
    <row r="19" spans="2:10" x14ac:dyDescent="0.25">
      <c r="C19" t="s">
        <v>180</v>
      </c>
    </row>
    <row r="20" spans="2:10" x14ac:dyDescent="0.25">
      <c r="C20" t="s">
        <v>181</v>
      </c>
    </row>
    <row r="21" spans="2:10" x14ac:dyDescent="0.25">
      <c r="C21" t="s">
        <v>182</v>
      </c>
    </row>
    <row r="22" spans="2:10" x14ac:dyDescent="0.25">
      <c r="C22" t="s">
        <v>184</v>
      </c>
    </row>
    <row r="25" spans="2:10" x14ac:dyDescent="0.25">
      <c r="J25" t="s">
        <v>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N201"/>
  <sheetViews>
    <sheetView showGridLines="0" topLeftCell="A169" workbookViewId="0">
      <selection activeCell="K185" sqref="K185"/>
    </sheetView>
  </sheetViews>
  <sheetFormatPr defaultRowHeight="15" x14ac:dyDescent="0.25"/>
  <cols>
    <col min="2" max="2" width="13.5703125" customWidth="1"/>
    <col min="3" max="3" width="18.7109375" customWidth="1"/>
    <col min="4" max="4" width="11.42578125" bestFit="1" customWidth="1"/>
    <col min="5" max="5" width="12.7109375" customWidth="1"/>
    <col min="6" max="6" width="11.7109375" customWidth="1"/>
    <col min="7" max="7" width="10.85546875" bestFit="1" customWidth="1"/>
    <col min="8" max="8" width="9.5703125" bestFit="1" customWidth="1"/>
    <col min="14" max="14" width="11.42578125" bestFit="1" customWidth="1"/>
  </cols>
  <sheetData>
    <row r="2" spans="2:14" x14ac:dyDescent="0.25">
      <c r="B2" s="33" t="s">
        <v>105</v>
      </c>
      <c r="C2" s="34"/>
      <c r="D2" s="34"/>
      <c r="E2" s="34"/>
      <c r="F2" s="34"/>
    </row>
    <row r="3" spans="2:14" ht="15.75" thickBot="1" x14ac:dyDescent="0.3"/>
    <row r="4" spans="2:14" x14ac:dyDescent="0.25">
      <c r="B4" s="1" t="s">
        <v>0</v>
      </c>
      <c r="C4" s="2"/>
      <c r="D4" s="2"/>
      <c r="E4" s="2"/>
      <c r="F4" s="2"/>
      <c r="G4" s="2"/>
      <c r="H4" s="3"/>
    </row>
    <row r="5" spans="2:14" ht="64.5" customHeight="1" x14ac:dyDescent="0.25">
      <c r="B5" s="105" t="s">
        <v>29</v>
      </c>
      <c r="C5" s="106"/>
      <c r="D5" s="106"/>
      <c r="E5" s="106"/>
      <c r="F5" s="106"/>
      <c r="G5" s="106"/>
      <c r="H5" s="107"/>
      <c r="M5" s="45" t="s">
        <v>124</v>
      </c>
    </row>
    <row r="6" spans="2:14" x14ac:dyDescent="0.25">
      <c r="B6" s="4" t="s">
        <v>1</v>
      </c>
      <c r="C6" s="5"/>
      <c r="D6" s="5"/>
      <c r="E6" s="5"/>
      <c r="F6" s="5"/>
      <c r="G6" s="5"/>
      <c r="H6" s="6"/>
      <c r="M6" s="43">
        <v>1</v>
      </c>
      <c r="N6" s="50">
        <f>H7</f>
        <v>4881.6944182940024</v>
      </c>
    </row>
    <row r="7" spans="2:14" x14ac:dyDescent="0.25">
      <c r="B7" s="7" t="s">
        <v>186</v>
      </c>
      <c r="C7" t="s">
        <v>187</v>
      </c>
      <c r="D7">
        <v>4000</v>
      </c>
      <c r="E7" t="s">
        <v>187</v>
      </c>
      <c r="F7">
        <v>6000</v>
      </c>
      <c r="G7" s="8" t="s">
        <v>191</v>
      </c>
      <c r="H7" s="49">
        <f>(D10+F10)-10000</f>
        <v>4881.6944182940024</v>
      </c>
      <c r="M7" s="43">
        <v>2</v>
      </c>
      <c r="N7" s="69">
        <f>C21+D21+E21</f>
        <v>50162.914764784306</v>
      </c>
    </row>
    <row r="8" spans="2:14" x14ac:dyDescent="0.25">
      <c r="B8" s="10"/>
      <c r="C8" t="s">
        <v>188</v>
      </c>
      <c r="D8">
        <v>5</v>
      </c>
      <c r="E8" t="s">
        <v>188</v>
      </c>
      <c r="F8">
        <v>6</v>
      </c>
      <c r="G8" s="11"/>
      <c r="H8" s="12"/>
      <c r="M8" s="43">
        <v>3</v>
      </c>
      <c r="N8" s="79">
        <f>C30</f>
        <v>-2197.1103298356129</v>
      </c>
    </row>
    <row r="9" spans="2:14" x14ac:dyDescent="0.25">
      <c r="B9" s="10"/>
      <c r="C9" t="s">
        <v>189</v>
      </c>
      <c r="D9" s="21">
        <v>0.08</v>
      </c>
      <c r="E9" t="s">
        <v>189</v>
      </c>
      <c r="F9" s="21">
        <v>7.0000000000000007E-2</v>
      </c>
      <c r="G9" s="11"/>
      <c r="H9" s="12"/>
      <c r="M9" s="43">
        <v>4</v>
      </c>
      <c r="N9" s="70">
        <f>D38</f>
        <v>8.1983855523197535E-2</v>
      </c>
    </row>
    <row r="10" spans="2:14" x14ac:dyDescent="0.25">
      <c r="B10" s="10"/>
      <c r="C10" t="s">
        <v>190</v>
      </c>
      <c r="D10" s="26">
        <f>FV(D9,D8,0,-D7)</f>
        <v>5877.3123072000017</v>
      </c>
      <c r="E10" t="s">
        <v>190</v>
      </c>
      <c r="F10" s="26">
        <f>FV(F9,F8,0,-F7)</f>
        <v>9004.3821110940007</v>
      </c>
      <c r="G10" s="11"/>
      <c r="H10" s="12"/>
      <c r="M10" s="43">
        <v>5</v>
      </c>
      <c r="N10" s="72">
        <f>E48</f>
        <v>5013.354775816355</v>
      </c>
    </row>
    <row r="11" spans="2:14" ht="15.75" thickBot="1" x14ac:dyDescent="0.3">
      <c r="B11" s="13"/>
      <c r="C11" s="14"/>
      <c r="D11" s="78">
        <f>D10-D7</f>
        <v>1877.3123072000017</v>
      </c>
      <c r="E11" s="14"/>
      <c r="F11" s="78">
        <f>F10-F7</f>
        <v>3004.3821110940007</v>
      </c>
      <c r="G11" s="78"/>
      <c r="H11" s="15"/>
      <c r="M11" s="43">
        <v>6</v>
      </c>
      <c r="N11" s="73">
        <f>F58</f>
        <v>1847.608024691358</v>
      </c>
    </row>
    <row r="12" spans="2:14" x14ac:dyDescent="0.25">
      <c r="M12" s="43">
        <v>7</v>
      </c>
      <c r="N12" s="70">
        <f>B67</f>
        <v>1.0871416794787137</v>
      </c>
    </row>
    <row r="13" spans="2:14" ht="15.75" thickBot="1" x14ac:dyDescent="0.3">
      <c r="M13" s="43">
        <v>8</v>
      </c>
      <c r="N13" s="73">
        <f>D81</f>
        <v>17532.218145845382</v>
      </c>
    </row>
    <row r="14" spans="2:14" x14ac:dyDescent="0.25">
      <c r="B14" s="1" t="s">
        <v>2</v>
      </c>
      <c r="C14" s="2"/>
      <c r="D14" s="2"/>
      <c r="E14" s="2"/>
      <c r="F14" s="2"/>
      <c r="G14" s="2"/>
      <c r="H14" s="3"/>
      <c r="M14" s="43">
        <v>9</v>
      </c>
      <c r="N14" s="70">
        <f>F88</f>
        <v>4.1369999999999907E-2</v>
      </c>
    </row>
    <row r="15" spans="2:14" ht="57" customHeight="1" x14ac:dyDescent="0.25">
      <c r="B15" s="105" t="s">
        <v>30</v>
      </c>
      <c r="C15" s="106"/>
      <c r="D15" s="106"/>
      <c r="E15" s="106"/>
      <c r="F15" s="106"/>
      <c r="G15" s="106"/>
      <c r="H15" s="107"/>
      <c r="M15" s="43">
        <v>10</v>
      </c>
      <c r="N15" s="70">
        <f>C100</f>
        <v>6.8000000000000005E-2</v>
      </c>
    </row>
    <row r="16" spans="2:14" x14ac:dyDescent="0.25">
      <c r="B16" s="4" t="s">
        <v>1</v>
      </c>
      <c r="C16" s="5"/>
      <c r="D16" s="5"/>
      <c r="E16" s="5"/>
      <c r="F16" s="5"/>
      <c r="G16" s="5"/>
      <c r="H16" s="6"/>
      <c r="M16" s="43">
        <v>11</v>
      </c>
      <c r="N16" s="82" t="s">
        <v>214</v>
      </c>
    </row>
    <row r="17" spans="2:14" x14ac:dyDescent="0.25">
      <c r="B17" s="51"/>
      <c r="C17" s="52" t="s">
        <v>193</v>
      </c>
      <c r="D17" s="51" t="s">
        <v>194</v>
      </c>
      <c r="E17" s="51" t="s">
        <v>195</v>
      </c>
      <c r="F17" s="8"/>
      <c r="G17" s="8"/>
      <c r="H17" s="9"/>
      <c r="M17" s="43">
        <v>12</v>
      </c>
      <c r="N17" s="44" t="s">
        <v>230</v>
      </c>
    </row>
    <row r="18" spans="2:14" x14ac:dyDescent="0.25">
      <c r="B18" s="51" t="s">
        <v>192</v>
      </c>
      <c r="C18" s="54">
        <f>10/100</f>
        <v>0.1</v>
      </c>
      <c r="D18" s="54">
        <f>7/100</f>
        <v>7.0000000000000007E-2</v>
      </c>
      <c r="E18" s="54">
        <f>8/100</f>
        <v>0.08</v>
      </c>
      <c r="F18" s="11"/>
      <c r="G18" s="11"/>
      <c r="H18" s="12"/>
      <c r="M18" s="43">
        <v>13</v>
      </c>
      <c r="N18" s="81" t="s">
        <v>214</v>
      </c>
    </row>
    <row r="19" spans="2:14" x14ac:dyDescent="0.25">
      <c r="B19" s="51" t="s">
        <v>188</v>
      </c>
      <c r="C19" s="53">
        <f>5</f>
        <v>5</v>
      </c>
      <c r="D19" s="53">
        <f>7</f>
        <v>7</v>
      </c>
      <c r="E19" s="53">
        <v>10</v>
      </c>
      <c r="F19" s="11"/>
      <c r="G19" s="11"/>
      <c r="H19" s="12"/>
      <c r="M19" s="43">
        <v>14</v>
      </c>
      <c r="N19" s="44"/>
    </row>
    <row r="20" spans="2:14" x14ac:dyDescent="0.25">
      <c r="B20" s="51" t="s">
        <v>187</v>
      </c>
      <c r="C20" s="53">
        <f>-10000</f>
        <v>-10000</v>
      </c>
      <c r="D20" s="53">
        <f>-10000</f>
        <v>-10000</v>
      </c>
      <c r="E20" s="53">
        <f>10000</f>
        <v>10000</v>
      </c>
      <c r="F20" s="11"/>
      <c r="G20" s="11"/>
      <c r="H20" s="12"/>
      <c r="M20" s="43">
        <v>15</v>
      </c>
      <c r="N20" s="44">
        <f>B148</f>
        <v>79500</v>
      </c>
    </row>
    <row r="21" spans="2:14" ht="15.75" thickBot="1" x14ac:dyDescent="0.3">
      <c r="B21" s="51" t="s">
        <v>190</v>
      </c>
      <c r="C21" s="53">
        <f>FV(C18,C19,,C20)</f>
        <v>16105.100000000006</v>
      </c>
      <c r="D21" s="53">
        <f>FV(D18,D19,,D20)</f>
        <v>16057.814764784302</v>
      </c>
      <c r="E21" s="53">
        <f>E20*(1+E18*E19)</f>
        <v>18000</v>
      </c>
      <c r="F21" s="14"/>
      <c r="G21" s="14"/>
      <c r="H21" s="15"/>
      <c r="M21" s="43">
        <v>16</v>
      </c>
      <c r="N21" s="86">
        <f>C161</f>
        <v>-0.16744679259812711</v>
      </c>
    </row>
    <row r="22" spans="2:14" x14ac:dyDescent="0.25">
      <c r="M22" s="43">
        <v>17</v>
      </c>
      <c r="N22" s="69">
        <f>C171</f>
        <v>-215.90577692185988</v>
      </c>
    </row>
    <row r="23" spans="2:14" ht="15.75" thickBot="1" x14ac:dyDescent="0.3">
      <c r="M23" s="43">
        <v>18</v>
      </c>
      <c r="N23" s="73">
        <f>C181</f>
        <v>-88530.078781434742</v>
      </c>
    </row>
    <row r="24" spans="2:14" x14ac:dyDescent="0.25">
      <c r="B24" s="1" t="s">
        <v>3</v>
      </c>
      <c r="C24" s="2"/>
      <c r="D24" s="2"/>
      <c r="E24" s="2"/>
      <c r="F24" s="2"/>
      <c r="G24" s="2"/>
      <c r="H24" s="3"/>
    </row>
    <row r="25" spans="2:14" ht="90.75" customHeight="1" x14ac:dyDescent="0.25">
      <c r="B25" s="105" t="s">
        <v>31</v>
      </c>
      <c r="C25" s="106"/>
      <c r="D25" s="106"/>
      <c r="E25" s="106"/>
      <c r="F25" s="106"/>
      <c r="G25" s="106"/>
      <c r="H25" s="107"/>
    </row>
    <row r="26" spans="2:14" ht="15" customHeight="1" x14ac:dyDescent="0.25">
      <c r="B26" s="4" t="s">
        <v>1</v>
      </c>
      <c r="C26" s="5"/>
      <c r="D26" s="5"/>
      <c r="E26" s="5"/>
      <c r="F26" s="5"/>
      <c r="G26" s="5"/>
      <c r="H26" s="6"/>
    </row>
    <row r="27" spans="2:14" x14ac:dyDescent="0.25">
      <c r="B27" s="7" t="s">
        <v>190</v>
      </c>
      <c r="C27" s="55">
        <f>100000</f>
        <v>100000</v>
      </c>
      <c r="D27" s="8"/>
      <c r="E27" s="8"/>
      <c r="F27" s="8"/>
      <c r="G27" s="8"/>
      <c r="H27" s="9"/>
    </row>
    <row r="28" spans="2:14" x14ac:dyDescent="0.25">
      <c r="B28" s="10" t="s">
        <v>188</v>
      </c>
      <c r="C28" s="56">
        <f>25</f>
        <v>25</v>
      </c>
      <c r="D28" s="11"/>
      <c r="E28" s="11"/>
      <c r="F28" s="11"/>
      <c r="G28" s="11"/>
      <c r="H28" s="12"/>
    </row>
    <row r="29" spans="2:14" x14ac:dyDescent="0.25">
      <c r="B29" s="10" t="s">
        <v>192</v>
      </c>
      <c r="C29" s="18">
        <f>16.5/100</f>
        <v>0.16500000000000001</v>
      </c>
      <c r="D29" s="11"/>
      <c r="E29" s="11"/>
      <c r="F29" s="11"/>
      <c r="G29" s="11"/>
      <c r="H29" s="12"/>
    </row>
    <row r="30" spans="2:14" x14ac:dyDescent="0.25">
      <c r="B30" s="10" t="s">
        <v>187</v>
      </c>
      <c r="C30" s="71">
        <f>PV(C29,C28,,C27)</f>
        <v>-2197.1103298356129</v>
      </c>
      <c r="D30" s="11"/>
      <c r="E30" s="11"/>
      <c r="F30" s="11"/>
      <c r="G30" s="11"/>
      <c r="H30" s="12"/>
    </row>
    <row r="31" spans="2:14" ht="15.75" thickBot="1" x14ac:dyDescent="0.3">
      <c r="B31" s="13"/>
      <c r="C31" s="14"/>
      <c r="D31" s="14"/>
      <c r="E31" s="14"/>
      <c r="F31" s="14"/>
      <c r="G31" s="14"/>
      <c r="H31" s="15"/>
    </row>
    <row r="33" spans="2:12" ht="15.75" thickBot="1" x14ac:dyDescent="0.3"/>
    <row r="34" spans="2:12" x14ac:dyDescent="0.25">
      <c r="B34" s="1" t="s">
        <v>4</v>
      </c>
      <c r="C34" s="2"/>
      <c r="D34" s="2"/>
      <c r="E34" s="2"/>
      <c r="F34" s="2"/>
      <c r="G34" s="2"/>
      <c r="H34" s="3"/>
    </row>
    <row r="35" spans="2:12" ht="80.25" customHeight="1" x14ac:dyDescent="0.25">
      <c r="B35" s="105" t="s">
        <v>32</v>
      </c>
      <c r="C35" s="106"/>
      <c r="D35" s="106"/>
      <c r="E35" s="106"/>
      <c r="F35" s="106"/>
      <c r="G35" s="106"/>
      <c r="H35" s="107"/>
    </row>
    <row r="36" spans="2:12" x14ac:dyDescent="0.25">
      <c r="B36" s="4" t="s">
        <v>1</v>
      </c>
      <c r="C36" s="5"/>
      <c r="D36" s="5"/>
      <c r="E36" s="5"/>
      <c r="F36" s="5"/>
      <c r="G36" s="5"/>
      <c r="H36" s="6"/>
    </row>
    <row r="37" spans="2:12" x14ac:dyDescent="0.25">
      <c r="B37" s="7" t="s">
        <v>196</v>
      </c>
      <c r="C37" s="57">
        <f>((38000/30000)^(1/3)-1)*100</f>
        <v>8.1983855523197526</v>
      </c>
      <c r="D37" s="8"/>
      <c r="E37" s="8"/>
      <c r="F37" s="8"/>
      <c r="G37" s="8"/>
      <c r="H37" s="9"/>
    </row>
    <row r="38" spans="2:12" x14ac:dyDescent="0.25">
      <c r="B38" s="10"/>
      <c r="C38" s="18">
        <f>POWER(38000/30000,1/3)</f>
        <v>1.0819838555231975</v>
      </c>
      <c r="D38" s="18">
        <f>C38-100%</f>
        <v>8.1983855523197535E-2</v>
      </c>
      <c r="E38" s="11"/>
      <c r="F38" s="11"/>
      <c r="G38" s="11"/>
      <c r="H38" s="12"/>
    </row>
    <row r="39" spans="2:12" x14ac:dyDescent="0.25">
      <c r="B39" s="10"/>
      <c r="C39" s="11"/>
      <c r="D39" s="11"/>
      <c r="E39" s="11"/>
      <c r="F39" s="11"/>
      <c r="G39" s="11"/>
      <c r="H39" s="12"/>
    </row>
    <row r="40" spans="2:12" x14ac:dyDescent="0.25">
      <c r="B40" s="10"/>
      <c r="C40" s="11"/>
      <c r="D40" s="11"/>
      <c r="E40" s="11"/>
      <c r="F40" s="11"/>
      <c r="G40" s="11"/>
      <c r="H40" s="12"/>
    </row>
    <row r="41" spans="2:12" ht="15.75" thickBot="1" x14ac:dyDescent="0.3">
      <c r="B41" s="13"/>
      <c r="C41" s="14"/>
      <c r="D41" s="14"/>
      <c r="E41" s="14"/>
      <c r="F41" s="14"/>
      <c r="G41" s="14"/>
      <c r="H41" s="15"/>
    </row>
    <row r="43" spans="2:12" ht="15.75" thickBot="1" x14ac:dyDescent="0.3">
      <c r="L43" s="93"/>
    </row>
    <row r="44" spans="2:12" ht="15" customHeight="1" x14ac:dyDescent="0.25">
      <c r="B44" s="1" t="s">
        <v>5</v>
      </c>
      <c r="C44" s="2"/>
      <c r="D44" s="2"/>
      <c r="E44" s="2"/>
      <c r="F44" s="2"/>
      <c r="G44" s="2"/>
      <c r="H44" s="3"/>
      <c r="L44" s="94"/>
    </row>
    <row r="45" spans="2:12" ht="57.75" customHeight="1" x14ac:dyDescent="0.25">
      <c r="B45" s="105" t="s">
        <v>40</v>
      </c>
      <c r="C45" s="106"/>
      <c r="D45" s="106"/>
      <c r="E45" s="106"/>
      <c r="F45" s="106"/>
      <c r="G45" s="106"/>
      <c r="H45" s="107"/>
      <c r="L45" s="94"/>
    </row>
    <row r="46" spans="2:12" x14ac:dyDescent="0.25">
      <c r="B46" s="4" t="s">
        <v>1</v>
      </c>
      <c r="C46" s="5"/>
      <c r="D46" s="5"/>
      <c r="E46" s="5"/>
      <c r="F46" s="5"/>
      <c r="G46" s="5"/>
      <c r="H46" s="6"/>
      <c r="L46" s="94"/>
    </row>
    <row r="47" spans="2:12" x14ac:dyDescent="0.25">
      <c r="B47" s="58" t="s">
        <v>86</v>
      </c>
      <c r="C47" s="58" t="s">
        <v>197</v>
      </c>
      <c r="D47" s="52" t="s">
        <v>198</v>
      </c>
      <c r="E47" s="51" t="s">
        <v>199</v>
      </c>
      <c r="F47" s="51"/>
      <c r="G47" s="51"/>
      <c r="H47" s="51"/>
      <c r="L47" s="95"/>
    </row>
    <row r="48" spans="2:12" x14ac:dyDescent="0.25">
      <c r="B48" s="51">
        <v>1</v>
      </c>
      <c r="C48" s="54">
        <f>980</f>
        <v>980</v>
      </c>
      <c r="D48" s="93">
        <v>0.1</v>
      </c>
      <c r="E48" s="96">
        <f>NPV(D48,C48,C49,C50,C51,C52)</f>
        <v>5013.354775816355</v>
      </c>
      <c r="F48" s="51"/>
      <c r="G48" s="51"/>
      <c r="H48" s="51"/>
    </row>
    <row r="49" spans="2:8" x14ac:dyDescent="0.25">
      <c r="B49" s="51">
        <v>2</v>
      </c>
      <c r="C49" s="54">
        <f>1040</f>
        <v>1040</v>
      </c>
      <c r="D49" s="94"/>
      <c r="E49" s="97"/>
      <c r="F49" s="51"/>
      <c r="G49" s="51"/>
      <c r="H49" s="51"/>
    </row>
    <row r="50" spans="2:8" x14ac:dyDescent="0.25">
      <c r="B50" s="51">
        <v>3</v>
      </c>
      <c r="C50" s="54">
        <v>1500</v>
      </c>
      <c r="D50" s="94"/>
      <c r="E50" s="97"/>
      <c r="F50" s="51"/>
      <c r="G50" s="51"/>
      <c r="H50" s="51"/>
    </row>
    <row r="51" spans="2:8" x14ac:dyDescent="0.25">
      <c r="B51" s="51">
        <v>4</v>
      </c>
      <c r="C51" s="54">
        <f>1600</f>
        <v>1600</v>
      </c>
      <c r="D51" s="94"/>
      <c r="E51" s="97"/>
      <c r="F51" s="51"/>
      <c r="G51" s="51"/>
      <c r="H51" s="51"/>
    </row>
    <row r="52" spans="2:8" x14ac:dyDescent="0.25">
      <c r="B52" s="51">
        <v>5</v>
      </c>
      <c r="C52" s="54">
        <v>1680</v>
      </c>
      <c r="D52" s="95"/>
      <c r="E52" s="98"/>
      <c r="F52" s="43"/>
      <c r="G52" s="43"/>
      <c r="H52" s="43"/>
    </row>
    <row r="53" spans="2:8" ht="15.75" thickBot="1" x14ac:dyDescent="0.3"/>
    <row r="54" spans="2:8" x14ac:dyDescent="0.25">
      <c r="B54" s="1" t="s">
        <v>6</v>
      </c>
      <c r="C54" s="2"/>
      <c r="D54" s="2"/>
      <c r="E54" s="2"/>
      <c r="F54" s="2"/>
      <c r="G54" s="2"/>
      <c r="H54" s="3"/>
    </row>
    <row r="55" spans="2:8" ht="53.25" customHeight="1" x14ac:dyDescent="0.25">
      <c r="B55" s="105" t="s">
        <v>33</v>
      </c>
      <c r="C55" s="106"/>
      <c r="D55" s="106"/>
      <c r="E55" s="106"/>
      <c r="F55" s="106"/>
      <c r="G55" s="106"/>
      <c r="H55" s="107"/>
    </row>
    <row r="56" spans="2:8" x14ac:dyDescent="0.25">
      <c r="B56" s="4" t="s">
        <v>1</v>
      </c>
      <c r="C56" s="5"/>
      <c r="D56" s="5"/>
      <c r="E56" s="5"/>
      <c r="F56" s="5"/>
      <c r="G56" s="5"/>
      <c r="H56" s="6"/>
    </row>
    <row r="57" spans="2:8" x14ac:dyDescent="0.25">
      <c r="B57" s="58" t="s">
        <v>86</v>
      </c>
      <c r="C57" s="58" t="s">
        <v>197</v>
      </c>
      <c r="D57" s="52" t="s">
        <v>198</v>
      </c>
      <c r="E57" s="58" t="s">
        <v>200</v>
      </c>
      <c r="F57" s="58" t="s">
        <v>199</v>
      </c>
      <c r="G57" s="51"/>
      <c r="H57" s="51"/>
    </row>
    <row r="58" spans="2:8" x14ac:dyDescent="0.25">
      <c r="B58" s="43">
        <v>0</v>
      </c>
      <c r="C58" s="43">
        <v>-1000</v>
      </c>
      <c r="D58" s="93">
        <v>0.2</v>
      </c>
      <c r="E58" s="99">
        <f>-1000</f>
        <v>-1000</v>
      </c>
      <c r="F58" s="102">
        <f>NPV(D58,E58,C59,C60,C61,C63)</f>
        <v>1847.608024691358</v>
      </c>
      <c r="G58" s="51"/>
      <c r="H58" s="51"/>
    </row>
    <row r="59" spans="2:8" x14ac:dyDescent="0.25">
      <c r="B59" s="51">
        <v>1</v>
      </c>
      <c r="C59" s="54">
        <f>980</f>
        <v>980</v>
      </c>
      <c r="D59" s="94"/>
      <c r="E59" s="100"/>
      <c r="F59" s="103"/>
      <c r="G59" s="51"/>
      <c r="H59" s="51"/>
    </row>
    <row r="60" spans="2:8" x14ac:dyDescent="0.25">
      <c r="B60" s="51">
        <v>2</v>
      </c>
      <c r="C60" s="54">
        <f>1040</f>
        <v>1040</v>
      </c>
      <c r="D60" s="94"/>
      <c r="E60" s="100"/>
      <c r="F60" s="103"/>
      <c r="G60" s="51"/>
      <c r="H60" s="51"/>
    </row>
    <row r="61" spans="2:8" x14ac:dyDescent="0.25">
      <c r="B61" s="51">
        <v>3</v>
      </c>
      <c r="C61" s="54">
        <v>1500</v>
      </c>
      <c r="D61" s="94"/>
      <c r="E61" s="100"/>
      <c r="F61" s="103"/>
      <c r="G61" s="51"/>
      <c r="H61" s="51"/>
    </row>
    <row r="62" spans="2:8" x14ac:dyDescent="0.25">
      <c r="B62" s="51">
        <v>4</v>
      </c>
      <c r="C62" s="54">
        <f>1600</f>
        <v>1600</v>
      </c>
      <c r="D62" s="95"/>
      <c r="E62" s="101"/>
      <c r="F62" s="104"/>
      <c r="G62" s="43"/>
      <c r="H62" s="43"/>
    </row>
    <row r="63" spans="2:8" ht="15.75" thickBot="1" x14ac:dyDescent="0.3">
      <c r="B63" s="51">
        <v>5</v>
      </c>
      <c r="C63" s="54">
        <v>1680</v>
      </c>
    </row>
    <row r="64" spans="2:8" x14ac:dyDescent="0.25">
      <c r="B64" s="1" t="s">
        <v>7</v>
      </c>
      <c r="C64" s="2"/>
      <c r="D64" s="2"/>
      <c r="E64" s="2"/>
      <c r="F64" s="2"/>
      <c r="G64" s="2"/>
      <c r="H64" s="3"/>
    </row>
    <row r="65" spans="2:8" ht="57.75" customHeight="1" x14ac:dyDescent="0.25">
      <c r="B65" s="105" t="s">
        <v>8</v>
      </c>
      <c r="C65" s="106"/>
      <c r="D65" s="106"/>
      <c r="E65" s="106"/>
      <c r="F65" s="106"/>
      <c r="G65" s="106"/>
      <c r="H65" s="107"/>
    </row>
    <row r="66" spans="2:8" x14ac:dyDescent="0.25">
      <c r="B66" s="4" t="s">
        <v>1</v>
      </c>
      <c r="C66" s="5"/>
      <c r="D66" s="5"/>
      <c r="E66" s="5"/>
      <c r="F66" s="5"/>
      <c r="G66" s="5"/>
      <c r="H66" s="6"/>
    </row>
    <row r="67" spans="2:8" x14ac:dyDescent="0.25">
      <c r="B67" s="59">
        <f>IRR(C58:C63)</f>
        <v>1.0871416794787137</v>
      </c>
      <c r="C67" s="20"/>
      <c r="D67" s="8"/>
      <c r="E67" s="8"/>
      <c r="F67" s="8"/>
      <c r="G67" s="8"/>
      <c r="H67" s="9"/>
    </row>
    <row r="68" spans="2:8" x14ac:dyDescent="0.25">
      <c r="B68" s="10"/>
      <c r="C68" s="11"/>
      <c r="D68" s="11"/>
      <c r="E68" s="11"/>
      <c r="F68" s="11"/>
      <c r="G68" s="11"/>
      <c r="H68" s="12"/>
    </row>
    <row r="69" spans="2:8" x14ac:dyDescent="0.25">
      <c r="B69" s="10"/>
      <c r="C69" s="11"/>
      <c r="D69" s="17"/>
      <c r="E69" s="11"/>
      <c r="F69" s="11"/>
      <c r="G69" s="11"/>
      <c r="H69" s="12"/>
    </row>
    <row r="70" spans="2:8" x14ac:dyDescent="0.25">
      <c r="B70" s="10"/>
      <c r="C70" s="11"/>
      <c r="D70" s="11"/>
      <c r="E70" s="11"/>
      <c r="F70" s="11"/>
      <c r="G70" s="11"/>
      <c r="H70" s="12"/>
    </row>
    <row r="71" spans="2:8" ht="15.75" thickBot="1" x14ac:dyDescent="0.3">
      <c r="B71" s="13"/>
      <c r="C71" s="14"/>
      <c r="D71" s="14"/>
      <c r="E71" s="14"/>
      <c r="F71" s="14"/>
      <c r="G71" s="14"/>
      <c r="H71" s="15"/>
    </row>
    <row r="73" spans="2:8" ht="15.75" thickBot="1" x14ac:dyDescent="0.3"/>
    <row r="74" spans="2:8" x14ac:dyDescent="0.25">
      <c r="B74" s="1" t="s">
        <v>9</v>
      </c>
      <c r="C74" s="2"/>
      <c r="D74" s="2"/>
      <c r="E74" s="2"/>
      <c r="F74" s="2"/>
      <c r="G74" s="2"/>
      <c r="H74" s="3"/>
    </row>
    <row r="75" spans="2:8" ht="107.25" customHeight="1" x14ac:dyDescent="0.25">
      <c r="B75" s="105" t="s">
        <v>34</v>
      </c>
      <c r="C75" s="106"/>
      <c r="D75" s="106"/>
      <c r="E75" s="106"/>
      <c r="F75" s="106"/>
      <c r="G75" s="106"/>
      <c r="H75" s="107"/>
    </row>
    <row r="76" spans="2:8" x14ac:dyDescent="0.25">
      <c r="B76" s="4" t="s">
        <v>1</v>
      </c>
      <c r="C76" s="5"/>
      <c r="D76" s="5"/>
      <c r="E76" s="5"/>
      <c r="F76" s="5"/>
      <c r="G76" s="5"/>
      <c r="H76" s="6"/>
    </row>
    <row r="77" spans="2:8" x14ac:dyDescent="0.25">
      <c r="B77" s="7" t="s">
        <v>188</v>
      </c>
      <c r="C77" s="8">
        <f>5*12</f>
        <v>60</v>
      </c>
      <c r="D77" s="19"/>
      <c r="E77" s="8"/>
      <c r="F77" s="8"/>
      <c r="G77" s="8"/>
      <c r="H77" s="9"/>
    </row>
    <row r="78" spans="2:8" x14ac:dyDescent="0.25">
      <c r="B78" s="10"/>
      <c r="C78" s="11">
        <f>20000</f>
        <v>20000</v>
      </c>
      <c r="D78" s="11"/>
      <c r="E78" s="11"/>
      <c r="F78" s="16"/>
      <c r="G78" s="11"/>
      <c r="H78" s="12"/>
    </row>
    <row r="79" spans="2:8" x14ac:dyDescent="0.25">
      <c r="B79" s="10"/>
      <c r="C79" s="11">
        <f>100</f>
        <v>100</v>
      </c>
      <c r="D79" s="11"/>
      <c r="E79" s="11"/>
      <c r="F79" s="11"/>
      <c r="G79" s="11"/>
      <c r="H79" s="12"/>
    </row>
    <row r="80" spans="2:8" x14ac:dyDescent="0.25">
      <c r="B80" s="10" t="s">
        <v>192</v>
      </c>
      <c r="C80" s="18">
        <f>0.05/12</f>
        <v>4.1666666666666666E-3</v>
      </c>
      <c r="D80" s="11"/>
      <c r="E80" s="11"/>
      <c r="F80" s="11"/>
      <c r="G80" s="11"/>
      <c r="H80" s="12"/>
    </row>
    <row r="81" spans="2:8" ht="15.75" thickBot="1" x14ac:dyDescent="0.3">
      <c r="B81" s="13" t="s">
        <v>190</v>
      </c>
      <c r="C81" s="60">
        <f>FV(C80,C77,C79,C78)</f>
        <v>-32467.781854154618</v>
      </c>
      <c r="D81" s="60">
        <f>50000+C81</f>
        <v>17532.218145845382</v>
      </c>
      <c r="E81" s="14"/>
      <c r="F81" s="14"/>
      <c r="G81" s="14"/>
      <c r="H81" s="15"/>
    </row>
    <row r="83" spans="2:8" ht="15.75" thickBot="1" x14ac:dyDescent="0.3"/>
    <row r="84" spans="2:8" x14ac:dyDescent="0.25">
      <c r="B84" s="1" t="s">
        <v>10</v>
      </c>
      <c r="C84" s="2"/>
      <c r="D84" s="2"/>
      <c r="E84" s="2"/>
      <c r="F84" s="2"/>
      <c r="G84" s="2"/>
      <c r="H84" s="3"/>
    </row>
    <row r="85" spans="2:8" ht="87.75" customHeight="1" x14ac:dyDescent="0.25">
      <c r="B85" s="105" t="s">
        <v>11</v>
      </c>
      <c r="C85" s="106"/>
      <c r="D85" s="106"/>
      <c r="E85" s="106"/>
      <c r="F85" s="106"/>
      <c r="G85" s="106"/>
      <c r="H85" s="107"/>
    </row>
    <row r="86" spans="2:8" x14ac:dyDescent="0.25">
      <c r="B86" s="4" t="s">
        <v>1</v>
      </c>
      <c r="C86" s="5"/>
      <c r="D86" s="5"/>
      <c r="E86" s="5"/>
      <c r="F86" s="5"/>
      <c r="G86" s="5"/>
      <c r="H86" s="6"/>
    </row>
    <row r="87" spans="2:8" x14ac:dyDescent="0.25">
      <c r="B87" s="108" t="s">
        <v>228</v>
      </c>
      <c r="C87" s="109"/>
      <c r="D87" s="109"/>
      <c r="E87" s="8"/>
      <c r="F87" s="8"/>
      <c r="G87" s="8"/>
      <c r="H87" s="9"/>
    </row>
    <row r="88" spans="2:8" x14ac:dyDescent="0.25">
      <c r="B88" s="110"/>
      <c r="C88" s="111"/>
      <c r="D88" s="111"/>
      <c r="E88" s="11" t="s">
        <v>229</v>
      </c>
      <c r="F88" s="85">
        <f>(1.04137-1)</f>
        <v>4.1369999999999907E-2</v>
      </c>
      <c r="G88" s="11"/>
      <c r="H88" s="12"/>
    </row>
    <row r="89" spans="2:8" x14ac:dyDescent="0.25">
      <c r="B89" s="110"/>
      <c r="C89" s="111"/>
      <c r="D89" s="111"/>
      <c r="E89" s="11"/>
      <c r="F89" s="11"/>
      <c r="G89" s="11"/>
      <c r="H89" s="12"/>
    </row>
    <row r="90" spans="2:8" x14ac:dyDescent="0.25">
      <c r="B90" s="110"/>
      <c r="C90" s="111"/>
      <c r="D90" s="111"/>
      <c r="E90" s="11"/>
      <c r="F90" s="11"/>
      <c r="G90" s="11"/>
      <c r="H90" s="12"/>
    </row>
    <row r="91" spans="2:8" ht="15.75" thickBot="1" x14ac:dyDescent="0.3">
      <c r="B91" s="112"/>
      <c r="C91" s="113"/>
      <c r="D91" s="113"/>
      <c r="E91" s="14"/>
      <c r="F91" s="14"/>
      <c r="G91" s="14"/>
      <c r="H91" s="15"/>
    </row>
    <row r="93" spans="2:8" ht="15.75" thickBot="1" x14ac:dyDescent="0.3"/>
    <row r="94" spans="2:8" x14ac:dyDescent="0.25">
      <c r="B94" s="1" t="s">
        <v>12</v>
      </c>
      <c r="C94" s="2"/>
      <c r="D94" s="2"/>
      <c r="E94" s="2"/>
      <c r="F94" s="2"/>
      <c r="G94" s="2"/>
      <c r="H94" s="3"/>
    </row>
    <row r="95" spans="2:8" ht="91.5" customHeight="1" x14ac:dyDescent="0.25">
      <c r="B95" s="105" t="s">
        <v>28</v>
      </c>
      <c r="C95" s="106"/>
      <c r="D95" s="106"/>
      <c r="E95" s="106"/>
      <c r="F95" s="106"/>
      <c r="G95" s="106"/>
      <c r="H95" s="107"/>
    </row>
    <row r="96" spans="2:8" x14ac:dyDescent="0.25">
      <c r="B96" s="4" t="s">
        <v>1</v>
      </c>
      <c r="C96" s="5"/>
      <c r="D96" s="5"/>
      <c r="E96" s="5"/>
      <c r="F96" s="5"/>
      <c r="G96" s="5"/>
      <c r="H96" s="6"/>
    </row>
    <row r="97" spans="2:8" x14ac:dyDescent="0.25">
      <c r="B97" s="7" t="s">
        <v>212</v>
      </c>
      <c r="C97" s="8">
        <f>0.4</f>
        <v>0.4</v>
      </c>
      <c r="D97" s="8"/>
      <c r="E97" s="8"/>
      <c r="F97" s="8"/>
      <c r="G97" s="8"/>
      <c r="H97" s="9"/>
    </row>
    <row r="98" spans="2:8" x14ac:dyDescent="0.25">
      <c r="B98" s="10" t="s">
        <v>213</v>
      </c>
      <c r="C98" s="11">
        <f>0.08</f>
        <v>0.08</v>
      </c>
      <c r="D98" s="11"/>
      <c r="E98" s="11"/>
      <c r="F98" s="11"/>
      <c r="G98" s="11"/>
      <c r="H98" s="12"/>
    </row>
    <row r="99" spans="2:8" x14ac:dyDescent="0.25">
      <c r="B99" s="10"/>
      <c r="C99" s="11">
        <f>0.05</f>
        <v>0.05</v>
      </c>
      <c r="D99" s="11"/>
      <c r="E99" s="11"/>
      <c r="F99" s="11"/>
      <c r="G99" s="11"/>
      <c r="H99" s="12"/>
    </row>
    <row r="100" spans="2:8" x14ac:dyDescent="0.25">
      <c r="B100" s="10" t="s">
        <v>198</v>
      </c>
      <c r="C100" s="18">
        <f>C97*C99+(1-C97)*C98</f>
        <v>6.8000000000000005E-2</v>
      </c>
      <c r="D100" s="11"/>
      <c r="E100" s="11"/>
      <c r="F100" s="11"/>
      <c r="G100" s="11"/>
      <c r="H100" s="12"/>
    </row>
    <row r="101" spans="2:8" ht="15.75" thickBot="1" x14ac:dyDescent="0.3">
      <c r="B101" s="13"/>
      <c r="C101" s="14"/>
      <c r="D101" s="14"/>
      <c r="E101" s="14"/>
      <c r="F101" s="14"/>
      <c r="G101" s="14"/>
      <c r="H101" s="15"/>
    </row>
    <row r="103" spans="2:8" ht="15.75" thickBot="1" x14ac:dyDescent="0.3"/>
    <row r="104" spans="2:8" x14ac:dyDescent="0.25">
      <c r="B104" s="1" t="s">
        <v>13</v>
      </c>
      <c r="C104" s="2"/>
      <c r="D104" s="2"/>
      <c r="E104" s="2"/>
      <c r="F104" s="2"/>
      <c r="G104" s="2"/>
      <c r="H104" s="3"/>
    </row>
    <row r="105" spans="2:8" ht="102" customHeight="1" x14ac:dyDescent="0.25">
      <c r="B105" s="105" t="s">
        <v>35</v>
      </c>
      <c r="C105" s="106"/>
      <c r="D105" s="106"/>
      <c r="E105" s="106"/>
      <c r="F105" s="106"/>
      <c r="G105" s="106"/>
      <c r="H105" s="107"/>
    </row>
    <row r="106" spans="2:8" x14ac:dyDescent="0.25">
      <c r="B106" s="4" t="s">
        <v>1</v>
      </c>
      <c r="C106" s="5"/>
      <c r="D106" s="5"/>
      <c r="E106" s="5"/>
      <c r="F106" s="5"/>
      <c r="G106" s="5"/>
      <c r="H106" s="6"/>
    </row>
    <row r="107" spans="2:8" x14ac:dyDescent="0.25">
      <c r="B107" s="43"/>
      <c r="C107" s="51" t="s">
        <v>201</v>
      </c>
      <c r="D107" s="51" t="s">
        <v>202</v>
      </c>
      <c r="E107" s="51" t="s">
        <v>205</v>
      </c>
      <c r="F107" s="51" t="s">
        <v>206</v>
      </c>
      <c r="G107" s="51"/>
      <c r="H107" s="9"/>
    </row>
    <row r="108" spans="2:8" x14ac:dyDescent="0.25">
      <c r="B108" s="51" t="s">
        <v>203</v>
      </c>
      <c r="C108" s="87">
        <f>-20000</f>
        <v>-20000</v>
      </c>
      <c r="D108" s="87">
        <f>-30000</f>
        <v>-30000</v>
      </c>
      <c r="E108" s="65">
        <f>NPV(C113,C108,C109:C112)</f>
        <v>19278.365238340637</v>
      </c>
      <c r="F108" s="74">
        <f>NPV(D113,D108,D109,D110,D111,D112)</f>
        <v>9981.931189498966</v>
      </c>
      <c r="G108" s="52"/>
      <c r="H108" s="12"/>
    </row>
    <row r="109" spans="2:8" x14ac:dyDescent="0.25">
      <c r="B109" s="51">
        <v>1</v>
      </c>
      <c r="C109" s="87">
        <f>10000</f>
        <v>10000</v>
      </c>
      <c r="D109" s="87">
        <f>9000</f>
        <v>9000</v>
      </c>
      <c r="E109" s="51"/>
      <c r="F109" s="51"/>
      <c r="G109" s="52"/>
      <c r="H109" s="12"/>
    </row>
    <row r="110" spans="2:8" x14ac:dyDescent="0.25">
      <c r="B110" s="51">
        <v>2</v>
      </c>
      <c r="C110" s="87">
        <f>12000</f>
        <v>12000</v>
      </c>
      <c r="D110" s="87">
        <f>12000</f>
        <v>12000</v>
      </c>
      <c r="E110" s="51"/>
      <c r="F110" s="51"/>
      <c r="G110" s="51"/>
      <c r="H110" s="12"/>
    </row>
    <row r="111" spans="2:8" ht="15.75" thickBot="1" x14ac:dyDescent="0.3">
      <c r="B111" s="51">
        <v>3</v>
      </c>
      <c r="C111" s="87">
        <f>15000</f>
        <v>15000</v>
      </c>
      <c r="D111" s="87">
        <v>15000</v>
      </c>
      <c r="E111" s="51"/>
      <c r="F111" s="51"/>
      <c r="G111" s="51"/>
      <c r="H111" s="15"/>
    </row>
    <row r="112" spans="2:8" x14ac:dyDescent="0.25">
      <c r="B112" s="43">
        <v>4</v>
      </c>
      <c r="C112" s="88">
        <f>16000</f>
        <v>16000</v>
      </c>
      <c r="D112" s="88">
        <f>17000</f>
        <v>17000</v>
      </c>
      <c r="E112" s="43"/>
      <c r="F112" s="43"/>
      <c r="G112" s="43"/>
    </row>
    <row r="113" spans="2:8" ht="30.75" thickBot="1" x14ac:dyDescent="0.3">
      <c r="B113" s="63" t="s">
        <v>204</v>
      </c>
      <c r="C113" s="64">
        <f>0.1</f>
        <v>0.1</v>
      </c>
      <c r="D113" s="64">
        <f>0.1</f>
        <v>0.1</v>
      </c>
      <c r="E113" s="43"/>
      <c r="F113" s="43"/>
      <c r="G113" s="43"/>
    </row>
    <row r="114" spans="2:8" x14ac:dyDescent="0.25">
      <c r="B114" s="61" t="s">
        <v>14</v>
      </c>
      <c r="C114" s="62"/>
      <c r="D114" s="62"/>
      <c r="E114" s="62"/>
      <c r="F114" s="62"/>
      <c r="G114" s="62"/>
      <c r="H114" s="3"/>
    </row>
    <row r="115" spans="2:8" ht="40.5" customHeight="1" x14ac:dyDescent="0.25">
      <c r="B115" s="105" t="s">
        <v>26</v>
      </c>
      <c r="C115" s="106"/>
      <c r="D115" s="106"/>
      <c r="E115" s="106"/>
      <c r="F115" s="106"/>
      <c r="G115" s="106"/>
      <c r="H115" s="107"/>
    </row>
    <row r="116" spans="2:8" x14ac:dyDescent="0.25">
      <c r="B116" s="4" t="s">
        <v>1</v>
      </c>
      <c r="C116" s="5"/>
      <c r="D116" s="5"/>
      <c r="E116" s="5"/>
      <c r="F116" s="5"/>
      <c r="G116" s="5"/>
      <c r="H116" s="6"/>
    </row>
    <row r="117" spans="2:8" x14ac:dyDescent="0.25">
      <c r="B117" s="51"/>
      <c r="C117" s="51">
        <f>C109</f>
        <v>10000</v>
      </c>
      <c r="D117" s="51">
        <f>D109</f>
        <v>9000</v>
      </c>
      <c r="E117" s="51"/>
      <c r="F117" s="51"/>
      <c r="G117" s="51"/>
      <c r="H117" s="51"/>
    </row>
    <row r="118" spans="2:8" x14ac:dyDescent="0.25">
      <c r="B118" s="51"/>
      <c r="C118" s="51">
        <f>C117+C110</f>
        <v>22000</v>
      </c>
      <c r="D118" s="51">
        <f>D117+D110</f>
        <v>21000</v>
      </c>
      <c r="E118" s="51"/>
      <c r="F118" s="51"/>
      <c r="G118" s="51"/>
      <c r="H118" s="51"/>
    </row>
    <row r="119" spans="2:8" x14ac:dyDescent="0.25">
      <c r="B119" s="51"/>
      <c r="C119" s="87">
        <f>C118+C108</f>
        <v>2000</v>
      </c>
      <c r="D119" s="51">
        <f>D118+D111</f>
        <v>36000</v>
      </c>
      <c r="E119" s="51"/>
      <c r="F119" s="51"/>
      <c r="G119" s="51"/>
      <c r="H119" s="51"/>
    </row>
    <row r="120" spans="2:8" x14ac:dyDescent="0.25">
      <c r="B120" s="51"/>
      <c r="C120" s="51">
        <f>C119/C110</f>
        <v>0.16666666666666666</v>
      </c>
      <c r="D120" s="87">
        <f>D119+D108</f>
        <v>6000</v>
      </c>
      <c r="E120" s="51"/>
      <c r="F120" s="51"/>
      <c r="G120" s="51"/>
      <c r="H120" s="51"/>
    </row>
    <row r="121" spans="2:8" x14ac:dyDescent="0.25">
      <c r="B121" s="51"/>
      <c r="C121" s="51">
        <v>1.17</v>
      </c>
      <c r="D121" s="51">
        <f>D120/D111</f>
        <v>0.4</v>
      </c>
      <c r="E121" s="51"/>
      <c r="F121" s="51"/>
      <c r="G121" s="51"/>
      <c r="H121" s="51"/>
    </row>
    <row r="122" spans="2:8" x14ac:dyDescent="0.25">
      <c r="B122" s="43"/>
      <c r="C122" s="43"/>
      <c r="D122" s="89">
        <v>2.4</v>
      </c>
      <c r="E122" s="89">
        <f>D122-C121</f>
        <v>1.23</v>
      </c>
      <c r="F122" s="89">
        <f>E122*12</f>
        <v>14.76</v>
      </c>
      <c r="G122" s="43"/>
      <c r="H122" s="43"/>
    </row>
    <row r="123" spans="2:8" ht="15.75" thickBot="1" x14ac:dyDescent="0.3"/>
    <row r="124" spans="2:8" x14ac:dyDescent="0.25">
      <c r="B124" s="1" t="s">
        <v>15</v>
      </c>
      <c r="C124" s="2"/>
      <c r="D124" s="2"/>
      <c r="E124" s="2"/>
      <c r="F124" s="2"/>
      <c r="G124" s="2"/>
      <c r="H124" s="3"/>
    </row>
    <row r="125" spans="2:8" ht="42" customHeight="1" x14ac:dyDescent="0.25">
      <c r="B125" s="105" t="s">
        <v>16</v>
      </c>
      <c r="C125" s="106"/>
      <c r="D125" s="106"/>
      <c r="E125" s="106"/>
      <c r="F125" s="106"/>
      <c r="G125" s="106"/>
      <c r="H125" s="107"/>
    </row>
    <row r="126" spans="2:8" x14ac:dyDescent="0.25">
      <c r="B126" s="4" t="s">
        <v>1</v>
      </c>
      <c r="C126" s="5"/>
      <c r="D126" s="5"/>
      <c r="E126" s="5"/>
      <c r="F126" s="5"/>
      <c r="G126" s="5"/>
      <c r="H126" s="6"/>
    </row>
    <row r="127" spans="2:8" x14ac:dyDescent="0.25">
      <c r="B127" s="83">
        <f>E108/C108</f>
        <v>-0.96391826191703189</v>
      </c>
      <c r="C127" s="57">
        <f>F108/D108</f>
        <v>-0.33273103964996553</v>
      </c>
      <c r="D127" s="8"/>
      <c r="E127" s="8"/>
      <c r="F127" s="8"/>
      <c r="G127" s="8"/>
      <c r="H127" s="9"/>
    </row>
    <row r="128" spans="2:8" x14ac:dyDescent="0.25">
      <c r="B128" s="10"/>
      <c r="C128" s="11"/>
      <c r="D128" s="16"/>
      <c r="E128" s="16"/>
      <c r="F128" s="16"/>
      <c r="G128" s="11"/>
      <c r="H128" s="12"/>
    </row>
    <row r="129" spans="2:8" x14ac:dyDescent="0.25">
      <c r="B129" s="10"/>
      <c r="C129" s="11"/>
      <c r="D129" s="16"/>
      <c r="E129" s="16"/>
      <c r="F129" s="16"/>
      <c r="G129" s="11"/>
      <c r="H129" s="12"/>
    </row>
    <row r="130" spans="2:8" x14ac:dyDescent="0.25">
      <c r="B130" s="10"/>
      <c r="C130" s="11"/>
      <c r="D130" s="11"/>
      <c r="E130" s="11"/>
      <c r="F130" s="11"/>
      <c r="G130" s="11"/>
      <c r="H130" s="12"/>
    </row>
    <row r="131" spans="2:8" ht="15.75" thickBot="1" x14ac:dyDescent="0.3">
      <c r="B131" s="13"/>
      <c r="C131" s="14"/>
      <c r="D131" s="14"/>
      <c r="E131" s="14"/>
      <c r="F131" s="14"/>
      <c r="G131" s="14"/>
      <c r="H131" s="15"/>
    </row>
    <row r="133" spans="2:8" ht="15.75" thickBot="1" x14ac:dyDescent="0.3"/>
    <row r="134" spans="2:8" x14ac:dyDescent="0.25">
      <c r="B134" s="1" t="s">
        <v>17</v>
      </c>
      <c r="C134" s="2"/>
      <c r="D134" s="2"/>
      <c r="E134" s="2"/>
      <c r="F134" s="2"/>
      <c r="G134" s="2"/>
      <c r="H134" s="3"/>
    </row>
    <row r="135" spans="2:8" ht="93.75" customHeight="1" x14ac:dyDescent="0.25">
      <c r="B135" s="105" t="s">
        <v>27</v>
      </c>
      <c r="C135" s="106"/>
      <c r="D135" s="106"/>
      <c r="E135" s="106"/>
      <c r="F135" s="106"/>
      <c r="G135" s="106"/>
      <c r="H135" s="107"/>
    </row>
    <row r="136" spans="2:8" x14ac:dyDescent="0.25">
      <c r="B136" s="4" t="s">
        <v>1</v>
      </c>
      <c r="C136" s="5"/>
      <c r="D136" s="5"/>
      <c r="E136" s="5"/>
      <c r="F136" s="5"/>
      <c r="G136" s="5"/>
      <c r="H136" s="6"/>
    </row>
    <row r="137" spans="2:8" x14ac:dyDescent="0.25">
      <c r="B137" s="7" t="s">
        <v>207</v>
      </c>
      <c r="C137" s="8">
        <f>0.2</f>
        <v>0.2</v>
      </c>
      <c r="D137" s="8"/>
      <c r="E137" s="20"/>
      <c r="F137" s="8"/>
      <c r="G137" s="8"/>
      <c r="H137" s="9"/>
    </row>
    <row r="138" spans="2:8" x14ac:dyDescent="0.25">
      <c r="B138" s="10" t="s">
        <v>208</v>
      </c>
      <c r="C138" s="11"/>
      <c r="D138" s="11"/>
      <c r="E138" s="17"/>
      <c r="F138" s="11"/>
      <c r="G138" s="11"/>
      <c r="H138" s="12"/>
    </row>
    <row r="139" spans="2:8" x14ac:dyDescent="0.25">
      <c r="B139" s="10"/>
      <c r="C139" s="11"/>
      <c r="D139" s="11"/>
      <c r="E139" s="17"/>
      <c r="F139" s="11"/>
      <c r="G139" s="11"/>
      <c r="H139" s="12"/>
    </row>
    <row r="140" spans="2:8" x14ac:dyDescent="0.25">
      <c r="B140" s="10"/>
      <c r="C140" s="11"/>
      <c r="D140" s="11"/>
      <c r="E140" s="11"/>
      <c r="F140" s="11"/>
      <c r="G140" s="11"/>
      <c r="H140" s="12"/>
    </row>
    <row r="141" spans="2:8" ht="15.75" thickBot="1" x14ac:dyDescent="0.3">
      <c r="B141" s="13"/>
      <c r="C141" s="14"/>
      <c r="D141" s="14"/>
      <c r="E141" s="14"/>
      <c r="F141" s="14"/>
      <c r="G141" s="14"/>
      <c r="H141" s="15"/>
    </row>
    <row r="143" spans="2:8" ht="15.75" thickBot="1" x14ac:dyDescent="0.3"/>
    <row r="144" spans="2:8" x14ac:dyDescent="0.25">
      <c r="B144" s="1" t="s">
        <v>18</v>
      </c>
      <c r="C144" s="2"/>
      <c r="D144" s="2"/>
      <c r="E144" s="2"/>
      <c r="F144" s="2"/>
      <c r="G144" s="2"/>
      <c r="H144" s="3"/>
    </row>
    <row r="145" spans="2:9" ht="100.5" customHeight="1" x14ac:dyDescent="0.25">
      <c r="B145" s="105" t="s">
        <v>36</v>
      </c>
      <c r="C145" s="106"/>
      <c r="D145" s="106"/>
      <c r="E145" s="106"/>
      <c r="F145" s="106"/>
      <c r="G145" s="106"/>
      <c r="H145" s="107"/>
    </row>
    <row r="146" spans="2:9" x14ac:dyDescent="0.25">
      <c r="B146" s="4" t="s">
        <v>1</v>
      </c>
      <c r="C146" s="5"/>
      <c r="D146" s="5"/>
      <c r="E146" s="5"/>
      <c r="F146" s="5"/>
      <c r="G146" s="5"/>
      <c r="H146" s="6"/>
    </row>
    <row r="147" spans="2:9" x14ac:dyDescent="0.25">
      <c r="B147" s="7"/>
      <c r="C147" s="8"/>
      <c r="D147" s="8"/>
      <c r="E147" s="8"/>
      <c r="F147" s="8"/>
      <c r="G147" s="8"/>
      <c r="H147" s="9"/>
    </row>
    <row r="148" spans="2:9" x14ac:dyDescent="0.25">
      <c r="B148" s="10">
        <f>15000*5.3</f>
        <v>79500</v>
      </c>
      <c r="C148" s="11"/>
      <c r="D148" s="11"/>
      <c r="E148" s="11"/>
      <c r="F148" s="11"/>
      <c r="G148" s="11"/>
      <c r="H148" s="12"/>
    </row>
    <row r="149" spans="2:9" x14ac:dyDescent="0.25">
      <c r="B149" s="10"/>
      <c r="C149" s="11"/>
      <c r="D149" s="11"/>
      <c r="E149" s="11"/>
      <c r="F149" s="11"/>
      <c r="G149" s="11"/>
      <c r="H149" s="12"/>
    </row>
    <row r="150" spans="2:9" x14ac:dyDescent="0.25">
      <c r="B150" s="10"/>
      <c r="C150" s="11"/>
      <c r="D150" s="11"/>
      <c r="E150" s="11"/>
      <c r="F150" s="11"/>
      <c r="G150" s="11"/>
      <c r="H150" s="12"/>
    </row>
    <row r="151" spans="2:9" ht="15.75" thickBot="1" x14ac:dyDescent="0.3">
      <c r="B151" s="13"/>
      <c r="C151" s="14"/>
      <c r="D151" s="14"/>
      <c r="E151" s="14"/>
      <c r="F151" s="14"/>
      <c r="G151" s="14"/>
      <c r="H151" s="15"/>
    </row>
    <row r="153" spans="2:9" ht="15.75" thickBot="1" x14ac:dyDescent="0.3"/>
    <row r="154" spans="2:9" x14ac:dyDescent="0.25">
      <c r="B154" s="1" t="s">
        <v>19</v>
      </c>
      <c r="C154" s="2"/>
      <c r="D154" s="2"/>
      <c r="E154" s="2"/>
      <c r="F154" s="2"/>
      <c r="G154" s="2"/>
      <c r="H154" s="3"/>
    </row>
    <row r="155" spans="2:9" ht="100.5" customHeight="1" x14ac:dyDescent="0.25">
      <c r="B155" s="105" t="s">
        <v>37</v>
      </c>
      <c r="C155" s="106"/>
      <c r="D155" s="106"/>
      <c r="E155" s="106"/>
      <c r="F155" s="106"/>
      <c r="G155" s="106"/>
      <c r="H155" s="107"/>
    </row>
    <row r="156" spans="2:9" x14ac:dyDescent="0.25">
      <c r="B156" s="4" t="s">
        <v>1</v>
      </c>
      <c r="C156" s="5"/>
      <c r="D156" s="5"/>
      <c r="E156" s="5"/>
      <c r="F156" s="5"/>
      <c r="G156" s="5"/>
      <c r="H156" s="6"/>
    </row>
    <row r="157" spans="2:9" ht="30" x14ac:dyDescent="0.25">
      <c r="B157" s="66" t="s">
        <v>209</v>
      </c>
      <c r="C157" s="51"/>
      <c r="D157" s="51"/>
      <c r="E157" s="51"/>
      <c r="F157" s="51"/>
      <c r="G157" s="51"/>
      <c r="H157" s="51"/>
    </row>
    <row r="158" spans="2:9" x14ac:dyDescent="0.25">
      <c r="B158" s="66" t="s">
        <v>210</v>
      </c>
      <c r="C158" s="53">
        <v>-100000</v>
      </c>
      <c r="D158" s="53">
        <f>50000</f>
        <v>50000</v>
      </c>
      <c r="E158" s="53">
        <f>50000</f>
        <v>50000</v>
      </c>
      <c r="F158" s="53">
        <f>50000</f>
        <v>50000</v>
      </c>
      <c r="G158" s="53">
        <f>50000</f>
        <v>50000</v>
      </c>
      <c r="H158" s="53">
        <f>50000</f>
        <v>50000</v>
      </c>
      <c r="I158" s="84"/>
    </row>
    <row r="159" spans="2:9" x14ac:dyDescent="0.25">
      <c r="B159" s="66" t="s">
        <v>211</v>
      </c>
      <c r="C159" s="53"/>
      <c r="D159" s="53">
        <v>-20000</v>
      </c>
      <c r="E159" s="53">
        <v>-20000</v>
      </c>
      <c r="F159" s="53">
        <v>-20000</v>
      </c>
      <c r="G159" s="53">
        <v>-20000</v>
      </c>
      <c r="H159" s="53">
        <v>-20000</v>
      </c>
    </row>
    <row r="160" spans="2:9" x14ac:dyDescent="0.25">
      <c r="B160" s="66" t="s">
        <v>226</v>
      </c>
      <c r="C160" s="51"/>
      <c r="D160" s="51"/>
      <c r="E160" s="51"/>
      <c r="F160" s="51"/>
      <c r="G160" s="51"/>
      <c r="H160" s="51"/>
      <c r="I160" s="51"/>
    </row>
    <row r="161" spans="2:8" x14ac:dyDescent="0.25">
      <c r="B161" s="66" t="s">
        <v>227</v>
      </c>
      <c r="C161" s="80">
        <f>IRR(D158:H159)</f>
        <v>-0.16744679259812711</v>
      </c>
      <c r="D161" s="80">
        <f>IRR(C158:H158)</f>
        <v>0.41041496500941821</v>
      </c>
      <c r="E161" s="80"/>
      <c r="F161" s="51"/>
      <c r="G161" s="51"/>
      <c r="H161" s="51"/>
    </row>
    <row r="162" spans="2:8" x14ac:dyDescent="0.25">
      <c r="C162" s="11"/>
    </row>
    <row r="163" spans="2:8" ht="15.75" thickBot="1" x14ac:dyDescent="0.3"/>
    <row r="164" spans="2:8" x14ac:dyDescent="0.25">
      <c r="B164" s="1" t="s">
        <v>20</v>
      </c>
      <c r="C164" s="2"/>
      <c r="D164" s="2"/>
      <c r="E164" s="2"/>
      <c r="F164" s="2"/>
      <c r="G164" s="2"/>
      <c r="H164" s="3"/>
    </row>
    <row r="165" spans="2:8" ht="87.75" customHeight="1" x14ac:dyDescent="0.25">
      <c r="B165" s="105" t="s">
        <v>38</v>
      </c>
      <c r="C165" s="106"/>
      <c r="D165" s="106"/>
      <c r="E165" s="106"/>
      <c r="F165" s="106"/>
      <c r="G165" s="106"/>
      <c r="H165" s="107"/>
    </row>
    <row r="166" spans="2:8" x14ac:dyDescent="0.25">
      <c r="B166" s="4" t="s">
        <v>1</v>
      </c>
      <c r="C166" s="5"/>
      <c r="D166" s="5"/>
      <c r="E166" s="5"/>
      <c r="F166" s="5"/>
      <c r="G166" s="5"/>
      <c r="H166" s="6"/>
    </row>
    <row r="167" spans="2:8" x14ac:dyDescent="0.25">
      <c r="B167" s="51" t="s">
        <v>192</v>
      </c>
      <c r="C167" s="67">
        <f>0.1/12</f>
        <v>8.3333333333333332E-3</v>
      </c>
      <c r="D167" s="51"/>
      <c r="E167" s="51">
        <f>0.1</f>
        <v>0.1</v>
      </c>
      <c r="F167" s="51"/>
      <c r="G167" s="51"/>
      <c r="H167" s="51"/>
    </row>
    <row r="168" spans="2:8" x14ac:dyDescent="0.25">
      <c r="B168" s="51" t="s">
        <v>190</v>
      </c>
      <c r="C168" s="51">
        <f>35000</f>
        <v>35000</v>
      </c>
      <c r="D168" s="51"/>
      <c r="E168" s="51"/>
      <c r="F168" s="51"/>
      <c r="G168" s="51"/>
      <c r="H168" s="51"/>
    </row>
    <row r="169" spans="2:8" x14ac:dyDescent="0.25">
      <c r="B169" s="51"/>
      <c r="C169" s="51">
        <v>350</v>
      </c>
      <c r="D169" s="51"/>
      <c r="E169" s="51"/>
      <c r="F169" s="51"/>
      <c r="G169" s="51"/>
      <c r="H169" s="51"/>
    </row>
    <row r="170" spans="2:8" x14ac:dyDescent="0.25">
      <c r="B170" s="51"/>
      <c r="C170" s="51"/>
      <c r="D170" s="51"/>
      <c r="E170" s="51"/>
      <c r="F170" s="51"/>
      <c r="G170" s="51"/>
      <c r="H170" s="51"/>
    </row>
    <row r="171" spans="2:8" x14ac:dyDescent="0.25">
      <c r="B171" s="51" t="s">
        <v>188</v>
      </c>
      <c r="C171" s="53">
        <f>NPER(C167,C169,,C168)</f>
        <v>-215.90577692185988</v>
      </c>
      <c r="D171" s="51">
        <f>C171/12</f>
        <v>-17.992148076821657</v>
      </c>
      <c r="E171" s="51"/>
      <c r="F171" s="51"/>
      <c r="G171" s="51"/>
      <c r="H171" s="51"/>
    </row>
    <row r="173" spans="2:8" ht="15.75" thickBot="1" x14ac:dyDescent="0.3"/>
    <row r="174" spans="2:8" x14ac:dyDescent="0.25">
      <c r="B174" s="1" t="s">
        <v>21</v>
      </c>
      <c r="C174" s="2"/>
      <c r="D174" s="2"/>
      <c r="E174" s="2"/>
      <c r="F174" s="2"/>
      <c r="G174" s="2"/>
      <c r="H174" s="3"/>
    </row>
    <row r="175" spans="2:8" ht="69" customHeight="1" x14ac:dyDescent="0.25">
      <c r="B175" s="105" t="s">
        <v>39</v>
      </c>
      <c r="C175" s="106"/>
      <c r="D175" s="106"/>
      <c r="E175" s="106"/>
      <c r="F175" s="106"/>
      <c r="G175" s="106"/>
      <c r="H175" s="107"/>
    </row>
    <row r="176" spans="2:8" x14ac:dyDescent="0.25">
      <c r="B176" s="4" t="s">
        <v>1</v>
      </c>
      <c r="C176" s="5"/>
      <c r="D176" s="5"/>
      <c r="E176" s="5"/>
      <c r="F176" s="5"/>
      <c r="G176" s="5"/>
      <c r="H176" s="6"/>
    </row>
    <row r="177" spans="2:8" x14ac:dyDescent="0.25">
      <c r="B177" s="7" t="s">
        <v>192</v>
      </c>
      <c r="C177" s="68">
        <f>0.06</f>
        <v>0.06</v>
      </c>
      <c r="D177" s="8"/>
      <c r="E177" s="8"/>
      <c r="F177" s="8"/>
      <c r="G177" s="8"/>
      <c r="H177" s="9"/>
    </row>
    <row r="178" spans="2:8" x14ac:dyDescent="0.25">
      <c r="B178" s="10" t="s">
        <v>190</v>
      </c>
      <c r="C178" s="16">
        <f>100000</f>
        <v>100000</v>
      </c>
      <c r="D178" s="11"/>
      <c r="E178" s="11"/>
      <c r="F178" s="11"/>
      <c r="G178" s="11"/>
      <c r="H178" s="12"/>
    </row>
    <row r="179" spans="2:8" x14ac:dyDescent="0.25">
      <c r="B179" s="10"/>
      <c r="C179" s="16">
        <f>5000</f>
        <v>5000</v>
      </c>
      <c r="D179" s="11"/>
      <c r="E179" s="11"/>
      <c r="F179" s="11"/>
      <c r="G179" s="11"/>
      <c r="H179" s="12"/>
    </row>
    <row r="180" spans="2:8" x14ac:dyDescent="0.25">
      <c r="B180" s="10"/>
      <c r="C180" s="11"/>
      <c r="D180" s="11"/>
      <c r="E180" s="11"/>
      <c r="F180" s="11"/>
      <c r="G180" s="11"/>
      <c r="H180" s="12"/>
    </row>
    <row r="181" spans="2:8" ht="15.75" thickBot="1" x14ac:dyDescent="0.3">
      <c r="B181" s="13" t="s">
        <v>187</v>
      </c>
      <c r="C181" s="60">
        <f>PV(C177,20,C179,C178,0)</f>
        <v>-88530.078781434742</v>
      </c>
      <c r="D181" s="14"/>
      <c r="E181" s="14"/>
      <c r="F181" s="14"/>
      <c r="G181" s="14"/>
      <c r="H181" s="15"/>
    </row>
    <row r="183" spans="2:8" ht="15.75" thickBot="1" x14ac:dyDescent="0.3"/>
    <row r="184" spans="2:8" x14ac:dyDescent="0.25">
      <c r="B184" s="1" t="s">
        <v>22</v>
      </c>
      <c r="C184" s="2"/>
      <c r="D184" s="2"/>
      <c r="E184" s="2"/>
      <c r="F184" s="2"/>
      <c r="G184" s="2"/>
      <c r="H184" s="3"/>
    </row>
    <row r="185" spans="2:8" ht="81" customHeight="1" x14ac:dyDescent="0.25">
      <c r="B185" s="105" t="s">
        <v>23</v>
      </c>
      <c r="C185" s="106"/>
      <c r="D185" s="106"/>
      <c r="E185" s="106"/>
      <c r="F185" s="106"/>
      <c r="G185" s="106"/>
      <c r="H185" s="107"/>
    </row>
    <row r="186" spans="2:8" x14ac:dyDescent="0.25">
      <c r="B186" s="4" t="s">
        <v>1</v>
      </c>
      <c r="C186" s="5"/>
      <c r="D186" s="5"/>
      <c r="E186" s="5"/>
      <c r="F186" s="5"/>
      <c r="G186" s="5"/>
      <c r="H186" s="6"/>
    </row>
    <row r="187" spans="2:8" x14ac:dyDescent="0.25">
      <c r="B187" s="114" t="s">
        <v>231</v>
      </c>
      <c r="C187" s="115"/>
      <c r="D187" s="115"/>
      <c r="E187" s="115"/>
      <c r="F187" s="115"/>
      <c r="G187" s="115"/>
      <c r="H187" s="116"/>
    </row>
    <row r="188" spans="2:8" x14ac:dyDescent="0.25">
      <c r="B188" s="115"/>
      <c r="C188" s="115"/>
      <c r="D188" s="115"/>
      <c r="E188" s="115"/>
      <c r="F188" s="115"/>
      <c r="G188" s="115"/>
      <c r="H188" s="116"/>
    </row>
    <row r="189" spans="2:8" x14ac:dyDescent="0.25">
      <c r="B189" s="115"/>
      <c r="C189" s="115"/>
      <c r="D189" s="115"/>
      <c r="E189" s="115"/>
      <c r="F189" s="115"/>
      <c r="G189" s="115"/>
      <c r="H189" s="116"/>
    </row>
    <row r="190" spans="2:8" x14ac:dyDescent="0.25">
      <c r="B190" s="115"/>
      <c r="C190" s="115"/>
      <c r="D190" s="115"/>
      <c r="E190" s="115"/>
      <c r="F190" s="115"/>
      <c r="G190" s="115"/>
      <c r="H190" s="116"/>
    </row>
    <row r="191" spans="2:8" ht="51.75" customHeight="1" thickBot="1" x14ac:dyDescent="0.3">
      <c r="B191" s="117"/>
      <c r="C191" s="117"/>
      <c r="D191" s="117"/>
      <c r="E191" s="117"/>
      <c r="F191" s="117"/>
      <c r="G191" s="117"/>
      <c r="H191" s="118"/>
    </row>
    <row r="193" spans="2:8" ht="15.75" thickBot="1" x14ac:dyDescent="0.3"/>
    <row r="194" spans="2:8" x14ac:dyDescent="0.25">
      <c r="B194" s="1" t="s">
        <v>24</v>
      </c>
      <c r="C194" s="2"/>
      <c r="D194" s="2"/>
      <c r="E194" s="2"/>
      <c r="F194" s="2"/>
      <c r="G194" s="2"/>
      <c r="H194" s="3"/>
    </row>
    <row r="195" spans="2:8" ht="50.25" customHeight="1" x14ac:dyDescent="0.25">
      <c r="B195" s="105" t="s">
        <v>25</v>
      </c>
      <c r="C195" s="106"/>
      <c r="D195" s="106"/>
      <c r="E195" s="106"/>
      <c r="F195" s="106"/>
      <c r="G195" s="106"/>
      <c r="H195" s="107"/>
    </row>
    <row r="196" spans="2:8" x14ac:dyDescent="0.25">
      <c r="B196" s="4" t="s">
        <v>1</v>
      </c>
      <c r="C196" s="5"/>
      <c r="D196" s="5"/>
      <c r="E196" s="5"/>
      <c r="F196" s="5"/>
      <c r="G196" s="5"/>
      <c r="H196" s="6"/>
    </row>
    <row r="197" spans="2:8" x14ac:dyDescent="0.25">
      <c r="B197" s="5"/>
      <c r="C197" s="8"/>
      <c r="D197" s="8"/>
      <c r="E197" s="8"/>
      <c r="F197" s="8"/>
      <c r="G197" s="8"/>
      <c r="H197" s="9"/>
    </row>
    <row r="198" spans="2:8" x14ac:dyDescent="0.25">
      <c r="B198" s="10"/>
      <c r="C198" s="11"/>
      <c r="D198" s="11"/>
      <c r="E198" s="11"/>
      <c r="F198" s="11"/>
      <c r="G198" s="11"/>
      <c r="H198" s="12"/>
    </row>
    <row r="199" spans="2:8" x14ac:dyDescent="0.25">
      <c r="B199" s="10"/>
      <c r="C199" s="11"/>
      <c r="D199" s="11"/>
      <c r="E199" s="11"/>
      <c r="F199" s="11"/>
      <c r="G199" s="11"/>
      <c r="H199" s="12"/>
    </row>
    <row r="200" spans="2:8" x14ac:dyDescent="0.25">
      <c r="B200" s="10"/>
      <c r="C200" s="11"/>
      <c r="D200" s="11"/>
      <c r="E200" s="11"/>
      <c r="F200" s="11"/>
      <c r="G200" s="11"/>
      <c r="H200" s="12"/>
    </row>
    <row r="201" spans="2:8" ht="15.75" thickBot="1" x14ac:dyDescent="0.3">
      <c r="B201" s="13"/>
      <c r="C201" s="14"/>
      <c r="D201" s="14"/>
      <c r="E201" s="14"/>
      <c r="F201" s="14"/>
      <c r="G201" s="14"/>
      <c r="H201" s="15"/>
    </row>
  </sheetData>
  <mergeCells count="28">
    <mergeCell ref="B87:D91"/>
    <mergeCell ref="B187:H191"/>
    <mergeCell ref="B155:H155"/>
    <mergeCell ref="B165:H165"/>
    <mergeCell ref="B175:H175"/>
    <mergeCell ref="B185:H185"/>
    <mergeCell ref="B195:H195"/>
    <mergeCell ref="B5:H5"/>
    <mergeCell ref="B15:H15"/>
    <mergeCell ref="B25:H25"/>
    <mergeCell ref="B35:H35"/>
    <mergeCell ref="B145:H145"/>
    <mergeCell ref="B45:H45"/>
    <mergeCell ref="B55:H55"/>
    <mergeCell ref="B65:H65"/>
    <mergeCell ref="B75:H75"/>
    <mergeCell ref="B85:H85"/>
    <mergeCell ref="B95:H95"/>
    <mergeCell ref="B105:H105"/>
    <mergeCell ref="B115:H115"/>
    <mergeCell ref="B125:H125"/>
    <mergeCell ref="B135:H135"/>
    <mergeCell ref="D48:D52"/>
    <mergeCell ref="E48:E52"/>
    <mergeCell ref="L43:L47"/>
    <mergeCell ref="D58:D62"/>
    <mergeCell ref="E58:E62"/>
    <mergeCell ref="F58:F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U92"/>
  <sheetViews>
    <sheetView showGridLines="0" tabSelected="1" topLeftCell="A25" workbookViewId="0">
      <selection activeCell="D30" sqref="D30"/>
    </sheetView>
  </sheetViews>
  <sheetFormatPr defaultRowHeight="15" x14ac:dyDescent="0.25"/>
  <cols>
    <col min="3" max="3" width="26.140625" customWidth="1"/>
    <col min="4" max="4" width="17.42578125" customWidth="1"/>
    <col min="5" max="5" width="11.42578125" bestFit="1" customWidth="1"/>
    <col min="6" max="6" width="10.5703125" customWidth="1"/>
    <col min="7" max="7" width="11.5703125" customWidth="1"/>
    <col min="8" max="8" width="13" customWidth="1"/>
    <col min="9" max="9" width="11.42578125" customWidth="1"/>
  </cols>
  <sheetData>
    <row r="1" spans="2:2" x14ac:dyDescent="0.25">
      <c r="B1" s="27" t="s">
        <v>174</v>
      </c>
    </row>
    <row r="2" spans="2:2" x14ac:dyDescent="0.25">
      <c r="B2" t="s">
        <v>173</v>
      </c>
    </row>
    <row r="3" spans="2:2" x14ac:dyDescent="0.25">
      <c r="B3" t="s">
        <v>172</v>
      </c>
    </row>
    <row r="4" spans="2:2" x14ac:dyDescent="0.25">
      <c r="B4" t="s">
        <v>171</v>
      </c>
    </row>
    <row r="5" spans="2:2" x14ac:dyDescent="0.25">
      <c r="B5" t="s">
        <v>170</v>
      </c>
    </row>
    <row r="6" spans="2:2" x14ac:dyDescent="0.25">
      <c r="B6" t="s">
        <v>169</v>
      </c>
    </row>
    <row r="7" spans="2:2" x14ac:dyDescent="0.25">
      <c r="B7" t="s">
        <v>168</v>
      </c>
    </row>
    <row r="8" spans="2:2" x14ac:dyDescent="0.25">
      <c r="B8" t="s">
        <v>167</v>
      </c>
    </row>
    <row r="9" spans="2:2" x14ac:dyDescent="0.25">
      <c r="B9" t="s">
        <v>166</v>
      </c>
    </row>
    <row r="10" spans="2:2" x14ac:dyDescent="0.25">
      <c r="B10" t="s">
        <v>165</v>
      </c>
    </row>
    <row r="11" spans="2:2" x14ac:dyDescent="0.25">
      <c r="B11" t="s">
        <v>164</v>
      </c>
    </row>
    <row r="12" spans="2:2" x14ac:dyDescent="0.25">
      <c r="B12" t="s">
        <v>163</v>
      </c>
    </row>
    <row r="13" spans="2:2" x14ac:dyDescent="0.25">
      <c r="B13" t="s">
        <v>162</v>
      </c>
    </row>
    <row r="14" spans="2:2" x14ac:dyDescent="0.25">
      <c r="B14" t="s">
        <v>161</v>
      </c>
    </row>
    <row r="15" spans="2:2" x14ac:dyDescent="0.25">
      <c r="B15" t="s">
        <v>160</v>
      </c>
    </row>
    <row r="16" spans="2:2" x14ac:dyDescent="0.25">
      <c r="B16" t="s">
        <v>159</v>
      </c>
    </row>
    <row r="17" spans="1:14" x14ac:dyDescent="0.25">
      <c r="B17" t="s">
        <v>158</v>
      </c>
    </row>
    <row r="18" spans="1:14" x14ac:dyDescent="0.25">
      <c r="B18" t="s">
        <v>157</v>
      </c>
    </row>
    <row r="19" spans="1:14" x14ac:dyDescent="0.25">
      <c r="B19" t="s">
        <v>156</v>
      </c>
    </row>
    <row r="21" spans="1:14" x14ac:dyDescent="0.25">
      <c r="B21" s="27" t="s">
        <v>155</v>
      </c>
    </row>
    <row r="22" spans="1:14" x14ac:dyDescent="0.25">
      <c r="B22" t="s">
        <v>154</v>
      </c>
    </row>
    <row r="23" spans="1:14" x14ac:dyDescent="0.25">
      <c r="B23" t="s">
        <v>153</v>
      </c>
    </row>
    <row r="24" spans="1:14" x14ac:dyDescent="0.25">
      <c r="B24" t="s">
        <v>152</v>
      </c>
    </row>
    <row r="25" spans="1:14" x14ac:dyDescent="0.25">
      <c r="B25" t="s">
        <v>151</v>
      </c>
    </row>
    <row r="26" spans="1:14" x14ac:dyDescent="0.25">
      <c r="B26" t="s">
        <v>150</v>
      </c>
    </row>
    <row r="28" spans="1:14" x14ac:dyDescent="0.25">
      <c r="B28" s="27" t="s">
        <v>149</v>
      </c>
    </row>
    <row r="29" spans="1:14" x14ac:dyDescent="0.25">
      <c r="A29" s="43"/>
      <c r="B29" s="75" t="s">
        <v>148</v>
      </c>
      <c r="C29" s="43" t="s">
        <v>147</v>
      </c>
      <c r="D29" s="70">
        <f>(80/200)*0.2+(120/200)*0.08*(1-0.4)</f>
        <v>0.10880000000000001</v>
      </c>
      <c r="E29" s="43"/>
      <c r="F29" s="43"/>
      <c r="G29" s="43"/>
      <c r="H29" s="43"/>
      <c r="I29" s="43"/>
      <c r="J29" s="43"/>
      <c r="K29" s="43"/>
      <c r="L29" s="43"/>
      <c r="M29" s="43"/>
      <c r="N29" s="43"/>
    </row>
    <row r="30" spans="1:14" x14ac:dyDescent="0.25">
      <c r="A30" s="43"/>
      <c r="B30" s="43"/>
      <c r="C30" s="43"/>
      <c r="D30" s="43"/>
      <c r="E30" s="43"/>
      <c r="F30" s="43"/>
      <c r="G30" s="43"/>
      <c r="H30" s="43"/>
      <c r="I30" s="43"/>
      <c r="J30" s="43"/>
      <c r="K30" s="43"/>
      <c r="L30" s="43"/>
      <c r="M30" s="43"/>
      <c r="N30" s="43"/>
    </row>
    <row r="31" spans="1:14" x14ac:dyDescent="0.25">
      <c r="A31" s="43"/>
      <c r="B31" s="75" t="s">
        <v>146</v>
      </c>
      <c r="C31" s="43"/>
      <c r="D31" s="76">
        <v>0</v>
      </c>
      <c r="E31" s="76">
        <v>1</v>
      </c>
      <c r="F31" s="76">
        <v>2</v>
      </c>
      <c r="G31" s="76">
        <v>3</v>
      </c>
      <c r="H31" s="76">
        <v>4</v>
      </c>
      <c r="I31" s="76">
        <v>5</v>
      </c>
      <c r="J31" s="43"/>
      <c r="K31" s="43"/>
      <c r="L31" s="43"/>
      <c r="M31" s="43"/>
      <c r="N31" s="43"/>
    </row>
    <row r="32" spans="1:14" x14ac:dyDescent="0.25">
      <c r="A32" s="43"/>
      <c r="B32" s="43"/>
      <c r="C32" s="43" t="s">
        <v>145</v>
      </c>
      <c r="D32" s="43"/>
      <c r="E32" s="44">
        <f>2000*12*20</f>
        <v>480000</v>
      </c>
      <c r="F32" s="44">
        <f>2000*1.5*12*20*1.1</f>
        <v>792000.00000000012</v>
      </c>
      <c r="G32" s="44">
        <f>G54*Q59</f>
        <v>1219680.0000000002</v>
      </c>
      <c r="H32" s="44">
        <f t="shared" ref="H32:I32" si="0">H54*R59</f>
        <v>1744142.4000000004</v>
      </c>
      <c r="I32" s="44">
        <f t="shared" si="0"/>
        <v>2206340.1360000004</v>
      </c>
      <c r="J32" s="43"/>
      <c r="K32" s="43"/>
      <c r="L32" s="43"/>
      <c r="M32" s="43"/>
      <c r="N32" s="43"/>
    </row>
    <row r="33" spans="1:21" x14ac:dyDescent="0.25">
      <c r="A33" s="43"/>
      <c r="B33" s="43"/>
      <c r="C33" s="43" t="s">
        <v>144</v>
      </c>
      <c r="D33" s="43"/>
      <c r="E33" s="44">
        <f>E54*10</f>
        <v>240000</v>
      </c>
      <c r="F33" s="44">
        <f>F54*10*1.1</f>
        <v>396000.00000000006</v>
      </c>
      <c r="G33" s="44">
        <f>G54*Q55</f>
        <v>609840.00000000012</v>
      </c>
      <c r="H33" s="44">
        <f>H54*R55</f>
        <v>872071.20000000019</v>
      </c>
      <c r="I33" s="44">
        <f>I54*S55</f>
        <v>1103170.0680000002</v>
      </c>
      <c r="J33" s="43"/>
      <c r="K33" s="43"/>
      <c r="L33" s="43"/>
      <c r="M33" s="43"/>
      <c r="N33" s="43"/>
    </row>
    <row r="34" spans="1:21" x14ac:dyDescent="0.25">
      <c r="A34" s="43"/>
      <c r="B34" s="43"/>
      <c r="C34" s="43" t="s">
        <v>143</v>
      </c>
      <c r="D34" s="43"/>
      <c r="E34" s="44">
        <f>E56</f>
        <v>90400</v>
      </c>
      <c r="F34" s="44">
        <f t="shared" ref="F34:I34" si="1">F56</f>
        <v>183488</v>
      </c>
      <c r="G34" s="44">
        <f t="shared" si="1"/>
        <v>277555.20000000001</v>
      </c>
      <c r="H34" s="44">
        <f t="shared" si="1"/>
        <v>373480.96000000002</v>
      </c>
      <c r="I34" s="44">
        <f t="shared" si="1"/>
        <v>377229.05600000004</v>
      </c>
      <c r="J34" s="43"/>
      <c r="K34" s="43"/>
      <c r="L34" s="43"/>
      <c r="M34" s="43"/>
      <c r="N34" s="43"/>
    </row>
    <row r="35" spans="1:21" x14ac:dyDescent="0.25">
      <c r="A35" s="43"/>
      <c r="B35" s="43"/>
      <c r="C35" s="43" t="s">
        <v>142</v>
      </c>
      <c r="D35" s="43"/>
      <c r="E35" s="44">
        <f>E32-E33-E34</f>
        <v>149600</v>
      </c>
      <c r="F35" s="44">
        <f t="shared" ref="F35:I35" si="2">F32-F33-F34</f>
        <v>212512.00000000006</v>
      </c>
      <c r="G35" s="44">
        <f t="shared" si="2"/>
        <v>332284.8000000001</v>
      </c>
      <c r="H35" s="44">
        <f t="shared" si="2"/>
        <v>498590.24000000017</v>
      </c>
      <c r="I35" s="44">
        <f t="shared" si="2"/>
        <v>725941.0120000001</v>
      </c>
      <c r="J35" s="43"/>
      <c r="K35" s="43"/>
      <c r="L35" s="43"/>
      <c r="M35" s="43"/>
      <c r="N35" s="43"/>
    </row>
    <row r="36" spans="1:21" x14ac:dyDescent="0.25">
      <c r="A36" s="43"/>
      <c r="B36" s="43"/>
      <c r="C36" s="43" t="s">
        <v>141</v>
      </c>
      <c r="D36" s="43"/>
      <c r="E36" s="44">
        <f>(150000-50000)/5</f>
        <v>20000</v>
      </c>
      <c r="F36" s="44">
        <f t="shared" ref="F36:I36" si="3">(150000-50000)/5</f>
        <v>20000</v>
      </c>
      <c r="G36" s="44">
        <f t="shared" si="3"/>
        <v>20000</v>
      </c>
      <c r="H36" s="44">
        <f t="shared" si="3"/>
        <v>20000</v>
      </c>
      <c r="I36" s="44">
        <f t="shared" si="3"/>
        <v>20000</v>
      </c>
      <c r="J36" s="43"/>
      <c r="K36" s="43"/>
      <c r="L36" s="43"/>
      <c r="M36" s="43"/>
      <c r="N36" s="43"/>
    </row>
    <row r="37" spans="1:21" x14ac:dyDescent="0.25">
      <c r="A37" s="43"/>
      <c r="B37" s="43"/>
      <c r="C37" s="43" t="s">
        <v>140</v>
      </c>
      <c r="D37" s="43"/>
      <c r="E37" s="90">
        <f>$D$62*0.08</f>
        <v>9600</v>
      </c>
      <c r="F37" s="90">
        <f t="shared" ref="F37:I37" si="4">$D$62*0.08</f>
        <v>9600</v>
      </c>
      <c r="G37" s="90">
        <f t="shared" si="4"/>
        <v>9600</v>
      </c>
      <c r="H37" s="90">
        <f t="shared" si="4"/>
        <v>9600</v>
      </c>
      <c r="I37" s="90">
        <f t="shared" si="4"/>
        <v>9600</v>
      </c>
      <c r="J37" s="43"/>
      <c r="K37" s="43"/>
      <c r="L37" s="43"/>
      <c r="M37" s="43"/>
      <c r="N37" s="43"/>
    </row>
    <row r="38" spans="1:21" x14ac:dyDescent="0.25">
      <c r="A38" s="43"/>
      <c r="B38" s="43"/>
      <c r="C38" s="43" t="s">
        <v>139</v>
      </c>
      <c r="D38" s="43"/>
      <c r="E38" s="91">
        <f>E35-E36-E37</f>
        <v>120000</v>
      </c>
      <c r="F38" s="91">
        <f t="shared" ref="F38:I38" si="5">F35-F36-F37</f>
        <v>182912.00000000006</v>
      </c>
      <c r="G38" s="91">
        <f t="shared" si="5"/>
        <v>302684.8000000001</v>
      </c>
      <c r="H38" s="91">
        <f t="shared" si="5"/>
        <v>468990.24000000017</v>
      </c>
      <c r="I38" s="91">
        <f t="shared" si="5"/>
        <v>696341.0120000001</v>
      </c>
      <c r="J38" s="43"/>
      <c r="K38" s="43"/>
      <c r="L38" s="43"/>
      <c r="M38" s="43"/>
      <c r="N38" s="43"/>
    </row>
    <row r="39" spans="1:21" x14ac:dyDescent="0.25">
      <c r="A39" s="43"/>
      <c r="B39" s="43"/>
      <c r="C39" s="43" t="s">
        <v>138</v>
      </c>
      <c r="D39" s="43"/>
      <c r="E39" s="44">
        <f>E38*$D$65</f>
        <v>48000</v>
      </c>
      <c r="F39" s="44">
        <f t="shared" ref="F39:I39" si="6">F38*$D$65</f>
        <v>73164.800000000032</v>
      </c>
      <c r="G39" s="44">
        <f t="shared" si="6"/>
        <v>121073.92000000004</v>
      </c>
      <c r="H39" s="44">
        <f t="shared" si="6"/>
        <v>187596.09600000008</v>
      </c>
      <c r="I39" s="44">
        <f t="shared" si="6"/>
        <v>278536.40480000008</v>
      </c>
      <c r="J39" s="43"/>
      <c r="K39" s="43"/>
      <c r="L39" s="43"/>
      <c r="M39" s="43"/>
      <c r="N39" s="43"/>
    </row>
    <row r="40" spans="1:21" x14ac:dyDescent="0.25">
      <c r="A40" s="43"/>
      <c r="B40" s="43"/>
      <c r="C40" s="43" t="s">
        <v>137</v>
      </c>
      <c r="D40" s="43"/>
      <c r="E40" s="44">
        <f>E38-E39</f>
        <v>72000</v>
      </c>
      <c r="F40" s="44">
        <f t="shared" ref="F40:I40" si="7">F38-F39</f>
        <v>109747.20000000003</v>
      </c>
      <c r="G40" s="44">
        <f t="shared" si="7"/>
        <v>181610.88000000006</v>
      </c>
      <c r="H40" s="44">
        <f t="shared" si="7"/>
        <v>281394.14400000009</v>
      </c>
      <c r="I40" s="44">
        <f t="shared" si="7"/>
        <v>417804.60720000003</v>
      </c>
      <c r="J40" s="43"/>
      <c r="K40" s="43"/>
      <c r="L40" s="43"/>
      <c r="M40" s="43"/>
      <c r="N40" s="43"/>
    </row>
    <row r="41" spans="1:21" x14ac:dyDescent="0.25">
      <c r="A41" s="43"/>
      <c r="B41" s="43"/>
      <c r="C41" s="43"/>
      <c r="D41" s="76">
        <v>0</v>
      </c>
      <c r="E41" s="76">
        <v>1</v>
      </c>
      <c r="F41" s="76">
        <v>2</v>
      </c>
      <c r="G41" s="76">
        <v>3</v>
      </c>
      <c r="H41" s="76">
        <v>4</v>
      </c>
      <c r="I41" s="76">
        <v>5</v>
      </c>
      <c r="J41" s="43"/>
      <c r="K41" s="43"/>
      <c r="L41" s="43"/>
      <c r="M41" s="43"/>
      <c r="N41" s="43"/>
    </row>
    <row r="42" spans="1:21" x14ac:dyDescent="0.25">
      <c r="A42" s="43"/>
      <c r="B42" s="43"/>
      <c r="C42" s="43" t="s">
        <v>136</v>
      </c>
      <c r="D42" s="44">
        <v>-200000</v>
      </c>
      <c r="E42" s="44">
        <f>0</f>
        <v>0</v>
      </c>
      <c r="F42" s="44">
        <f>0</f>
        <v>0</v>
      </c>
      <c r="G42" s="44">
        <f>0</f>
        <v>0</v>
      </c>
      <c r="H42" s="44">
        <f>0</f>
        <v>0</v>
      </c>
      <c r="I42" s="44">
        <f>50000+50000</f>
        <v>100000</v>
      </c>
      <c r="J42" s="43"/>
      <c r="K42" s="43"/>
      <c r="L42" s="43"/>
      <c r="M42" s="43"/>
      <c r="N42" s="43"/>
    </row>
    <row r="43" spans="1:21" x14ac:dyDescent="0.25">
      <c r="A43" s="43"/>
      <c r="B43" s="43"/>
      <c r="C43" s="43" t="s">
        <v>135</v>
      </c>
      <c r="D43" s="44"/>
      <c r="E43" s="91">
        <f>E40+E36+50000</f>
        <v>142000</v>
      </c>
      <c r="F43" s="91">
        <f t="shared" ref="F43:H43" si="8">F40+F36</f>
        <v>129747.20000000003</v>
      </c>
      <c r="G43" s="91">
        <f t="shared" si="8"/>
        <v>201610.88000000006</v>
      </c>
      <c r="H43" s="91">
        <f t="shared" si="8"/>
        <v>301394.14400000009</v>
      </c>
      <c r="I43" s="91">
        <f>I40+I36</f>
        <v>437804.60720000003</v>
      </c>
      <c r="J43" s="43"/>
      <c r="K43" s="43"/>
      <c r="L43" s="43"/>
      <c r="M43" s="43"/>
      <c r="N43" s="43"/>
      <c r="O43" s="43"/>
      <c r="P43" s="43"/>
      <c r="Q43" s="43"/>
      <c r="R43" s="43"/>
      <c r="S43" s="43"/>
      <c r="T43" s="43"/>
      <c r="U43" s="43"/>
    </row>
    <row r="44" spans="1:21" x14ac:dyDescent="0.25">
      <c r="A44" s="43"/>
      <c r="B44" s="43"/>
      <c r="C44" s="43" t="s">
        <v>134</v>
      </c>
      <c r="D44" s="44">
        <f>D42</f>
        <v>-200000</v>
      </c>
      <c r="E44" s="91">
        <f>E43</f>
        <v>142000</v>
      </c>
      <c r="F44" s="91">
        <f>F43+F42</f>
        <v>129747.20000000003</v>
      </c>
      <c r="G44" s="91">
        <f t="shared" ref="G44:I44" si="9">G43+G42</f>
        <v>201610.88000000006</v>
      </c>
      <c r="H44" s="91">
        <f t="shared" si="9"/>
        <v>301394.14400000009</v>
      </c>
      <c r="I44" s="91">
        <f>(I43+I42)-120000</f>
        <v>417804.60719999997</v>
      </c>
      <c r="J44" s="43"/>
      <c r="K44" s="43"/>
      <c r="L44" s="43"/>
      <c r="M44" s="43"/>
      <c r="N44" s="43"/>
      <c r="O44" s="43"/>
      <c r="P44" s="43">
        <f>150000</f>
        <v>150000</v>
      </c>
      <c r="Q44" s="43">
        <f>130000</f>
        <v>130000</v>
      </c>
      <c r="R44" s="43"/>
      <c r="S44" s="43"/>
      <c r="T44" s="43"/>
      <c r="U44" s="43"/>
    </row>
    <row r="45" spans="1:21" x14ac:dyDescent="0.25">
      <c r="A45" s="43"/>
      <c r="B45" s="43"/>
      <c r="C45" s="43" t="s">
        <v>133</v>
      </c>
      <c r="D45" s="77"/>
      <c r="E45" s="44">
        <f>E44/(1+$D$64)^1</f>
        <v>118333.33333333334</v>
      </c>
      <c r="F45" s="44">
        <f>F44/(1+$D$64)^1</f>
        <v>108122.66666666669</v>
      </c>
      <c r="G45" s="44">
        <f>G44/(1+$D$64)^1</f>
        <v>168009.06666666674</v>
      </c>
      <c r="H45" s="44">
        <f>H44/(1+$D$64)^1</f>
        <v>251161.78666666674</v>
      </c>
      <c r="I45" s="44">
        <f>I44/(1+$D$64)^1</f>
        <v>348170.50599999999</v>
      </c>
      <c r="J45" s="43"/>
      <c r="K45" s="43"/>
      <c r="L45" s="43"/>
      <c r="M45" s="43"/>
      <c r="N45" s="43"/>
      <c r="O45" s="43"/>
      <c r="P45" s="43"/>
      <c r="Q45" s="43"/>
      <c r="R45" s="43"/>
      <c r="S45" s="43"/>
      <c r="T45" s="43"/>
      <c r="U45" s="43"/>
    </row>
    <row r="46" spans="1:21" x14ac:dyDescent="0.25">
      <c r="A46" s="43"/>
      <c r="B46" s="43"/>
      <c r="C46" s="43" t="s">
        <v>132</v>
      </c>
      <c r="D46" s="77"/>
      <c r="E46" s="44">
        <f>E45</f>
        <v>118333.33333333334</v>
      </c>
      <c r="F46" s="44">
        <f>E46+F45</f>
        <v>226456.00000000003</v>
      </c>
      <c r="G46" s="44">
        <f t="shared" ref="G46:I46" si="10">F46+G45</f>
        <v>394465.06666666677</v>
      </c>
      <c r="H46" s="44">
        <f>G46+H45</f>
        <v>645626.85333333351</v>
      </c>
      <c r="I46" s="44">
        <f t="shared" si="10"/>
        <v>993797.35933333356</v>
      </c>
      <c r="J46" s="43"/>
      <c r="K46" s="43"/>
      <c r="L46" s="43"/>
      <c r="M46" s="43"/>
      <c r="N46" s="43"/>
      <c r="O46" s="43"/>
      <c r="P46" s="43"/>
      <c r="Q46" s="43"/>
      <c r="R46" s="43"/>
      <c r="S46" s="43"/>
      <c r="T46" s="43"/>
      <c r="U46" s="43"/>
    </row>
    <row r="47" spans="1:21" x14ac:dyDescent="0.25">
      <c r="A47" s="43"/>
      <c r="B47" s="43"/>
      <c r="C47" s="43"/>
      <c r="D47" s="43"/>
      <c r="E47" s="43"/>
      <c r="F47" s="43"/>
      <c r="G47" s="43"/>
      <c r="H47" s="43"/>
      <c r="I47" s="43"/>
      <c r="J47" s="43"/>
      <c r="K47" s="43"/>
      <c r="L47" s="43"/>
      <c r="M47" s="43"/>
      <c r="N47" s="43"/>
      <c r="O47" s="43"/>
      <c r="P47" s="43"/>
      <c r="Q47" s="43"/>
      <c r="R47" s="43"/>
      <c r="S47" s="43"/>
      <c r="T47" s="43"/>
      <c r="U47" s="43"/>
    </row>
    <row r="48" spans="1:21" x14ac:dyDescent="0.25">
      <c r="A48" s="43"/>
      <c r="B48" s="75" t="s">
        <v>131</v>
      </c>
      <c r="C48" s="43" t="s">
        <v>130</v>
      </c>
      <c r="D48" s="44">
        <f>SUM(E45:I45)+D42</f>
        <v>793797.35933333356</v>
      </c>
      <c r="E48" s="43"/>
      <c r="F48" s="43"/>
      <c r="G48" s="43"/>
      <c r="H48" s="43"/>
      <c r="I48" s="43"/>
      <c r="J48" s="43"/>
      <c r="K48" s="43"/>
      <c r="L48" s="43"/>
      <c r="M48" s="43"/>
      <c r="N48" s="43"/>
      <c r="O48" s="43"/>
      <c r="P48" s="43"/>
      <c r="Q48" s="43"/>
      <c r="R48" s="43"/>
      <c r="S48" s="43"/>
      <c r="T48" s="43"/>
      <c r="U48" s="43"/>
    </row>
    <row r="49" spans="1:21" x14ac:dyDescent="0.25">
      <c r="A49" s="43"/>
      <c r="B49" s="43"/>
      <c r="C49" s="43"/>
      <c r="D49" s="43"/>
      <c r="E49" s="43"/>
      <c r="F49" s="43"/>
      <c r="G49" s="43"/>
      <c r="H49" s="43"/>
      <c r="I49" s="43"/>
      <c r="J49" s="43"/>
      <c r="K49" s="43"/>
      <c r="L49" s="43"/>
      <c r="M49" s="43"/>
      <c r="N49" s="43"/>
      <c r="O49" s="43"/>
      <c r="P49" s="43"/>
      <c r="Q49" s="43"/>
      <c r="R49" s="43"/>
      <c r="S49" s="43"/>
      <c r="T49" s="43"/>
      <c r="U49" s="43"/>
    </row>
    <row r="50" spans="1:21" x14ac:dyDescent="0.25">
      <c r="A50" s="43"/>
      <c r="B50" s="75" t="s">
        <v>129</v>
      </c>
      <c r="C50" s="43" t="s">
        <v>128</v>
      </c>
      <c r="D50" s="86">
        <f>IRR(D44:I44)</f>
        <v>0.81625681943545358</v>
      </c>
      <c r="E50" s="43"/>
      <c r="F50" s="43"/>
      <c r="G50" s="43"/>
      <c r="H50" s="43"/>
      <c r="I50" s="43"/>
      <c r="J50" s="43"/>
      <c r="K50" s="43"/>
      <c r="L50" s="43"/>
      <c r="M50" s="43"/>
      <c r="N50" s="43"/>
      <c r="O50" s="43"/>
      <c r="P50" s="43"/>
      <c r="Q50" s="43"/>
      <c r="R50" s="43"/>
      <c r="S50" s="43"/>
      <c r="T50" s="43"/>
      <c r="U50" s="43"/>
    </row>
    <row r="51" spans="1:21" x14ac:dyDescent="0.25">
      <c r="A51" s="43"/>
      <c r="B51" s="43"/>
      <c r="C51" s="43"/>
      <c r="D51" s="43"/>
      <c r="E51" s="43"/>
      <c r="F51" s="43"/>
      <c r="G51" s="43"/>
      <c r="H51" s="43"/>
      <c r="I51" s="43"/>
      <c r="J51" s="43"/>
      <c r="K51" s="43"/>
      <c r="L51" s="43"/>
      <c r="M51" s="43"/>
      <c r="N51" s="43"/>
    </row>
    <row r="52" spans="1:21" x14ac:dyDescent="0.25">
      <c r="A52" s="43"/>
      <c r="B52" s="75" t="s">
        <v>127</v>
      </c>
      <c r="C52" s="43" t="s">
        <v>126</v>
      </c>
      <c r="D52" s="44">
        <f>((E44+F44)+D42)/F44+E31</f>
        <v>1.5529768657820746</v>
      </c>
      <c r="E52" s="43"/>
      <c r="F52" s="43"/>
      <c r="G52" s="43"/>
      <c r="H52" s="43"/>
      <c r="I52" s="43"/>
      <c r="J52" s="43"/>
      <c r="K52" s="43"/>
      <c r="L52" s="43"/>
      <c r="M52" s="43"/>
      <c r="N52" s="43"/>
    </row>
    <row r="53" spans="1:21" x14ac:dyDescent="0.25">
      <c r="A53" s="43"/>
      <c r="B53" s="43"/>
      <c r="C53" s="43"/>
      <c r="D53" s="43"/>
      <c r="E53" s="43"/>
      <c r="F53" s="43"/>
      <c r="G53" s="43"/>
      <c r="H53" s="43"/>
      <c r="I53" s="43"/>
      <c r="J53" s="43"/>
      <c r="K53" s="43"/>
      <c r="L53" s="43"/>
      <c r="M53" s="43"/>
      <c r="N53" s="43"/>
    </row>
    <row r="54" spans="1:21" x14ac:dyDescent="0.25">
      <c r="A54" s="43"/>
      <c r="B54" s="43" t="s">
        <v>215</v>
      </c>
      <c r="C54" s="43"/>
      <c r="D54" s="43"/>
      <c r="E54" s="43">
        <f>2000*12</f>
        <v>24000</v>
      </c>
      <c r="F54" s="43">
        <f>E54*1.5</f>
        <v>36000</v>
      </c>
      <c r="G54" s="43">
        <f>F54*1.4</f>
        <v>50400</v>
      </c>
      <c r="H54" s="43">
        <f>G54*1.3</f>
        <v>65520</v>
      </c>
      <c r="I54" s="43">
        <f>H54*1.15</f>
        <v>75348</v>
      </c>
      <c r="J54" s="43"/>
      <c r="K54" s="43"/>
      <c r="L54" s="43"/>
      <c r="M54" s="43"/>
      <c r="N54" s="43"/>
    </row>
    <row r="55" spans="1:21" x14ac:dyDescent="0.25">
      <c r="A55" s="43"/>
      <c r="B55" s="43" t="s">
        <v>216</v>
      </c>
      <c r="C55" s="43"/>
      <c r="D55" s="43"/>
      <c r="E55" s="43">
        <f>E54*O55</f>
        <v>240000</v>
      </c>
      <c r="F55" s="43">
        <f>F54*P55</f>
        <v>396000</v>
      </c>
      <c r="G55" s="43">
        <f>G54*Q55</f>
        <v>609840.00000000012</v>
      </c>
      <c r="H55" s="43">
        <f>H54*R55</f>
        <v>872071.20000000019</v>
      </c>
      <c r="I55" s="43">
        <f>I54*S55</f>
        <v>1103170.0680000002</v>
      </c>
      <c r="J55" s="43"/>
      <c r="K55" s="43"/>
      <c r="L55" s="43"/>
      <c r="M55" s="43"/>
      <c r="N55" s="43"/>
      <c r="O55">
        <f>10</f>
        <v>10</v>
      </c>
      <c r="P55">
        <f>O55*1.1</f>
        <v>11</v>
      </c>
      <c r="Q55">
        <f t="shared" ref="Q55:S55" si="11">P55*1.1</f>
        <v>12.100000000000001</v>
      </c>
      <c r="R55">
        <f t="shared" si="11"/>
        <v>13.310000000000002</v>
      </c>
      <c r="S55">
        <f t="shared" si="11"/>
        <v>14.641000000000004</v>
      </c>
    </row>
    <row r="56" spans="1:21" x14ac:dyDescent="0.25">
      <c r="A56" s="43"/>
      <c r="B56" s="43" t="s">
        <v>217</v>
      </c>
      <c r="C56" s="43"/>
      <c r="D56" s="43"/>
      <c r="E56" s="43">
        <f>E58+E59</f>
        <v>90400</v>
      </c>
      <c r="F56" s="43">
        <f t="shared" ref="F56:I56" si="12">F58+F59</f>
        <v>183488</v>
      </c>
      <c r="G56" s="43">
        <f t="shared" si="12"/>
        <v>277555.20000000001</v>
      </c>
      <c r="H56" s="43">
        <f t="shared" si="12"/>
        <v>373480.96000000002</v>
      </c>
      <c r="I56" s="43">
        <f t="shared" si="12"/>
        <v>377229.05600000004</v>
      </c>
      <c r="J56" s="43"/>
      <c r="K56" s="43"/>
      <c r="L56" s="43"/>
      <c r="M56" s="43"/>
      <c r="N56" s="43"/>
    </row>
    <row r="57" spans="1:21" x14ac:dyDescent="0.25">
      <c r="A57" s="43"/>
      <c r="B57" s="43"/>
      <c r="C57" s="43" t="s">
        <v>218</v>
      </c>
      <c r="D57" s="43"/>
      <c r="E57" s="43">
        <f>1</f>
        <v>1</v>
      </c>
      <c r="F57" s="43">
        <f>2</f>
        <v>2</v>
      </c>
      <c r="G57" s="43">
        <f>3</f>
        <v>3</v>
      </c>
      <c r="H57" s="43">
        <f>4</f>
        <v>4</v>
      </c>
      <c r="I57" s="43">
        <f>4</f>
        <v>4</v>
      </c>
      <c r="J57" s="43"/>
      <c r="K57" s="43"/>
      <c r="L57" s="43"/>
      <c r="M57" s="43"/>
      <c r="N57" s="43"/>
      <c r="O57" s="92" t="s">
        <v>234</v>
      </c>
      <c r="P57" s="92" t="s">
        <v>235</v>
      </c>
      <c r="Q57" s="92" t="s">
        <v>236</v>
      </c>
      <c r="R57" s="92" t="s">
        <v>237</v>
      </c>
      <c r="S57" s="92" t="s">
        <v>238</v>
      </c>
    </row>
    <row r="58" spans="1:21" x14ac:dyDescent="0.25">
      <c r="A58" s="43"/>
      <c r="B58" s="43"/>
      <c r="C58" s="43" t="s">
        <v>219</v>
      </c>
      <c r="D58" s="43"/>
      <c r="E58" s="43">
        <f>3200*2</f>
        <v>6400</v>
      </c>
      <c r="F58" s="43">
        <f>P58*2*F57</f>
        <v>15488.000000000004</v>
      </c>
      <c r="G58" s="43">
        <f>Q58*2*G57</f>
        <v>25555.200000000012</v>
      </c>
      <c r="H58" s="43">
        <f>R58*2*H57</f>
        <v>37480.960000000021</v>
      </c>
      <c r="I58" s="43">
        <f>S58*2*I57</f>
        <v>41229.056000000026</v>
      </c>
      <c r="J58" s="43"/>
      <c r="K58" s="43"/>
      <c r="L58" s="43"/>
      <c r="M58" s="43"/>
      <c r="N58" s="43"/>
      <c r="O58" s="43">
        <f>3200*1.1</f>
        <v>3520.0000000000005</v>
      </c>
      <c r="P58" s="43">
        <f>O58*1.1</f>
        <v>3872.0000000000009</v>
      </c>
      <c r="Q58" s="43">
        <f>P58*1.1</f>
        <v>4259.2000000000016</v>
      </c>
      <c r="R58" s="43">
        <f>Q58*1.1</f>
        <v>4685.1200000000026</v>
      </c>
      <c r="S58" s="43">
        <f>R58*1.1</f>
        <v>5153.6320000000032</v>
      </c>
    </row>
    <row r="59" spans="1:21" x14ac:dyDescent="0.25">
      <c r="A59" s="43"/>
      <c r="B59" s="43"/>
      <c r="C59" s="43" t="s">
        <v>220</v>
      </c>
      <c r="D59" s="43"/>
      <c r="E59" s="43">
        <f>7000*E57*12</f>
        <v>84000</v>
      </c>
      <c r="F59" s="43">
        <f t="shared" ref="F59:I59" si="13">7000*F57*12</f>
        <v>168000</v>
      </c>
      <c r="G59" s="43">
        <f t="shared" si="13"/>
        <v>252000</v>
      </c>
      <c r="H59" s="43">
        <f t="shared" si="13"/>
        <v>336000</v>
      </c>
      <c r="I59" s="43">
        <f t="shared" si="13"/>
        <v>336000</v>
      </c>
      <c r="J59" s="43"/>
      <c r="K59" s="43"/>
      <c r="L59" s="43"/>
      <c r="M59" s="43"/>
      <c r="N59" s="43"/>
      <c r="O59">
        <f>20</f>
        <v>20</v>
      </c>
      <c r="P59">
        <f>O59*1.1</f>
        <v>22</v>
      </c>
      <c r="Q59">
        <f t="shared" ref="Q59:S59" si="14">P59*1.1</f>
        <v>24.200000000000003</v>
      </c>
      <c r="R59">
        <f t="shared" si="14"/>
        <v>26.620000000000005</v>
      </c>
      <c r="S59">
        <f t="shared" si="14"/>
        <v>29.282000000000007</v>
      </c>
    </row>
    <row r="60" spans="1:21" x14ac:dyDescent="0.25">
      <c r="A60" s="43"/>
      <c r="B60" s="43"/>
      <c r="C60" s="43" t="s">
        <v>221</v>
      </c>
      <c r="D60" s="43">
        <v>200000</v>
      </c>
      <c r="E60" s="43"/>
      <c r="F60" s="43"/>
      <c r="G60" s="43"/>
      <c r="H60" s="43"/>
      <c r="I60" s="43"/>
      <c r="J60" s="43"/>
      <c r="K60" s="43"/>
      <c r="L60" s="43"/>
      <c r="M60" s="43"/>
      <c r="N60" s="43"/>
    </row>
    <row r="61" spans="1:21" x14ac:dyDescent="0.25">
      <c r="A61" s="43"/>
      <c r="B61" s="43"/>
      <c r="C61" s="43" t="s">
        <v>232</v>
      </c>
      <c r="D61" s="43">
        <v>150000</v>
      </c>
      <c r="E61" s="43">
        <f>(D61-50000)/5</f>
        <v>20000</v>
      </c>
      <c r="F61" s="43">
        <f>(150000-50000)/5</f>
        <v>20000</v>
      </c>
      <c r="G61" s="43">
        <f t="shared" ref="G61:I61" si="15">(150000-50000)/5</f>
        <v>20000</v>
      </c>
      <c r="H61" s="43">
        <f t="shared" si="15"/>
        <v>20000</v>
      </c>
      <c r="I61" s="43">
        <f t="shared" si="15"/>
        <v>20000</v>
      </c>
      <c r="J61" s="43">
        <v>50000</v>
      </c>
      <c r="K61" s="43"/>
      <c r="L61" s="43"/>
      <c r="M61" s="43"/>
      <c r="N61" s="43"/>
    </row>
    <row r="62" spans="1:21" x14ac:dyDescent="0.25">
      <c r="A62" s="43"/>
      <c r="B62" s="43"/>
      <c r="C62" s="43" t="s">
        <v>222</v>
      </c>
      <c r="D62" s="43">
        <v>120000</v>
      </c>
      <c r="E62" s="43"/>
      <c r="F62" s="43"/>
      <c r="G62" s="43"/>
      <c r="H62" s="43"/>
      <c r="I62" s="43"/>
      <c r="J62" s="43"/>
      <c r="K62" s="43"/>
      <c r="L62" s="43"/>
      <c r="M62" s="43"/>
      <c r="N62" s="43"/>
    </row>
    <row r="63" spans="1:21" x14ac:dyDescent="0.25">
      <c r="A63" s="43"/>
      <c r="B63" s="43"/>
      <c r="C63" s="43" t="s">
        <v>223</v>
      </c>
      <c r="D63" s="43">
        <f>30000+50000</f>
        <v>80000</v>
      </c>
      <c r="E63" s="43"/>
      <c r="F63" s="43"/>
      <c r="G63" s="43"/>
      <c r="H63" s="43"/>
      <c r="I63" s="43"/>
      <c r="J63" s="43"/>
      <c r="K63" s="43"/>
      <c r="L63" s="43"/>
      <c r="M63" s="43"/>
      <c r="N63" s="43"/>
    </row>
    <row r="64" spans="1:21" x14ac:dyDescent="0.25">
      <c r="A64" s="43"/>
      <c r="B64" s="43"/>
      <c r="C64" s="43" t="s">
        <v>224</v>
      </c>
      <c r="D64" s="64">
        <f>0.2</f>
        <v>0.2</v>
      </c>
      <c r="E64" s="43"/>
      <c r="F64" s="43"/>
      <c r="G64" s="43"/>
      <c r="H64" s="43"/>
      <c r="I64" s="43"/>
      <c r="J64" s="43"/>
      <c r="K64" s="43"/>
      <c r="L64" s="43"/>
      <c r="M64" s="43"/>
      <c r="N64" s="43"/>
    </row>
    <row r="65" spans="1:14" x14ac:dyDescent="0.25">
      <c r="A65" s="43"/>
      <c r="B65" s="43"/>
      <c r="C65" s="43" t="s">
        <v>225</v>
      </c>
      <c r="D65" s="64">
        <f>0.4</f>
        <v>0.4</v>
      </c>
      <c r="E65" s="43"/>
      <c r="F65" s="43"/>
      <c r="G65" s="43"/>
      <c r="H65" s="43"/>
      <c r="I65" s="43"/>
      <c r="J65" s="43"/>
      <c r="K65" s="43"/>
      <c r="L65" s="43"/>
      <c r="M65" s="43"/>
      <c r="N65" s="43"/>
    </row>
    <row r="66" spans="1:14" x14ac:dyDescent="0.25">
      <c r="A66" s="43"/>
      <c r="B66" s="43"/>
      <c r="C66" s="43" t="s">
        <v>233</v>
      </c>
      <c r="D66" s="43">
        <f>50000</f>
        <v>50000</v>
      </c>
      <c r="E66" s="43"/>
      <c r="F66" s="43"/>
      <c r="G66" s="43"/>
      <c r="H66" s="43"/>
      <c r="I66" s="43"/>
      <c r="J66" s="43"/>
      <c r="K66" s="43"/>
      <c r="L66" s="43"/>
      <c r="M66" s="43"/>
      <c r="N66" s="43"/>
    </row>
    <row r="67" spans="1:14" x14ac:dyDescent="0.25">
      <c r="A67" s="43"/>
      <c r="B67" s="43"/>
      <c r="C67" s="43"/>
      <c r="D67" s="43"/>
      <c r="E67" s="43"/>
      <c r="F67" s="43"/>
      <c r="G67" s="43"/>
      <c r="H67" s="43"/>
      <c r="I67" s="43"/>
      <c r="J67" s="43"/>
      <c r="K67" s="43"/>
      <c r="L67" s="43"/>
      <c r="M67" s="43"/>
      <c r="N67" s="43"/>
    </row>
    <row r="68" spans="1:14" x14ac:dyDescent="0.25">
      <c r="A68" s="43"/>
      <c r="B68" s="43"/>
      <c r="C68" s="43"/>
      <c r="D68" s="43"/>
      <c r="E68" s="43"/>
      <c r="F68" s="43"/>
      <c r="G68" s="43"/>
      <c r="H68" s="43"/>
      <c r="I68" s="43"/>
      <c r="J68" s="43"/>
      <c r="K68" s="43"/>
      <c r="L68" s="43"/>
      <c r="M68" s="43"/>
      <c r="N68" s="43"/>
    </row>
    <row r="69" spans="1:14" x14ac:dyDescent="0.25">
      <c r="A69" s="43"/>
      <c r="B69" s="43"/>
      <c r="C69" s="43"/>
      <c r="D69" s="43"/>
      <c r="E69" s="43"/>
      <c r="F69" s="43"/>
      <c r="G69" s="43"/>
      <c r="H69" s="43"/>
      <c r="I69" s="43"/>
      <c r="J69" s="43"/>
      <c r="K69" s="43"/>
      <c r="L69" s="43"/>
      <c r="M69" s="43"/>
      <c r="N69" s="43"/>
    </row>
    <row r="70" spans="1:14" x14ac:dyDescent="0.25">
      <c r="A70" s="43"/>
      <c r="B70" s="43"/>
      <c r="C70" s="43"/>
      <c r="D70" s="43"/>
      <c r="E70" s="43"/>
      <c r="F70" s="43"/>
      <c r="G70" s="43"/>
      <c r="H70" s="43"/>
      <c r="I70" s="43"/>
      <c r="J70" s="43"/>
      <c r="K70" s="43"/>
      <c r="L70" s="43"/>
      <c r="M70" s="43"/>
      <c r="N70" s="43"/>
    </row>
    <row r="71" spans="1:14" x14ac:dyDescent="0.25">
      <c r="A71" s="43"/>
      <c r="B71" s="43"/>
      <c r="C71" s="43"/>
      <c r="D71" s="43"/>
      <c r="E71" s="43"/>
      <c r="F71" s="43"/>
      <c r="G71" s="43"/>
      <c r="H71" s="43"/>
      <c r="I71" s="43"/>
      <c r="J71" s="43"/>
      <c r="K71" s="43"/>
      <c r="L71" s="43"/>
      <c r="M71" s="43"/>
      <c r="N71" s="43"/>
    </row>
    <row r="72" spans="1:14" x14ac:dyDescent="0.25">
      <c r="A72" s="43"/>
      <c r="B72" s="43"/>
      <c r="C72" s="43"/>
      <c r="D72" s="43"/>
      <c r="E72" s="43"/>
      <c r="F72" s="43"/>
      <c r="G72" s="43"/>
      <c r="H72" s="43"/>
      <c r="I72" s="43"/>
      <c r="J72" s="43"/>
      <c r="K72" s="43"/>
      <c r="L72" s="43"/>
      <c r="M72" s="43"/>
      <c r="N72" s="43"/>
    </row>
    <row r="73" spans="1:14" x14ac:dyDescent="0.25">
      <c r="A73" s="43"/>
      <c r="B73" s="43"/>
      <c r="C73" s="43"/>
      <c r="D73" s="43"/>
      <c r="E73" s="43"/>
      <c r="F73" s="43"/>
      <c r="G73" s="43"/>
      <c r="H73" s="43"/>
      <c r="I73" s="43"/>
      <c r="J73" s="43"/>
      <c r="K73" s="43"/>
      <c r="L73" s="43"/>
      <c r="M73" s="43"/>
      <c r="N73" s="43"/>
    </row>
    <row r="74" spans="1:14" x14ac:dyDescent="0.25">
      <c r="A74" s="43"/>
      <c r="B74" s="43"/>
      <c r="C74" s="43"/>
      <c r="D74" s="43"/>
      <c r="E74" s="43"/>
      <c r="F74" s="43"/>
      <c r="G74" s="43"/>
      <c r="H74" s="43"/>
      <c r="I74" s="43"/>
      <c r="J74" s="43"/>
      <c r="K74" s="43"/>
      <c r="L74" s="43"/>
      <c r="M74" s="43"/>
      <c r="N74" s="43"/>
    </row>
    <row r="75" spans="1:14" x14ac:dyDescent="0.25">
      <c r="A75" s="43"/>
      <c r="B75" s="43"/>
      <c r="C75" s="43"/>
      <c r="D75" s="43"/>
      <c r="E75" s="43"/>
      <c r="F75" s="43"/>
      <c r="G75" s="43"/>
      <c r="H75" s="43"/>
      <c r="I75" s="43"/>
      <c r="J75" s="43"/>
      <c r="K75" s="43"/>
      <c r="L75" s="43"/>
      <c r="M75" s="43"/>
      <c r="N75" s="43"/>
    </row>
    <row r="76" spans="1:14" x14ac:dyDescent="0.25">
      <c r="A76" s="43"/>
      <c r="B76" s="43"/>
      <c r="C76" s="43"/>
      <c r="D76" s="43"/>
      <c r="E76" s="43"/>
      <c r="F76" s="43"/>
      <c r="G76" s="43"/>
      <c r="H76" s="43"/>
      <c r="I76" s="43"/>
      <c r="J76" s="43"/>
      <c r="K76" s="43"/>
      <c r="L76" s="43"/>
      <c r="M76" s="43"/>
      <c r="N76" s="43"/>
    </row>
    <row r="77" spans="1:14" x14ac:dyDescent="0.25">
      <c r="A77" s="43"/>
      <c r="B77" s="43"/>
      <c r="C77" s="43"/>
      <c r="D77" s="43"/>
      <c r="E77" s="43"/>
      <c r="F77" s="43"/>
      <c r="G77" s="43"/>
      <c r="H77" s="43"/>
      <c r="I77" s="43"/>
      <c r="J77" s="43"/>
      <c r="K77" s="43"/>
      <c r="L77" s="43"/>
      <c r="M77" s="43"/>
      <c r="N77" s="43"/>
    </row>
    <row r="78" spans="1:14" x14ac:dyDescent="0.25">
      <c r="A78" s="43"/>
      <c r="B78" s="43"/>
      <c r="C78" s="43"/>
      <c r="D78" s="43"/>
      <c r="E78" s="43"/>
      <c r="F78" s="43"/>
      <c r="G78" s="43"/>
      <c r="H78" s="43"/>
      <c r="I78" s="43"/>
      <c r="J78" s="43"/>
      <c r="K78" s="43"/>
      <c r="L78" s="43"/>
      <c r="M78" s="43"/>
      <c r="N78" s="43"/>
    </row>
    <row r="79" spans="1:14" x14ac:dyDescent="0.25">
      <c r="A79" s="43"/>
      <c r="B79" s="43"/>
      <c r="C79" s="43"/>
      <c r="D79" s="43"/>
      <c r="E79" s="43"/>
      <c r="F79" s="43"/>
      <c r="G79" s="43"/>
      <c r="H79" s="43"/>
      <c r="I79" s="43"/>
      <c r="J79" s="43"/>
      <c r="K79" s="43"/>
      <c r="L79" s="43"/>
      <c r="M79" s="43"/>
      <c r="N79" s="43"/>
    </row>
    <row r="80" spans="1:14" x14ac:dyDescent="0.25">
      <c r="A80" s="43"/>
      <c r="B80" s="43"/>
      <c r="C80" s="43"/>
      <c r="D80" s="43"/>
      <c r="E80" s="43"/>
      <c r="F80" s="43"/>
      <c r="G80" s="43"/>
      <c r="H80" s="43"/>
      <c r="I80" s="43"/>
      <c r="J80" s="43"/>
      <c r="K80" s="43"/>
      <c r="L80" s="43"/>
      <c r="M80" s="43"/>
      <c r="N80" s="43"/>
    </row>
    <row r="81" spans="1:14" x14ac:dyDescent="0.25">
      <c r="A81" s="43"/>
      <c r="B81" s="43"/>
      <c r="C81" s="43"/>
      <c r="D81" s="43"/>
      <c r="E81" s="43"/>
      <c r="F81" s="43"/>
      <c r="G81" s="43"/>
      <c r="H81" s="43"/>
      <c r="I81" s="43"/>
      <c r="J81" s="43"/>
      <c r="K81" s="43"/>
      <c r="L81" s="43"/>
      <c r="M81" s="43"/>
      <c r="N81" s="43"/>
    </row>
    <row r="82" spans="1:14" x14ac:dyDescent="0.25">
      <c r="A82" s="43"/>
      <c r="B82" s="43"/>
      <c r="C82" s="43"/>
      <c r="D82" s="43"/>
      <c r="E82" s="43"/>
      <c r="F82" s="43"/>
      <c r="G82" s="43"/>
      <c r="H82" s="43"/>
      <c r="I82" s="43"/>
      <c r="J82" s="43"/>
      <c r="K82" s="43"/>
      <c r="L82" s="43"/>
      <c r="M82" s="43"/>
      <c r="N82" s="43"/>
    </row>
    <row r="83" spans="1:14" x14ac:dyDescent="0.25">
      <c r="A83" s="43"/>
      <c r="B83" s="43"/>
      <c r="C83" s="43"/>
      <c r="D83" s="43"/>
      <c r="E83" s="43"/>
      <c r="F83" s="43"/>
      <c r="G83" s="43"/>
      <c r="H83" s="43"/>
      <c r="I83" s="43"/>
      <c r="J83" s="43"/>
      <c r="K83" s="43"/>
      <c r="L83" s="43"/>
      <c r="M83" s="43"/>
      <c r="N83" s="43"/>
    </row>
    <row r="84" spans="1:14" x14ac:dyDescent="0.25">
      <c r="A84" s="43"/>
      <c r="B84" s="43"/>
      <c r="C84" s="43"/>
      <c r="D84" s="43"/>
      <c r="E84" s="43"/>
      <c r="F84" s="43"/>
      <c r="G84" s="43"/>
      <c r="H84" s="43"/>
      <c r="I84" s="43"/>
      <c r="J84" s="43"/>
      <c r="K84" s="43"/>
      <c r="L84" s="43"/>
      <c r="M84" s="43"/>
      <c r="N84" s="43"/>
    </row>
    <row r="85" spans="1:14" x14ac:dyDescent="0.25">
      <c r="A85" s="43"/>
      <c r="B85" s="43"/>
      <c r="C85" s="43"/>
      <c r="D85" s="43"/>
      <c r="E85" s="43"/>
      <c r="F85" s="43"/>
      <c r="G85" s="43"/>
      <c r="H85" s="43"/>
      <c r="I85" s="43"/>
      <c r="J85" s="43"/>
      <c r="K85" s="43"/>
      <c r="L85" s="43"/>
      <c r="M85" s="43"/>
      <c r="N85" s="43"/>
    </row>
    <row r="86" spans="1:14" x14ac:dyDescent="0.25">
      <c r="A86" s="43"/>
      <c r="B86" s="43"/>
      <c r="C86" s="43"/>
      <c r="D86" s="43"/>
      <c r="E86" s="43"/>
      <c r="F86" s="43"/>
      <c r="G86" s="43"/>
      <c r="H86" s="43"/>
      <c r="I86" s="43"/>
      <c r="J86" s="43"/>
      <c r="K86" s="43"/>
      <c r="L86" s="43"/>
      <c r="M86" s="43"/>
      <c r="N86" s="43"/>
    </row>
    <row r="87" spans="1:14" x14ac:dyDescent="0.25">
      <c r="A87" s="43"/>
      <c r="B87" s="43"/>
      <c r="C87" s="43"/>
      <c r="D87" s="43"/>
      <c r="E87" s="43"/>
      <c r="F87" s="43"/>
      <c r="G87" s="43"/>
      <c r="H87" s="43"/>
      <c r="I87" s="43"/>
      <c r="J87" s="43"/>
      <c r="K87" s="43"/>
      <c r="L87" s="43"/>
      <c r="M87" s="43"/>
      <c r="N87" s="43"/>
    </row>
    <row r="88" spans="1:14" x14ac:dyDescent="0.25">
      <c r="A88" s="43"/>
      <c r="B88" s="43"/>
      <c r="C88" s="43"/>
      <c r="D88" s="43"/>
      <c r="E88" s="43"/>
      <c r="F88" s="43"/>
      <c r="G88" s="43"/>
      <c r="H88" s="43"/>
      <c r="I88" s="43"/>
      <c r="J88" s="43"/>
      <c r="K88" s="43"/>
      <c r="L88" s="43"/>
      <c r="M88" s="43"/>
      <c r="N88" s="43"/>
    </row>
    <row r="89" spans="1:14" x14ac:dyDescent="0.25">
      <c r="A89" s="43"/>
      <c r="B89" s="43"/>
      <c r="C89" s="43"/>
      <c r="D89" s="43"/>
      <c r="E89" s="43"/>
      <c r="F89" s="43"/>
      <c r="G89" s="43"/>
      <c r="H89" s="43"/>
      <c r="I89" s="43"/>
      <c r="J89" s="43"/>
      <c r="K89" s="43"/>
      <c r="L89" s="43"/>
      <c r="M89" s="43"/>
      <c r="N89" s="43"/>
    </row>
    <row r="90" spans="1:14" x14ac:dyDescent="0.25">
      <c r="A90" s="43"/>
      <c r="B90" s="43"/>
      <c r="C90" s="43"/>
      <c r="D90" s="43"/>
      <c r="E90" s="43"/>
      <c r="F90" s="43"/>
      <c r="G90" s="43"/>
      <c r="H90" s="43"/>
      <c r="I90" s="43"/>
      <c r="J90" s="43"/>
      <c r="K90" s="43"/>
      <c r="L90" s="43"/>
      <c r="M90" s="43"/>
      <c r="N90" s="43"/>
    </row>
    <row r="91" spans="1:14" x14ac:dyDescent="0.25">
      <c r="A91" s="43"/>
      <c r="B91" s="43"/>
      <c r="C91" s="43"/>
      <c r="D91" s="43"/>
      <c r="E91" s="43"/>
      <c r="F91" s="43"/>
      <c r="G91" s="43"/>
      <c r="H91" s="43"/>
      <c r="I91" s="43"/>
      <c r="J91" s="43"/>
      <c r="K91" s="43"/>
      <c r="L91" s="43"/>
      <c r="M91" s="43"/>
      <c r="N91" s="43"/>
    </row>
    <row r="92" spans="1:14" x14ac:dyDescent="0.25">
      <c r="A92" s="43"/>
      <c r="B92" s="43"/>
      <c r="C92" s="43"/>
      <c r="D92" s="43"/>
      <c r="E92" s="43"/>
      <c r="F92" s="43"/>
      <c r="G92" s="43"/>
      <c r="H92" s="43"/>
      <c r="I92" s="43"/>
      <c r="J92" s="43"/>
      <c r="K92" s="43"/>
      <c r="L92" s="43"/>
      <c r="M92" s="43"/>
      <c r="N92" s="43"/>
    </row>
  </sheetData>
  <pageMargins left="0.7" right="0.7" top="0.75" bottom="0.75" header="0.3" footer="0.3"/>
  <pageSetup paperSize="9" scale="63" orientation="landscape"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R168"/>
  <sheetViews>
    <sheetView showGridLines="0" topLeftCell="A79" zoomScale="87" zoomScaleNormal="87" workbookViewId="0"/>
  </sheetViews>
  <sheetFormatPr defaultRowHeight="15" x14ac:dyDescent="0.25"/>
  <cols>
    <col min="1" max="1" width="7.7109375" bestFit="1" customWidth="1"/>
    <col min="2" max="2" width="9.7109375" bestFit="1" customWidth="1"/>
    <col min="3" max="3" width="45.85546875" bestFit="1" customWidth="1"/>
    <col min="4" max="4" width="13.42578125" bestFit="1" customWidth="1"/>
    <col min="5" max="5" width="14.7109375" bestFit="1" customWidth="1"/>
    <col min="6" max="6" width="13.42578125" bestFit="1" customWidth="1"/>
    <col min="7" max="7" width="11.28515625" bestFit="1" customWidth="1"/>
    <col min="8" max="16" width="11.7109375" bestFit="1" customWidth="1"/>
    <col min="17" max="17" width="13.7109375" bestFit="1" customWidth="1"/>
    <col min="18" max="23" width="11.7109375" bestFit="1" customWidth="1"/>
    <col min="24" max="44" width="12.28515625" bestFit="1" customWidth="1"/>
  </cols>
  <sheetData>
    <row r="1" spans="1:2" x14ac:dyDescent="0.25">
      <c r="B1" s="31" t="s">
        <v>119</v>
      </c>
    </row>
    <row r="2" spans="1:2" x14ac:dyDescent="0.25">
      <c r="B2" t="s">
        <v>64</v>
      </c>
    </row>
    <row r="3" spans="1:2" x14ac:dyDescent="0.25">
      <c r="B3" t="s">
        <v>43</v>
      </c>
    </row>
    <row r="5" spans="1:2" x14ac:dyDescent="0.25">
      <c r="B5" t="s">
        <v>44</v>
      </c>
    </row>
    <row r="6" spans="1:2" x14ac:dyDescent="0.25">
      <c r="A6">
        <v>15000</v>
      </c>
      <c r="B6" t="s">
        <v>45</v>
      </c>
    </row>
    <row r="7" spans="1:2" x14ac:dyDescent="0.25">
      <c r="A7">
        <v>5000</v>
      </c>
      <c r="B7" t="s">
        <v>54</v>
      </c>
    </row>
    <row r="8" spans="1:2" x14ac:dyDescent="0.25">
      <c r="A8">
        <v>2000</v>
      </c>
      <c r="B8" t="s">
        <v>46</v>
      </c>
    </row>
    <row r="9" spans="1:2" x14ac:dyDescent="0.25">
      <c r="A9">
        <v>2500</v>
      </c>
      <c r="B9" t="s">
        <v>41</v>
      </c>
    </row>
    <row r="10" spans="1:2" x14ac:dyDescent="0.25">
      <c r="A10">
        <v>1000</v>
      </c>
      <c r="B10" t="s">
        <v>42</v>
      </c>
    </row>
    <row r="11" spans="1:2" x14ac:dyDescent="0.25">
      <c r="A11">
        <v>1000</v>
      </c>
      <c r="B11" t="s">
        <v>120</v>
      </c>
    </row>
    <row r="13" spans="1:2" x14ac:dyDescent="0.25">
      <c r="B13" t="s">
        <v>47</v>
      </c>
    </row>
    <row r="14" spans="1:2" x14ac:dyDescent="0.25">
      <c r="A14">
        <v>12000</v>
      </c>
      <c r="B14" t="s">
        <v>83</v>
      </c>
    </row>
    <row r="15" spans="1:2" x14ac:dyDescent="0.25">
      <c r="B15" t="s">
        <v>65</v>
      </c>
    </row>
    <row r="16" spans="1:2" x14ac:dyDescent="0.25">
      <c r="A16" s="21">
        <v>0.05</v>
      </c>
      <c r="B16" t="s">
        <v>84</v>
      </c>
    </row>
    <row r="17" spans="1:2" x14ac:dyDescent="0.25">
      <c r="A17" s="21">
        <v>0.2</v>
      </c>
      <c r="B17" t="s">
        <v>121</v>
      </c>
    </row>
    <row r="18" spans="1:2" x14ac:dyDescent="0.25">
      <c r="B18" t="s">
        <v>67</v>
      </c>
    </row>
    <row r="19" spans="1:2" x14ac:dyDescent="0.25">
      <c r="A19" s="22">
        <v>0.19500000000000001</v>
      </c>
      <c r="B19" t="s">
        <v>85</v>
      </c>
    </row>
    <row r="20" spans="1:2" x14ac:dyDescent="0.25">
      <c r="B20" t="s">
        <v>122</v>
      </c>
    </row>
    <row r="21" spans="1:2" x14ac:dyDescent="0.25">
      <c r="A21" s="21"/>
      <c r="B21" t="s">
        <v>66</v>
      </c>
    </row>
    <row r="22" spans="1:2" x14ac:dyDescent="0.25">
      <c r="A22" s="21">
        <v>0.1</v>
      </c>
      <c r="B22" t="s">
        <v>61</v>
      </c>
    </row>
    <row r="23" spans="1:2" x14ac:dyDescent="0.25">
      <c r="A23" s="21"/>
      <c r="B23" t="s">
        <v>91</v>
      </c>
    </row>
    <row r="24" spans="1:2" x14ac:dyDescent="0.25">
      <c r="A24" s="21"/>
    </row>
    <row r="25" spans="1:2" x14ac:dyDescent="0.25">
      <c r="B25" t="s">
        <v>48</v>
      </c>
    </row>
    <row r="26" spans="1:2" x14ac:dyDescent="0.25">
      <c r="B26" t="s">
        <v>49</v>
      </c>
    </row>
    <row r="27" spans="1:2" x14ac:dyDescent="0.25">
      <c r="A27">
        <v>60000</v>
      </c>
      <c r="B27" t="s">
        <v>62</v>
      </c>
    </row>
    <row r="28" spans="1:2" x14ac:dyDescent="0.25">
      <c r="A28">
        <v>20000</v>
      </c>
      <c r="B28" t="s">
        <v>50</v>
      </c>
    </row>
    <row r="29" spans="1:2" x14ac:dyDescent="0.25">
      <c r="A29">
        <v>10000</v>
      </c>
      <c r="B29" t="s">
        <v>55</v>
      </c>
    </row>
    <row r="30" spans="1:2" x14ac:dyDescent="0.25">
      <c r="A30">
        <v>1500</v>
      </c>
      <c r="B30" t="s">
        <v>51</v>
      </c>
    </row>
    <row r="31" spans="1:2" x14ac:dyDescent="0.25">
      <c r="A31">
        <v>4000</v>
      </c>
      <c r="B31" t="s">
        <v>63</v>
      </c>
    </row>
    <row r="32" spans="1:2" x14ac:dyDescent="0.25">
      <c r="A32">
        <v>20000</v>
      </c>
      <c r="B32" t="s">
        <v>56</v>
      </c>
    </row>
    <row r="33" spans="1:2" x14ac:dyDescent="0.25">
      <c r="A33" s="21">
        <v>0.1</v>
      </c>
      <c r="B33" t="s">
        <v>53</v>
      </c>
    </row>
    <row r="34" spans="1:2" x14ac:dyDescent="0.25">
      <c r="A34" s="21">
        <v>0.15</v>
      </c>
      <c r="B34" t="s">
        <v>93</v>
      </c>
    </row>
    <row r="35" spans="1:2" x14ac:dyDescent="0.25">
      <c r="A35" s="21"/>
    </row>
    <row r="36" spans="1:2" x14ac:dyDescent="0.25">
      <c r="B36" t="s">
        <v>57</v>
      </c>
    </row>
    <row r="37" spans="1:2" x14ac:dyDescent="0.25">
      <c r="A37">
        <v>80000</v>
      </c>
      <c r="B37" t="s">
        <v>58</v>
      </c>
    </row>
    <row r="38" spans="1:2" x14ac:dyDescent="0.25">
      <c r="A38">
        <v>20000</v>
      </c>
      <c r="B38" t="s">
        <v>50</v>
      </c>
    </row>
    <row r="39" spans="1:2" x14ac:dyDescent="0.25">
      <c r="A39">
        <v>15000</v>
      </c>
      <c r="B39" t="s">
        <v>59</v>
      </c>
    </row>
    <row r="40" spans="1:2" x14ac:dyDescent="0.25">
      <c r="A40">
        <v>6000</v>
      </c>
      <c r="B40" t="s">
        <v>60</v>
      </c>
    </row>
    <row r="41" spans="1:2" x14ac:dyDescent="0.25">
      <c r="A41">
        <v>5000</v>
      </c>
      <c r="B41" t="s">
        <v>52</v>
      </c>
    </row>
    <row r="42" spans="1:2" x14ac:dyDescent="0.25">
      <c r="A42">
        <v>30000</v>
      </c>
      <c r="B42" t="s">
        <v>56</v>
      </c>
    </row>
    <row r="43" spans="1:2" x14ac:dyDescent="0.25">
      <c r="A43" s="21">
        <v>0.12</v>
      </c>
      <c r="B43" t="s">
        <v>53</v>
      </c>
    </row>
    <row r="44" spans="1:2" x14ac:dyDescent="0.25">
      <c r="A44" s="21">
        <v>0.2</v>
      </c>
      <c r="B44" t="s">
        <v>93</v>
      </c>
    </row>
    <row r="45" spans="1:2" x14ac:dyDescent="0.25">
      <c r="A45" s="21"/>
    </row>
    <row r="46" spans="1:2" x14ac:dyDescent="0.25">
      <c r="A46" s="21"/>
      <c r="B46" t="s">
        <v>94</v>
      </c>
    </row>
    <row r="47" spans="1:2" x14ac:dyDescent="0.25">
      <c r="A47" s="25">
        <v>0.14000000000000001</v>
      </c>
      <c r="B47" t="s">
        <v>95</v>
      </c>
    </row>
    <row r="48" spans="1:2" x14ac:dyDescent="0.25">
      <c r="A48" s="21">
        <v>0.2</v>
      </c>
      <c r="B48" s="21" t="s">
        <v>68</v>
      </c>
    </row>
    <row r="49" spans="1:2" x14ac:dyDescent="0.25">
      <c r="A49" s="25"/>
      <c r="B49" s="21"/>
    </row>
    <row r="50" spans="1:2" x14ac:dyDescent="0.25">
      <c r="A50" s="25"/>
      <c r="B50" s="21" t="s">
        <v>123</v>
      </c>
    </row>
    <row r="51" spans="1:2" x14ac:dyDescent="0.25">
      <c r="A51" s="25"/>
      <c r="B51" s="21" t="s">
        <v>96</v>
      </c>
    </row>
    <row r="52" spans="1:2" x14ac:dyDescent="0.25">
      <c r="A52" s="25"/>
      <c r="B52" s="21" t="s">
        <v>69</v>
      </c>
    </row>
    <row r="53" spans="1:2" x14ac:dyDescent="0.25">
      <c r="A53" s="25">
        <v>0.12</v>
      </c>
      <c r="B53" s="21" t="s">
        <v>70</v>
      </c>
    </row>
    <row r="54" spans="1:2" x14ac:dyDescent="0.25">
      <c r="A54" s="25"/>
      <c r="B54" s="21" t="s">
        <v>97</v>
      </c>
    </row>
    <row r="55" spans="1:2" x14ac:dyDescent="0.25">
      <c r="A55" s="25"/>
      <c r="B55" s="21"/>
    </row>
    <row r="56" spans="1:2" x14ac:dyDescent="0.25">
      <c r="A56" s="25"/>
      <c r="B56" s="21" t="s">
        <v>111</v>
      </c>
    </row>
    <row r="57" spans="1:2" x14ac:dyDescent="0.25">
      <c r="A57" s="25"/>
      <c r="B57" s="21" t="s">
        <v>75</v>
      </c>
    </row>
    <row r="58" spans="1:2" x14ac:dyDescent="0.25">
      <c r="A58" s="25" t="s">
        <v>71</v>
      </c>
      <c r="B58" s="21" t="s">
        <v>104</v>
      </c>
    </row>
    <row r="59" spans="1:2" x14ac:dyDescent="0.25">
      <c r="A59" s="25"/>
      <c r="B59" s="21" t="s">
        <v>76</v>
      </c>
    </row>
    <row r="60" spans="1:2" x14ac:dyDescent="0.25">
      <c r="A60" s="25"/>
      <c r="B60" s="21" t="s">
        <v>112</v>
      </c>
    </row>
    <row r="61" spans="1:2" x14ac:dyDescent="0.25">
      <c r="A61" s="25"/>
      <c r="B61" s="21"/>
    </row>
    <row r="62" spans="1:2" x14ac:dyDescent="0.25">
      <c r="A62" s="25" t="s">
        <v>72</v>
      </c>
      <c r="B62" s="21" t="s">
        <v>113</v>
      </c>
    </row>
    <row r="63" spans="1:2" x14ac:dyDescent="0.25">
      <c r="A63" s="25"/>
      <c r="B63" s="21" t="s">
        <v>78</v>
      </c>
    </row>
    <row r="64" spans="1:2" x14ac:dyDescent="0.25">
      <c r="B64" s="21" t="s">
        <v>114</v>
      </c>
    </row>
    <row r="65" spans="1:6" x14ac:dyDescent="0.25">
      <c r="B65" s="21"/>
    </row>
    <row r="66" spans="1:6" x14ac:dyDescent="0.25">
      <c r="A66" s="25" t="s">
        <v>73</v>
      </c>
      <c r="B66" s="21" t="s">
        <v>79</v>
      </c>
    </row>
    <row r="67" spans="1:6" x14ac:dyDescent="0.25">
      <c r="A67" s="25"/>
      <c r="B67" s="21" t="s">
        <v>80</v>
      </c>
    </row>
    <row r="68" spans="1:6" x14ac:dyDescent="0.25">
      <c r="B68" s="21" t="s">
        <v>115</v>
      </c>
    </row>
    <row r="69" spans="1:6" x14ac:dyDescent="0.25">
      <c r="B69" s="21"/>
    </row>
    <row r="70" spans="1:6" x14ac:dyDescent="0.25">
      <c r="A70" t="s">
        <v>74</v>
      </c>
      <c r="B70" s="21" t="s">
        <v>81</v>
      </c>
    </row>
    <row r="71" spans="1:6" x14ac:dyDescent="0.25">
      <c r="A71" s="25"/>
      <c r="B71" s="21" t="s">
        <v>82</v>
      </c>
    </row>
    <row r="72" spans="1:6" x14ac:dyDescent="0.25">
      <c r="B72" s="21" t="s">
        <v>116</v>
      </c>
    </row>
    <row r="73" spans="1:6" x14ac:dyDescent="0.25">
      <c r="B73" s="21"/>
    </row>
    <row r="74" spans="1:6" x14ac:dyDescent="0.25">
      <c r="A74" t="s">
        <v>77</v>
      </c>
      <c r="B74" s="21" t="s">
        <v>117</v>
      </c>
    </row>
    <row r="75" spans="1:6" x14ac:dyDescent="0.25">
      <c r="B75" s="21" t="s">
        <v>118</v>
      </c>
    </row>
    <row r="76" spans="1:6" x14ac:dyDescent="0.25">
      <c r="B76" s="21"/>
    </row>
    <row r="77" spans="1:6" x14ac:dyDescent="0.25">
      <c r="B77" s="21"/>
    </row>
    <row r="78" spans="1:6" x14ac:dyDescent="0.25">
      <c r="C78" s="31" t="s">
        <v>92</v>
      </c>
      <c r="D78" s="21"/>
    </row>
    <row r="79" spans="1:6" x14ac:dyDescent="0.25">
      <c r="C79" s="27" t="s">
        <v>86</v>
      </c>
      <c r="D79" s="30">
        <v>2016</v>
      </c>
      <c r="E79" s="27">
        <v>2017</v>
      </c>
      <c r="F79" s="27">
        <v>2018</v>
      </c>
    </row>
    <row r="80" spans="1:6" x14ac:dyDescent="0.25">
      <c r="C80" t="s">
        <v>87</v>
      </c>
      <c r="D80" s="29">
        <v>0</v>
      </c>
      <c r="E80" s="29">
        <f>D83</f>
        <v>100</v>
      </c>
      <c r="F80" s="29">
        <f>E83</f>
        <v>210</v>
      </c>
    </row>
    <row r="81" spans="2:44" x14ac:dyDescent="0.25">
      <c r="C81" t="s">
        <v>88</v>
      </c>
      <c r="D81" s="29">
        <v>100</v>
      </c>
      <c r="E81" s="29">
        <v>100</v>
      </c>
      <c r="F81" s="29">
        <v>101</v>
      </c>
    </row>
    <row r="82" spans="2:44" x14ac:dyDescent="0.25">
      <c r="C82" t="s">
        <v>90</v>
      </c>
      <c r="D82" s="29">
        <f>$A$22*D80</f>
        <v>0</v>
      </c>
      <c r="E82" s="29">
        <f>$A$22*E80</f>
        <v>10</v>
      </c>
      <c r="F82" s="29">
        <f>$A$22*F80</f>
        <v>21</v>
      </c>
    </row>
    <row r="83" spans="2:44" x14ac:dyDescent="0.25">
      <c r="C83" t="s">
        <v>89</v>
      </c>
      <c r="D83" s="29">
        <f>D80+D81+D82</f>
        <v>100</v>
      </c>
      <c r="E83" s="29">
        <f>E80+E81+E82</f>
        <v>210</v>
      </c>
      <c r="F83" s="29">
        <f>F80+F81+F82</f>
        <v>332</v>
      </c>
    </row>
    <row r="84" spans="2:44" x14ac:dyDescent="0.25">
      <c r="D84" s="21"/>
    </row>
    <row r="85" spans="2:44" x14ac:dyDescent="0.25">
      <c r="C85" s="31" t="s">
        <v>98</v>
      </c>
      <c r="D85" s="21"/>
    </row>
    <row r="86" spans="2:44" x14ac:dyDescent="0.25">
      <c r="C86" s="32" t="s">
        <v>99</v>
      </c>
      <c r="D86" s="21"/>
      <c r="G86">
        <v>100</v>
      </c>
    </row>
    <row r="87" spans="2:44" x14ac:dyDescent="0.25">
      <c r="C87" s="32" t="s">
        <v>103</v>
      </c>
      <c r="D87" s="21"/>
      <c r="G87">
        <v>20</v>
      </c>
    </row>
    <row r="88" spans="2:44" x14ac:dyDescent="0.25">
      <c r="C88" s="27" t="s">
        <v>86</v>
      </c>
      <c r="D88" s="30">
        <v>2016</v>
      </c>
      <c r="E88" s="27">
        <v>2017</v>
      </c>
      <c r="F88" s="27">
        <v>2018</v>
      </c>
    </row>
    <row r="89" spans="2:44" x14ac:dyDescent="0.25">
      <c r="C89" t="s">
        <v>87</v>
      </c>
      <c r="D89" s="29">
        <f>G86</f>
        <v>100</v>
      </c>
      <c r="E89" s="29">
        <f>D92</f>
        <v>112</v>
      </c>
      <c r="F89" s="29">
        <f>E92</f>
        <v>125.44</v>
      </c>
    </row>
    <row r="90" spans="2:44" x14ac:dyDescent="0.25">
      <c r="C90" t="s">
        <v>100</v>
      </c>
      <c r="D90" s="29">
        <f>D89*$A$53</f>
        <v>12</v>
      </c>
      <c r="E90" s="29">
        <f t="shared" ref="E90:F90" si="0">E89*$A$53</f>
        <v>13.44</v>
      </c>
      <c r="F90" s="29">
        <f t="shared" si="0"/>
        <v>15.0528</v>
      </c>
    </row>
    <row r="91" spans="2:44" x14ac:dyDescent="0.25">
      <c r="C91" t="s">
        <v>101</v>
      </c>
      <c r="D91" s="29">
        <v>0</v>
      </c>
      <c r="E91" s="29">
        <v>0</v>
      </c>
      <c r="F91">
        <f>G87</f>
        <v>20</v>
      </c>
    </row>
    <row r="92" spans="2:44" x14ac:dyDescent="0.25">
      <c r="C92" t="s">
        <v>102</v>
      </c>
      <c r="D92" s="29">
        <f>D89+D90-D91</f>
        <v>112</v>
      </c>
      <c r="E92" s="29">
        <f t="shared" ref="E92:F92" si="1">E89+E90-E91</f>
        <v>125.44</v>
      </c>
      <c r="F92" s="29">
        <f t="shared" si="1"/>
        <v>120.49279999999999</v>
      </c>
    </row>
    <row r="93" spans="2:44" x14ac:dyDescent="0.25">
      <c r="B93" s="21"/>
    </row>
    <row r="95" spans="2:44" x14ac:dyDescent="0.25">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row>
    <row r="96" spans="2:44" x14ac:dyDescent="0.25">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row>
    <row r="97" spans="2:44" x14ac:dyDescent="0.25">
      <c r="B97" s="24"/>
      <c r="C97" s="24"/>
      <c r="D97" s="2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row>
    <row r="98" spans="2:44" x14ac:dyDescent="0.25">
      <c r="B98" s="24"/>
      <c r="C98" s="24"/>
      <c r="D98" s="2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row>
    <row r="99" spans="2:44" x14ac:dyDescent="0.25">
      <c r="B99" s="24"/>
      <c r="C99" s="24"/>
      <c r="D99" s="2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row>
    <row r="100" spans="2:44" x14ac:dyDescent="0.25">
      <c r="B100" s="24"/>
      <c r="C100" s="24"/>
      <c r="D100" s="2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row>
    <row r="101" spans="2:44" x14ac:dyDescent="0.25">
      <c r="B101" s="24"/>
      <c r="C101" s="24"/>
      <c r="D101" s="2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row>
    <row r="102" spans="2:44" x14ac:dyDescent="0.25">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row>
    <row r="103" spans="2:44" x14ac:dyDescent="0.25">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row>
    <row r="104" spans="2:44" x14ac:dyDescent="0.25">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row>
    <row r="105" spans="2:44" x14ac:dyDescent="0.25">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row>
    <row r="106" spans="2:44" x14ac:dyDescent="0.25">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row>
    <row r="107" spans="2:44" x14ac:dyDescent="0.25">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row>
    <row r="108" spans="2:44" x14ac:dyDescent="0.25">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row>
    <row r="109" spans="2:44" x14ac:dyDescent="0.25">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row>
    <row r="110" spans="2:44" x14ac:dyDescent="0.25">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row>
    <row r="111" spans="2:44" x14ac:dyDescent="0.25">
      <c r="D111" s="2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row>
    <row r="112" spans="2:44" x14ac:dyDescent="0.25">
      <c r="D112" s="24"/>
    </row>
    <row r="123" spans="4:44" x14ac:dyDescent="0.25">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row>
    <row r="124" spans="4:44" x14ac:dyDescent="0.25">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row>
    <row r="125" spans="4:44" x14ac:dyDescent="0.25">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row>
    <row r="126" spans="4:44" x14ac:dyDescent="0.25">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row>
    <row r="127" spans="4:44" x14ac:dyDescent="0.25">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row>
    <row r="128" spans="4:44" x14ac:dyDescent="0.25">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row>
    <row r="129" spans="1:44" x14ac:dyDescent="0.25">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row>
    <row r="130" spans="1:44" x14ac:dyDescent="0.25">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row>
    <row r="131" spans="1:44" x14ac:dyDescent="0.25">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row>
    <row r="133" spans="1:44" x14ac:dyDescent="0.25">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row>
    <row r="134" spans="1:44" x14ac:dyDescent="0.25">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row>
    <row r="135" spans="1:44" x14ac:dyDescent="0.25">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row>
    <row r="136" spans="1:44" x14ac:dyDescent="0.25">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row>
    <row r="138" spans="1:44" x14ac:dyDescent="0.25">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row>
    <row r="139" spans="1:44" x14ac:dyDescent="0.25">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row>
    <row r="140" spans="1:44" x14ac:dyDescent="0.25">
      <c r="E140" s="26"/>
    </row>
    <row r="143" spans="1:44" x14ac:dyDescent="0.25">
      <c r="A143" s="27"/>
    </row>
    <row r="151" spans="4:44" x14ac:dyDescent="0.25">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row>
    <row r="152" spans="4:44" x14ac:dyDescent="0.25">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row>
    <row r="153" spans="4:44" x14ac:dyDescent="0.25">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row>
    <row r="154" spans="4:44" x14ac:dyDescent="0.25">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row>
    <row r="155" spans="4:44" x14ac:dyDescent="0.25">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row>
    <row r="156" spans="4:44" x14ac:dyDescent="0.25">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row>
    <row r="157" spans="4:44" x14ac:dyDescent="0.25">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row>
    <row r="158" spans="4:44" x14ac:dyDescent="0.25">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row>
    <row r="159" spans="4:44" x14ac:dyDescent="0.25">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row>
    <row r="161" spans="4:44" x14ac:dyDescent="0.25">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row>
    <row r="162" spans="4:44" x14ac:dyDescent="0.25">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row>
    <row r="163" spans="4:44" x14ac:dyDescent="0.25">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row>
    <row r="164" spans="4:44" x14ac:dyDescent="0.25">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row>
    <row r="166" spans="4:44" x14ac:dyDescent="0.25">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row>
    <row r="167" spans="4:44" x14ac:dyDescent="0.25">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row>
    <row r="168" spans="4:44" x14ac:dyDescent="0.25">
      <c r="E168" s="28"/>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Instructions</vt:lpstr>
      <vt:lpstr>Questions</vt:lpstr>
      <vt:lpstr>Case</vt:lpstr>
      <vt:lpstr>Case bonus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2020-04-12T21:11:43Z</dcterms:modified>
</cp:coreProperties>
</file>