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19A0578E-66D3-4797-ADEE-16FACC1C5A5F}" xr6:coauthVersionLast="45" xr6:coauthVersionMax="45" xr10:uidLastSave="{00000000-0000-0000-0000-000000000000}"/>
  <bookViews>
    <workbookView xWindow="-108" yWindow="-108" windowWidth="23256" windowHeight="12576" tabRatio="855" activeTab="1" xr2:uid="{00000000-000D-0000-FFFF-FFFF00000000}"/>
  </bookViews>
  <sheets>
    <sheet name="Instructions --&gt;" sheetId="2" r:id="rId1"/>
    <sheet name="Questions --&gt;" sheetId="3" r:id="rId2"/>
    <sheet name="Case 1--&gt; (2)" sheetId="10" r:id="rId3"/>
    <sheet name="Case 1--&gt;" sheetId="5" r:id="rId4"/>
    <sheet name="Case - Answers" sheetId="6" r:id="rId5"/>
    <sheet name="Case - Solving&amp;Explanation" sheetId="7" r:id="rId6"/>
    <sheet name="Answers" sheetId="8"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6" i="6" l="1"/>
  <c r="C104" i="7"/>
  <c r="B104" i="7"/>
  <c r="C103" i="7"/>
  <c r="B103" i="7"/>
  <c r="C102" i="7"/>
  <c r="B102" i="7"/>
  <c r="B113" i="7"/>
  <c r="E112" i="7"/>
  <c r="E114" i="7" s="1"/>
  <c r="B110" i="7"/>
  <c r="B114" i="7" s="1"/>
  <c r="K12" i="6"/>
  <c r="B96" i="7"/>
  <c r="F77" i="10"/>
  <c r="S4" i="6"/>
  <c r="S5" i="6"/>
  <c r="K4" i="6"/>
  <c r="B93" i="7"/>
  <c r="H11" i="6"/>
  <c r="B91" i="7"/>
  <c r="B90" i="7"/>
  <c r="H10" i="6"/>
  <c r="O10" i="6" s="1"/>
  <c r="O13" i="6" s="1"/>
  <c r="H8" i="6"/>
  <c r="H6" i="6"/>
  <c r="E86" i="7"/>
  <c r="A85" i="7"/>
  <c r="H5" i="6"/>
  <c r="B83" i="7"/>
  <c r="C8" i="7"/>
  <c r="E9" i="6"/>
  <c r="D63" i="7"/>
  <c r="C63" i="7"/>
  <c r="B63" i="7"/>
  <c r="A63" i="7"/>
  <c r="E7" i="6"/>
  <c r="G55" i="7"/>
  <c r="G54" i="7"/>
  <c r="F55" i="7"/>
  <c r="F54" i="7"/>
  <c r="E54" i="7"/>
  <c r="B55" i="7"/>
  <c r="F53" i="7"/>
  <c r="G53" i="7" s="1"/>
  <c r="F52" i="7"/>
  <c r="G52" i="7" s="1"/>
  <c r="F51" i="7"/>
  <c r="G51" i="7" s="1"/>
  <c r="F50" i="7"/>
  <c r="B41" i="7"/>
  <c r="B37" i="7"/>
  <c r="D104" i="7" l="1"/>
  <c r="D103" i="7"/>
  <c r="D102" i="7"/>
  <c r="G50" i="7"/>
  <c r="D26" i="7" l="1"/>
  <c r="J15" i="7" s="1"/>
  <c r="B28" i="7"/>
  <c r="D28" i="7" s="1"/>
  <c r="B38" i="7" s="1"/>
  <c r="B27" i="7"/>
  <c r="D27" i="7" s="1"/>
  <c r="B39" i="7" s="1"/>
  <c r="D23" i="7"/>
  <c r="B35" i="7" s="1"/>
  <c r="D22" i="7"/>
  <c r="J13" i="7" s="1"/>
  <c r="F19" i="7"/>
  <c r="J14" i="7" s="1"/>
  <c r="D18" i="7"/>
  <c r="D16" i="7"/>
  <c r="D13" i="7"/>
  <c r="E2" i="6"/>
  <c r="J45" i="10"/>
  <c r="K45" i="10"/>
  <c r="C21" i="6"/>
  <c r="D21" i="6"/>
  <c r="E21" i="6" s="1"/>
  <c r="D20" i="6"/>
  <c r="E20" i="6" s="1"/>
  <c r="C20" i="6"/>
  <c r="C19" i="6"/>
  <c r="J16" i="7" l="1"/>
  <c r="E3" i="6" s="1"/>
  <c r="E4" i="6" s="1"/>
  <c r="O32" i="10"/>
  <c r="J19" i="10"/>
  <c r="N32" i="10"/>
  <c r="K32" i="10"/>
  <c r="J32" i="10"/>
  <c r="J4" i="10"/>
  <c r="E18" i="10"/>
  <c r="E12" i="10"/>
  <c r="G22" i="10"/>
  <c r="H7" i="10" l="1"/>
  <c r="L33" i="10"/>
  <c r="L32" i="10"/>
  <c r="B31" i="10"/>
  <c r="C79" i="10"/>
  <c r="G5" i="10"/>
  <c r="G6" i="10"/>
  <c r="G7" i="10" s="1"/>
  <c r="G4" i="10"/>
  <c r="F18" i="10"/>
  <c r="H18" i="10"/>
  <c r="I18" i="10" s="1"/>
  <c r="J18" i="10" s="1"/>
  <c r="F12" i="10"/>
  <c r="F11" i="10"/>
  <c r="G18" i="10"/>
  <c r="D18" i="10"/>
  <c r="C18" i="10"/>
  <c r="E27" i="10"/>
  <c r="E22" i="10"/>
  <c r="E23" i="10"/>
  <c r="E24" i="10"/>
  <c r="E25" i="10"/>
  <c r="E26" i="10"/>
  <c r="E21" i="10"/>
  <c r="D26" i="10"/>
  <c r="D25" i="10"/>
  <c r="D24" i="10"/>
  <c r="D23" i="10"/>
  <c r="D22" i="10"/>
  <c r="D21" i="10"/>
  <c r="O12" i="6"/>
  <c r="O11" i="6"/>
  <c r="O16" i="6"/>
  <c r="K18" i="10" l="1"/>
  <c r="O5" i="6" l="1"/>
  <c r="K11" i="6"/>
  <c r="K7" i="6"/>
  <c r="F14" i="10" l="1"/>
  <c r="G17" i="10" l="1"/>
  <c r="G16" i="10"/>
  <c r="G15" i="10"/>
  <c r="G14" i="10"/>
  <c r="G13" i="10"/>
  <c r="G12" i="10"/>
  <c r="F17" i="10"/>
  <c r="F16" i="10"/>
  <c r="F15" i="10"/>
  <c r="F13" i="10"/>
  <c r="H54" i="10"/>
  <c r="H53" i="10"/>
  <c r="H52" i="10"/>
  <c r="H51" i="10"/>
  <c r="H50" i="10"/>
  <c r="G50" i="10"/>
  <c r="J54" i="10"/>
  <c r="N53" i="10"/>
  <c r="O53" i="10" s="1"/>
  <c r="N52" i="10"/>
  <c r="O52" i="10" s="1"/>
  <c r="O51" i="10"/>
  <c r="N51" i="10"/>
  <c r="N50" i="10"/>
  <c r="N54" i="10" s="1"/>
  <c r="H4" i="6"/>
  <c r="I45" i="10"/>
  <c r="G54" i="10"/>
  <c r="G53" i="10"/>
  <c r="G51" i="10"/>
  <c r="G52" i="10"/>
  <c r="O50" i="10" l="1"/>
  <c r="O54" i="10" s="1"/>
  <c r="P32" i="10" l="1"/>
  <c r="D55" i="3"/>
  <c r="M32" i="10"/>
  <c r="C24" i="3"/>
  <c r="E29" i="3"/>
  <c r="E17" i="10" l="1"/>
  <c r="E15" i="10"/>
  <c r="F7" i="10"/>
  <c r="F6" i="10"/>
  <c r="F5" i="10"/>
  <c r="F4" i="10"/>
  <c r="F78" i="10"/>
  <c r="F79" i="10" s="1"/>
  <c r="C76" i="10"/>
  <c r="C72" i="10"/>
  <c r="F71" i="10"/>
  <c r="F73" i="10" s="1"/>
  <c r="C69" i="10"/>
  <c r="C73" i="10" s="1"/>
  <c r="C54" i="10"/>
  <c r="E7" i="10"/>
  <c r="E6" i="10"/>
  <c r="E5" i="10"/>
  <c r="E4" i="10"/>
  <c r="E7" i="5"/>
  <c r="K6" i="6" l="1"/>
  <c r="K4" i="10"/>
  <c r="E5" i="5"/>
  <c r="E6" i="5"/>
  <c r="E4" i="5"/>
  <c r="K8" i="6" l="1"/>
  <c r="S6" i="6"/>
  <c r="S11" i="6"/>
  <c r="S12" i="6" s="1"/>
  <c r="L21" i="3"/>
  <c r="L20" i="3"/>
  <c r="L19" i="3"/>
  <c r="L18" i="3"/>
  <c r="L17" i="3"/>
  <c r="C154" i="3"/>
  <c r="C155" i="3"/>
  <c r="L16" i="3" l="1"/>
  <c r="C103" i="3"/>
  <c r="E108" i="3"/>
  <c r="E107" i="3"/>
  <c r="E106" i="3"/>
  <c r="D108" i="3"/>
  <c r="D107" i="3"/>
  <c r="D106" i="3"/>
  <c r="C108" i="3"/>
  <c r="C107" i="3"/>
  <c r="C106" i="3"/>
  <c r="L15" i="3"/>
  <c r="C88" i="3"/>
  <c r="D92" i="3"/>
  <c r="L14" i="3" l="1"/>
  <c r="C79" i="3"/>
  <c r="D83" i="3"/>
  <c r="C15" i="3" l="1"/>
  <c r="C63" i="3"/>
  <c r="C60" i="3" s="1"/>
  <c r="L12" i="3" s="1"/>
  <c r="L11" i="3"/>
  <c r="C43" i="3"/>
  <c r="C54" i="3"/>
  <c r="F35" i="3"/>
  <c r="C33" i="3" s="1"/>
  <c r="L10" i="3" s="1"/>
  <c r="C69" i="3" l="1"/>
  <c r="L13" i="3" s="1"/>
  <c r="D36" i="3"/>
  <c r="L9" i="3"/>
  <c r="L8" i="3"/>
  <c r="C6" i="3" l="1"/>
  <c r="L7" i="3"/>
  <c r="E10" i="3"/>
  <c r="A54" i="8" l="1"/>
  <c r="A55" i="8"/>
  <c r="A50" i="8"/>
  <c r="A43" i="8"/>
  <c r="A39" i="8"/>
  <c r="A40" i="8"/>
  <c r="A41" i="8"/>
  <c r="A42" i="8"/>
  <c r="A36" i="8"/>
  <c r="A30" i="8"/>
  <c r="A25" i="8"/>
  <c r="A26" i="8"/>
  <c r="A27" i="8"/>
  <c r="A28" i="8"/>
  <c r="A29" i="8"/>
  <c r="A21" i="8"/>
  <c r="A22" i="8"/>
  <c r="A23" i="8"/>
  <c r="A16" i="8"/>
  <c r="A18" i="8"/>
  <c r="A19" i="8"/>
  <c r="A3" i="8"/>
  <c r="A7" i="8"/>
  <c r="A9" i="8"/>
  <c r="C69" i="5" l="1"/>
  <c r="F77" i="5"/>
  <c r="D6" i="2" l="1"/>
  <c r="F78" i="5" l="1"/>
  <c r="C76" i="5"/>
  <c r="C72" i="5"/>
  <c r="C73" i="5" s="1"/>
  <c r="F71" i="5"/>
  <c r="F73" i="5" s="1"/>
  <c r="C54" i="5"/>
  <c r="C79" i="5" l="1"/>
  <c r="F79" i="5"/>
  <c r="A4" i="8"/>
  <c r="D19" i="6"/>
  <c r="E19" i="6" s="1"/>
  <c r="A37" i="8" s="1"/>
  <c r="D8" i="7"/>
  <c r="A2" i="8"/>
  <c r="A31" i="7" l="1"/>
  <c r="B40" i="7"/>
  <c r="A17" i="8"/>
  <c r="S16" i="6"/>
  <c r="A58" i="8" s="1"/>
  <c r="S9" i="6"/>
  <c r="B36" i="7" l="1"/>
  <c r="B42" i="7" s="1"/>
  <c r="E5" i="6" s="1"/>
  <c r="A52" i="8"/>
  <c r="S10" i="6"/>
  <c r="A53" i="8" s="1"/>
  <c r="A48" i="8"/>
  <c r="H14" i="6"/>
  <c r="A20" i="8"/>
  <c r="A49" i="8"/>
  <c r="A45" i="7" l="1"/>
  <c r="A58" i="7" s="1"/>
  <c r="A66" i="7" s="1"/>
  <c r="A5" i="8"/>
  <c r="E6" i="6"/>
  <c r="A24" i="8"/>
  <c r="S20" i="6"/>
  <c r="A61" i="8" s="1"/>
  <c r="S8" i="6"/>
  <c r="A51" i="8" s="1"/>
  <c r="A72" i="7" l="1"/>
  <c r="A69" i="7"/>
  <c r="E11" i="6" s="1"/>
  <c r="S15" i="6"/>
  <c r="A57" i="8" s="1"/>
  <c r="E8" i="6"/>
  <c r="A6" i="8"/>
  <c r="A75" i="7" l="1"/>
  <c r="E13" i="6" s="1"/>
  <c r="E10" i="6"/>
  <c r="S22" i="6"/>
  <c r="A63" i="8" s="1"/>
  <c r="A8" i="8"/>
  <c r="A78" i="7" l="1"/>
  <c r="A10" i="8"/>
  <c r="A11" i="8" l="1"/>
  <c r="E12" i="6"/>
  <c r="A12" i="8" l="1"/>
  <c r="E14" i="6"/>
  <c r="S18" i="6"/>
  <c r="A60" i="8" s="1"/>
  <c r="S14" i="6"/>
  <c r="A56" i="8" s="1"/>
  <c r="S17" i="6"/>
  <c r="A59" i="8" s="1"/>
  <c r="O4" i="6"/>
  <c r="O7" i="6" l="1"/>
  <c r="A35" i="8"/>
  <c r="A14" i="8"/>
  <c r="A13" i="8"/>
  <c r="O17" i="6"/>
  <c r="O18" i="6" l="1"/>
  <c r="A45" i="8" s="1"/>
  <c r="A44" i="8"/>
  <c r="K13" i="6"/>
  <c r="A31" i="8"/>
  <c r="A38" i="8"/>
  <c r="O20" i="6" l="1"/>
  <c r="A46" i="8" s="1"/>
  <c r="A32" i="8"/>
  <c r="S21" i="6"/>
  <c r="A62" i="8" s="1"/>
  <c r="K14" i="6"/>
  <c r="A33" i="8" l="1"/>
  <c r="J16" i="6"/>
</calcChain>
</file>

<file path=xl/sharedStrings.xml><?xml version="1.0" encoding="utf-8"?>
<sst xmlns="http://schemas.openxmlformats.org/spreadsheetml/2006/main" count="539" uniqueCount="336">
  <si>
    <t>Кінцева оцінка складається з:</t>
  </si>
  <si>
    <t xml:space="preserve">Робота в класі: </t>
  </si>
  <si>
    <t>Питання:</t>
  </si>
  <si>
    <t>Разом</t>
  </si>
  <si>
    <t>Питання</t>
  </si>
  <si>
    <t>Питання 1</t>
  </si>
  <si>
    <t>Рішення</t>
  </si>
  <si>
    <t>Питання 2</t>
  </si>
  <si>
    <t>Питання 3</t>
  </si>
  <si>
    <t>Грошовий потік від операцій становив 117000 грн, компанія закупила обладнання на 80000 грн, при цьому позичила 60000 грн в банку та виплатила дивідендів на суму 30000 грн. Який чистий грошовий потік доступний фірмі?</t>
  </si>
  <si>
    <t>Питання 4</t>
  </si>
  <si>
    <t>Питання 5</t>
  </si>
  <si>
    <t>Питання 6</t>
  </si>
  <si>
    <t>Базуючись на інформації в питанні 5. Який робочий капітал компанії?</t>
  </si>
  <si>
    <t>Питання 7</t>
  </si>
  <si>
    <t>Базуючись на інформації в питанні 5. Які зобов’язання компанії?</t>
  </si>
  <si>
    <t>Питання 8</t>
  </si>
  <si>
    <t>Питання 9</t>
  </si>
  <si>
    <t>На початок року накопичений нерозподілений прибуток компанії становив 1550000. Компанія закінчила рік з чистим прибутком у розмірі 200000 грн. Компанія платить 40% дивідендів. Який розмір накопиченого нерозподіленого прибутку станом на кінець року?</t>
  </si>
  <si>
    <t>Питання 10</t>
  </si>
  <si>
    <t>Питання 11</t>
  </si>
  <si>
    <t xml:space="preserve">Компанія закупила наступне обладнання
                Початкова вартість   Зношення до кінця періоду   Корисний період
Станок        1 100000                             60%                                                   5 років
Станок        2 500000                             90%                                                   3 роки
Станок        3 350000                             50%                                                   2 роки
Яка вартість річних амортизаційних витрат?
</t>
  </si>
  <si>
    <t>Питання 12</t>
  </si>
  <si>
    <t>Чистий прибуток компанії становив 410000 грн на кінець року. Компанія не платила жодних дивідендів. Який нерозподілений прибуток компанії по цьому році?</t>
  </si>
  <si>
    <t>Питання 13</t>
  </si>
  <si>
    <t>Питання 14</t>
  </si>
  <si>
    <t>EBITDA компанії склав 500000 грн. Вартість обладнання компанії становило 1000000 і воно амортизується протягом 10 років до 0. В компанії було довгострокове зобов’язання на суму 1000000 грн терміном на 5 років під 5% річних. Зміни в робочому капіталі компанії становили 250000 грн. Який чистий грошовий потік від операцій компанії?</t>
  </si>
  <si>
    <t>Питання 15</t>
  </si>
  <si>
    <t>Короткострокові зобов’язання компанії становили 1200000 грн. Довгострокових зобов’язань не було, а розмір всього власного капіталу становив 2000000 грн. Який розмір активів компанії?</t>
  </si>
  <si>
    <t>Питання 16</t>
  </si>
  <si>
    <t>Питання 17</t>
  </si>
  <si>
    <t>Користуючись інформацією з питання 17 – яка вартість нефізичних активів компанії, якщо короткострокові активи склали 300000, а вартість всіх активів була 2000000.</t>
  </si>
  <si>
    <t>Чому, на вашу думку, чим довший термін погашення кредиту (або облігації), тим більшим буде процент по ньому?</t>
  </si>
  <si>
    <t>Протягом модуля, що вам далося найлегше, а що, найтяжче?</t>
  </si>
  <si>
    <t>Liquidity ratios</t>
  </si>
  <si>
    <t>Current Ratio</t>
  </si>
  <si>
    <t>Quick Ratio</t>
  </si>
  <si>
    <t>Cash Ratio</t>
  </si>
  <si>
    <t>Activity ratios</t>
  </si>
  <si>
    <t>Total assets turnover</t>
  </si>
  <si>
    <t>Receivables Turnover</t>
  </si>
  <si>
    <t>Average collection period</t>
  </si>
  <si>
    <t>Inventory Turnover</t>
  </si>
  <si>
    <t>Days in inventory</t>
  </si>
  <si>
    <t>Profitability ratios</t>
  </si>
  <si>
    <t>Net profit margin</t>
  </si>
  <si>
    <t>EBITDA margin</t>
  </si>
  <si>
    <t>Gross profit margin</t>
  </si>
  <si>
    <t>ROA</t>
  </si>
  <si>
    <t>ROE</t>
  </si>
  <si>
    <t>Leverage ratios</t>
  </si>
  <si>
    <t>Debt ratio</t>
  </si>
  <si>
    <t>Debt-to-equity ratio</t>
  </si>
  <si>
    <t>Назва</t>
  </si>
  <si>
    <t>К-ть проданих</t>
  </si>
  <si>
    <t>Ціна за штуку</t>
  </si>
  <si>
    <t>Стінка "Гуцулка"</t>
  </si>
  <si>
    <t>Кутик "Вечірній Сихів"</t>
  </si>
  <si>
    <t>Кухна "Над Полтвою"</t>
  </si>
  <si>
    <t>Гуцулка</t>
  </si>
  <si>
    <t>Вечірній Сихів</t>
  </si>
  <si>
    <t>Над Полтвою</t>
  </si>
  <si>
    <t>Шпон, м.кв</t>
  </si>
  <si>
    <t>Плита, м. кв</t>
  </si>
  <si>
    <t>Шурупи, шт</t>
  </si>
  <si>
    <t>Тканина, м.кв</t>
  </si>
  <si>
    <t>Фурнітура, шт</t>
  </si>
  <si>
    <t>Замки, шт</t>
  </si>
  <si>
    <t>Шпон, за м.кв</t>
  </si>
  <si>
    <t>Плита, за м. кв</t>
  </si>
  <si>
    <t>Тканина, за м.кв</t>
  </si>
  <si>
    <t>Фурнітура, за шт</t>
  </si>
  <si>
    <t>Замки, за шт</t>
  </si>
  <si>
    <t>Площа</t>
  </si>
  <si>
    <t>Ціна за м.кв</t>
  </si>
  <si>
    <t>Виробниче</t>
  </si>
  <si>
    <t>Офісне</t>
  </si>
  <si>
    <t>Початкова вартість, грн</t>
  </si>
  <si>
    <t>Термін амортизації, років</t>
  </si>
  <si>
    <t>Рік придбання</t>
  </si>
  <si>
    <t>Залишкова вартість</t>
  </si>
  <si>
    <t>Станки</t>
  </si>
  <si>
    <t>Автомобілі</t>
  </si>
  <si>
    <t>Обладнання</t>
  </si>
  <si>
    <t>Механізми</t>
  </si>
  <si>
    <t>Balance Sheet</t>
  </si>
  <si>
    <t>Assets</t>
  </si>
  <si>
    <t>Liabilities</t>
  </si>
  <si>
    <t>Cash</t>
  </si>
  <si>
    <t>Accounts Payable</t>
  </si>
  <si>
    <t>Accounts Receivable</t>
  </si>
  <si>
    <t>Notes</t>
  </si>
  <si>
    <t>Inventory</t>
  </si>
  <si>
    <t>Total Current Liabilities</t>
  </si>
  <si>
    <t>Prepaid Expenses</t>
  </si>
  <si>
    <t>Long-term liabilities</t>
  </si>
  <si>
    <t>Total Current Assets</t>
  </si>
  <si>
    <t>Total Liablities</t>
  </si>
  <si>
    <t>PPE</t>
  </si>
  <si>
    <t>Equity</t>
  </si>
  <si>
    <t>Accumulated Depreciation</t>
  </si>
  <si>
    <t>Shareholders' Equity</t>
  </si>
  <si>
    <t>Intangibles</t>
  </si>
  <si>
    <t>Retained Earnings</t>
  </si>
  <si>
    <t>Total Equity</t>
  </si>
  <si>
    <t>Total Assets</t>
  </si>
  <si>
    <t>Total E+L</t>
  </si>
  <si>
    <t xml:space="preserve">Виробничий відділ надав розрахунок матеріалів необхідних для виготовлення одної штуки продукції. </t>
  </si>
  <si>
    <t xml:space="preserve">Весь персонал компанії становив 20 працівників, включаючи директора. 10 працівників було задіяно на виробництві, з середнім укладом 5000 грн. </t>
  </si>
  <si>
    <t>Ніяких змін в передоплачених витратах та в розмірі нефізичних активів не відбулося.</t>
  </si>
  <si>
    <t>Також, адміністративні витрати становили 5% від валового доходу.</t>
  </si>
  <si>
    <t>Всі покупки відбувались в перший день відповідного року.</t>
  </si>
  <si>
    <t>Компанія орендувала наступні приміщення:</t>
  </si>
  <si>
    <t>Попередні довгострокові борги кошутвали компанії 6% річних.</t>
  </si>
  <si>
    <t>Компанія платила 75% дивідендів щорічно.</t>
  </si>
  <si>
    <t>Компанія заробила 200000 грн в 2016 році. Валові витрати склали 115000 грн а операційні витрати становили 50000 грн. Яка EBITDA компанії?</t>
  </si>
  <si>
    <t xml:space="preserve">Компанія продає шкарпетки. На початку року компанія купила 10000 пар по 10 грн за пару. Шкарпетки продавались по 15 грн за пару. Якщо компанія продала 9000 пар, то яким був її валовий дохід? </t>
  </si>
  <si>
    <t>Ви отримали наступні виписки з бухгалтерії:
Дебіторська заборгованість – 400000 грн
Кредиторська заборгованість – 300000 грн
Короткостроковий кредит - 800000
Готівка – 40000
Облігація терміном на 5 років – 2000000
Вартість складських запасів – 437000
Заборгованість перед працівниками  - 115000
Заплачена абонентська плата на наступний рік на пошті – 15000
Які короткострокові акитви фірми?</t>
  </si>
  <si>
    <t>Компанія перепродує столи. Вільний грошовий потік доступний компанії на кінець року становив 460000 грн. Чистий прибуток компанії був 500000 а амортизація становила 10000. Компанія на початку року закупила 100000 штук столів і всі продала до кінця року, при цьому не докупляючи нових та заплативши повну вартість спочатку. Клієнти розраховувались готівкою відразу. На початку року компанія не мала жодних боргів, проте позичила в лютому 100000 грн для закупівлі торгового обладнання (на всю суму). До кінця року компанія повернула 20000 грн. Які дивіденди отримав власник компанії?</t>
  </si>
  <si>
    <t>На початок року початкова вартість фізичних активів становила 1150000 грн та накопичена амортизація склала 25000 грн. Протягом року компанія докупила обладнання на 65000. Вартість річних амортизаційних витрат склала 15000 грн. Яка чиста вартість фізичних активів компанії на кінець року?</t>
  </si>
  <si>
    <t>Середній уклад адміністративного персоналу становив 7,000 грн, а директор отримував 12,000 грн.</t>
  </si>
  <si>
    <t>Банківські витрати становили 1% від загального доходу. Всі інші операційні витрати склали 1,200,000.</t>
  </si>
  <si>
    <t>Income Statement</t>
  </si>
  <si>
    <t>Cash Flow Statement</t>
  </si>
  <si>
    <t>Revenue</t>
  </si>
  <si>
    <t>COGS</t>
  </si>
  <si>
    <t>Gross Profit</t>
  </si>
  <si>
    <t>EBITDA</t>
  </si>
  <si>
    <t>EBIT</t>
  </si>
  <si>
    <t>Interest</t>
  </si>
  <si>
    <t>EBT</t>
  </si>
  <si>
    <t>Capex</t>
  </si>
  <si>
    <t>Dividends</t>
  </si>
  <si>
    <t>Interest Coverage</t>
  </si>
  <si>
    <t>OpEx</t>
  </si>
  <si>
    <t>Depreciation</t>
  </si>
  <si>
    <t>TAXES</t>
  </si>
  <si>
    <t>NET INCOME</t>
  </si>
  <si>
    <t>DIVIDENDS</t>
  </si>
  <si>
    <t>RETAINED EARNINGS</t>
  </si>
  <si>
    <t>Operations</t>
  </si>
  <si>
    <t>Net Income</t>
  </si>
  <si>
    <t>Change in working capital</t>
  </si>
  <si>
    <t>CF from Operations</t>
  </si>
  <si>
    <t>Investing</t>
  </si>
  <si>
    <t>Proceeds from disposal</t>
  </si>
  <si>
    <t>CF from investing</t>
  </si>
  <si>
    <t>Financing</t>
  </si>
  <si>
    <t>Change in debt</t>
  </si>
  <si>
    <t>CF from financing</t>
  </si>
  <si>
    <t>Free CF</t>
  </si>
  <si>
    <t>Financial Ratios</t>
  </si>
  <si>
    <t>Також, біля кожної дії, внесіть пояснення своєї логіки (одне-два речення).</t>
  </si>
  <si>
    <t>Внесіть розв'язок до кейсу в цій закладці. Відповіді в закладці Case-Answers повинні бути залінковані до розв'язку тут.</t>
  </si>
  <si>
    <t>Кейс 1</t>
  </si>
  <si>
    <t>Кейс 1:</t>
  </si>
  <si>
    <t>Одне питання оцінюється в 1%</t>
  </si>
  <si>
    <t>Потрібно показати розрахунок в відведених полях та внести відповіді в жовті клітинки</t>
  </si>
  <si>
    <t>ОСНОВНІ ЗАВДАННЯ</t>
  </si>
  <si>
    <t>Шурупи, за шт</t>
  </si>
  <si>
    <t xml:space="preserve">Порахуйте фінансові коефіцієнти для цієї компанії. Це питання ми не встигнули розлянути в класі, тому потрібно розібратися самосітйно (презентація 4 - Financial Ratios). </t>
  </si>
  <si>
    <t>Компанія АВС займається виготовленням меблів та продає їх на внутрішньому ринку. Пропозиція продукції компанії у 2018 році виглядала наступним чином:</t>
  </si>
  <si>
    <t xml:space="preserve">У 2019 році компанія підняла всі ціни на 20%. Продажі у 2019 році становили: Гуцулка – 3,200, Вечірній Сихів – 1,800, Над Полтвою – 1,000 (штук). </t>
  </si>
  <si>
    <t>В той же ж час, вартість матеріалів у 2018 році становила:</t>
  </si>
  <si>
    <t xml:space="preserve">Ціни на матеріали не мінялися протягом 2018-2019 років. </t>
  </si>
  <si>
    <t>У 2019 році компанія вирішила потратити на закупівлю матеріалів  на 2% більше від запланованих необхідних витрат на матеріали. У 2019 усі фактичні витрати на матеріали дорівнювали запланованим.</t>
  </si>
  <si>
    <t>На початку 2019 року компанія почала річну маркетингову кампанію для просування свого продукту. ЇЇ вартість становила 15,000,000 грн.</t>
  </si>
  <si>
    <t>В останній день 2019 роцу компанія виплатила 300,000 грн по своїх короткострокових боргах на які процент був 4%.</t>
  </si>
  <si>
    <t>Фізичні активи компанії на кінець 2018 року виглядали так:</t>
  </si>
  <si>
    <t>Проте, всю дебіторську та кредиторську заборгованість яка була на кінець 2018 було погашено погашено протягом 2019 року.</t>
  </si>
  <si>
    <t>Звіт про фінансову позицію за 2018 рік наведений нижче.</t>
  </si>
  <si>
    <t>Також, на початок 2019 році компанія докупила обладнання на суму 500,000 грн. Це обладнання буде продано через 4 роки за 60% від початкової вартості.</t>
  </si>
  <si>
    <t>Проте, 30 червня АВС випустила облігацію терміном погашення 5 років на суму 500,000 під 5% річних та виплатою кожні півроку.</t>
  </si>
  <si>
    <t>Також, компанія оподатковувалася на загальній систетмі за ставкою 19,5%.</t>
  </si>
  <si>
    <t>ВПИШІТЬ ВІДПОВІДІ В ТАБЛИЧКУ В КОЛОНКАХ K:L!!!! ВІДПОВІДЬ ПОВИННА БУТИ КІНЦЕВОЮ ЦИФРОЮ, ДВА ЗНАЧЕННЯ ПІСЛЯ КОМИ (КРІМ ПИТАНЬ 16-17)</t>
  </si>
  <si>
    <t>Change in Shareholders' Equity</t>
  </si>
  <si>
    <t>Станом на кінець 2019 року компанія не оплатила  постачальникам 3% від вартості закуплених матеріалів. Всі матеріали з 2018 року були використані протягом 2019.</t>
  </si>
  <si>
    <t>Також, станом на кінець 2019 року, 0,5% від доходу компанії за цей рік ще поки не було оплачено клієнтами.</t>
  </si>
  <si>
    <t>На кінець 2019 року у менеджерів на руках залишилось 5858864,48 грн готівки.</t>
  </si>
  <si>
    <t>Складіть Income Statement, Balance Sheet та Cash Flow Statement для компанії ABC станом на кінець 2019 року.</t>
  </si>
  <si>
    <t>Оцінюється правильність розрахунків (в жовтих клітинках заокруглено 2 цифр після коми - Case Answers) і пояснень до них (довільна форма в Case Solving&amp;Explanation)</t>
  </si>
  <si>
    <t>COGS (Cost of Goods Sold)</t>
  </si>
  <si>
    <t>Operating Expenses</t>
  </si>
  <si>
    <t>EBITDA - ?</t>
  </si>
  <si>
    <t>Revenue – COGS – OPEX = EBITDA</t>
  </si>
  <si>
    <t>?</t>
  </si>
  <si>
    <t>REVENUE – COGS = GROSS PROFIT</t>
  </si>
  <si>
    <t xml:space="preserve">Revenue </t>
  </si>
  <si>
    <t>15*9000</t>
  </si>
  <si>
    <t>10*9000</t>
  </si>
  <si>
    <t>Equipment bought</t>
  </si>
  <si>
    <t xml:space="preserve">Dividends </t>
  </si>
  <si>
    <t>Notes payable</t>
  </si>
  <si>
    <t>Adm Salary</t>
  </si>
  <si>
    <t>Rent</t>
  </si>
  <si>
    <t>Taxes</t>
  </si>
  <si>
    <t>Валовий прибуток (дохід-витрати) компанії становив 2000000 грн у цьому році. Компанія заплатила адміністративному персоналу заробітну плату на суму 500000 за рік. Оренда приміщення коштувала 15000 грн в місяць. Компанія мала довгостроковий борг на суму 1000000 грн  під 10% річних. Податок становив 40%. Який чистий прибуток компанії?</t>
  </si>
  <si>
    <t>Debt</t>
  </si>
  <si>
    <t xml:space="preserve">NI = 0.6*(GP - AS - Rent - Debt) </t>
  </si>
  <si>
    <t>Passive</t>
  </si>
  <si>
    <t>Active</t>
  </si>
  <si>
    <t>Debit</t>
  </si>
  <si>
    <t>Cred</t>
  </si>
  <si>
    <t>Short term Credit</t>
  </si>
  <si>
    <t>Stock</t>
  </si>
  <si>
    <t>Salary</t>
  </si>
  <si>
    <t>Futue period payment</t>
  </si>
  <si>
    <t>short term actives:</t>
  </si>
  <si>
    <t>short or long term - ??</t>
  </si>
  <si>
    <t>assume short term</t>
  </si>
  <si>
    <t>Obligations</t>
  </si>
  <si>
    <t>Working Capital</t>
  </si>
  <si>
    <t>WC</t>
  </si>
  <si>
    <t>Total:</t>
  </si>
  <si>
    <t>Short term actives - Short term passives</t>
  </si>
  <si>
    <t>якщо свої випустили, то пасив. Купили на 5 років, отже, не корткострокові, а довгострокові</t>
  </si>
  <si>
    <t>Accumulated Retained Earnings</t>
  </si>
  <si>
    <t>Accumulated Retained Earnings - ???</t>
  </si>
  <si>
    <t>Free Cash Flow to the Firm</t>
  </si>
  <si>
    <t>FCF - ?</t>
  </si>
  <si>
    <t>Free Cash Flow to the Firm = Грошові засоби доступні усім акціонерам компанії. В т.ч. можуть бути витрачені на девіденди</t>
  </si>
  <si>
    <t>Показник відображає ту суму нрошей, які заробляє компанія від операційної діяльності</t>
  </si>
  <si>
    <t>Ліквідаційна вартість</t>
  </si>
  <si>
    <t xml:space="preserve">Річні амортизаційні витрати </t>
  </si>
  <si>
    <t>Річна норма амортизації, %</t>
  </si>
  <si>
    <t xml:space="preserve"> </t>
  </si>
  <si>
    <t xml:space="preserve">ЧГП від операційної діяльності компанії = </t>
  </si>
  <si>
    <t>Залишкова вартітсть докупленого облвднання=65000-15000=50000</t>
  </si>
  <si>
    <t>Залишкова вартітсть наявних фізичних активів=1150000-25000=1125000</t>
  </si>
  <si>
    <t>Чиста вартість фізичних активів компанії на кінець року=1125000+50000=1175000 (грн.)</t>
  </si>
  <si>
    <t>Total current assets</t>
  </si>
  <si>
    <t>Total assets</t>
  </si>
  <si>
    <t>Net Value of Non-current assets</t>
  </si>
  <si>
    <t>Intangible Assets</t>
  </si>
  <si>
    <t>Total Assets=Current liabilities+Stakeholders' Equity=1200000+2000000=3200000 грн.</t>
  </si>
  <si>
    <t>3200000 грн.</t>
  </si>
  <si>
    <t>EBITDA-Зміни в РК=500000-250000=250000 грн.</t>
  </si>
  <si>
    <t>250000грн.</t>
  </si>
  <si>
    <t>525000 грн.</t>
  </si>
  <si>
    <t>1175000 грн.</t>
  </si>
  <si>
    <t>410000 грн.</t>
  </si>
  <si>
    <t>Виручка, грн.</t>
  </si>
  <si>
    <t>Виручка, грн.2018 р.</t>
  </si>
  <si>
    <t>Виручка, грн., 2019р.</t>
  </si>
  <si>
    <t>Витрати на одиницю продукції</t>
  </si>
  <si>
    <t>Net Cash Flow</t>
  </si>
  <si>
    <t>Cash Flow</t>
  </si>
  <si>
    <t>Зпвироб персоналу</t>
  </si>
  <si>
    <t xml:space="preserve">ЗП адмін </t>
  </si>
  <si>
    <t>Витрати на оренду</t>
  </si>
  <si>
    <t>Витрати на збут</t>
  </si>
  <si>
    <t>Адм.витрати</t>
  </si>
  <si>
    <t>Банк. Витрати</t>
  </si>
  <si>
    <t>Інші операц. Витрати</t>
  </si>
  <si>
    <t>Щорічні амортизаційні відрахування, грн</t>
  </si>
  <si>
    <t>Накопичений знос, грн.</t>
  </si>
  <si>
    <t>Виплати по облігації піврічні</t>
  </si>
  <si>
    <t>% по довгостроковим зобовязанням</t>
  </si>
  <si>
    <t xml:space="preserve">Накопичений знос, грн.2019 </t>
  </si>
  <si>
    <t>Вартість закуплених матеріалів,2019</t>
  </si>
  <si>
    <t>Клькість матеріалів</t>
  </si>
  <si>
    <t>Вартість матеріалів</t>
  </si>
  <si>
    <t xml:space="preserve">Вартість закуплених  матеріалів </t>
  </si>
  <si>
    <t>Амортизація</t>
  </si>
  <si>
    <t>1) Визначаємо Revenue</t>
  </si>
  <si>
    <t>CHANGE IN WORKING CAPITAL</t>
  </si>
  <si>
    <t>BOY</t>
  </si>
  <si>
    <t>EOY</t>
  </si>
  <si>
    <t>CHANGE</t>
  </si>
  <si>
    <t>Accounts receivable</t>
  </si>
  <si>
    <t>Accounts payable</t>
  </si>
  <si>
    <t>виплати по короткостроковим зобовязанням</t>
  </si>
  <si>
    <t>К-ть проданих,2019 р.</t>
  </si>
  <si>
    <t>Ціна за штуку,2018 р.</t>
  </si>
  <si>
    <t>Виручка, 2019 р., грн.</t>
  </si>
  <si>
    <t>2)Шукаємо COGS як собівартість реалізованої продукції, додаючи вартість матеріалів, заробітну плату виробничого персоналу, витрати на оренду виробничих приміщень</t>
  </si>
  <si>
    <t>Ціна, грн.</t>
  </si>
  <si>
    <t>Кількість меблів, проданих 2019 р., шт.</t>
  </si>
  <si>
    <t>Вартість матеріалів, грн.</t>
  </si>
  <si>
    <t>Витрати на оренду за рік, грн.</t>
  </si>
  <si>
    <t>Тип приміщення</t>
  </si>
  <si>
    <t>Оренда</t>
  </si>
  <si>
    <t>Витрати на оплату праці</t>
  </si>
  <si>
    <t>Вид персоналу</t>
  </si>
  <si>
    <t>Виробничий</t>
  </si>
  <si>
    <t>Адміністративний</t>
  </si>
  <si>
    <t>Директор</t>
  </si>
  <si>
    <t>Чисельність, чол.</t>
  </si>
  <si>
    <t>Місячний оклад</t>
  </si>
  <si>
    <t>Фонд оплати праці за рік</t>
  </si>
  <si>
    <t>Статті витрат</t>
  </si>
  <si>
    <t>Сума, грн.</t>
  </si>
  <si>
    <t>Оренда виробничого приміщення</t>
  </si>
  <si>
    <t>Оплата праці виробничого персоналу</t>
  </si>
  <si>
    <t>3) Визначаємо Gross Profit як різницю між Revenue і COGS</t>
  </si>
  <si>
    <t>4) Визначаємо OPEX як  суму адміністративних витрат, витрат на збут, інших операційних витрат, витрат на оплату праці адміністративного персоналу, директора</t>
  </si>
  <si>
    <t>Оренда офісного приміщення</t>
  </si>
  <si>
    <t>Адміністративні витрати</t>
  </si>
  <si>
    <t>Заробітна плата директора</t>
  </si>
  <si>
    <t>Заробітна плата адміністративного персоналу</t>
  </si>
  <si>
    <t>Банківські витрати</t>
  </si>
  <si>
    <t>Інші операційні витрати</t>
  </si>
  <si>
    <t>OPEX</t>
  </si>
  <si>
    <t>5) Визначаємо EBIDTA</t>
  </si>
  <si>
    <t>Обладнання, 2019 р.</t>
  </si>
  <si>
    <t>7)Визначаємо EBIT</t>
  </si>
  <si>
    <t>8) Визначаємо Interest</t>
  </si>
  <si>
    <t>Виплати по короткостроковим зобов`язанням</t>
  </si>
  <si>
    <t>Виплати по довгостроковим зобов`язанням</t>
  </si>
  <si>
    <t>9) Визначаємо EBT</t>
  </si>
  <si>
    <t>,</t>
  </si>
  <si>
    <t>10) Визначаємо суму податку на прибуток за ставкою 19.5 %</t>
  </si>
  <si>
    <t>11) Визначаємо Net Income</t>
  </si>
  <si>
    <t>12) Визначаємо дивіденди</t>
  </si>
  <si>
    <t>13) Визначаємо нерозподілений прибуток</t>
  </si>
  <si>
    <t>Витрати</t>
  </si>
  <si>
    <t>14) В Balance Sheet переносимо ті статті, за якими не відбулось змін впродовж 2019 р. Згідно з умовою такими статтями є Prepaid Expenses, Intangibles, Shareholders' Equity</t>
  </si>
  <si>
    <t>Accounts Receivable=</t>
  </si>
  <si>
    <t>15) В розділі Assets заповнюємо рядок Accounts Receivable, Inventory</t>
  </si>
  <si>
    <t>У 2019 році компанія вирішила потратити на закупівлю матеріалів  на 2% більше від запланованих необхідних витрат на матеріали. Відповідно Inventory в 2019 р. становлять</t>
  </si>
  <si>
    <t>Але враховуючи залишок за цією статтею, в Balance Sheet заносимо число:</t>
  </si>
  <si>
    <t xml:space="preserve">16) Визначаємо Total Current Assets як суму Cash, Accounts Receivable, Inventory, Prepaid Expences </t>
  </si>
  <si>
    <t>17) PPE становить</t>
  </si>
  <si>
    <t xml:space="preserve">оскільки компанія станом на кінець 2019 року не оплатила  постачальникам 3% від вартості закуплених матеріалів. </t>
  </si>
  <si>
    <t>Notes станом на кінець 2019 р. були компанією погашені.</t>
  </si>
  <si>
    <t>18) Accounts Payable становлять</t>
  </si>
  <si>
    <t>20) Retained Earnings становлять</t>
  </si>
  <si>
    <t>19) Long-term liabilities зросли на 500000 грн , оскільки компанія випустила довгострокову облігацію</t>
  </si>
  <si>
    <t>21)Для  Cash Flow Statement знаходимо зміни в робочому капіталі</t>
  </si>
  <si>
    <t>Assets, 2018</t>
  </si>
  <si>
    <t>Liabilities, 2018</t>
  </si>
  <si>
    <t xml:space="preserve">, </t>
  </si>
  <si>
    <t>22) Далі визначаємо коефіцієнти ліквідності, ділової активності, прибутковості, левереджу</t>
  </si>
  <si>
    <t>Відсотки за кредит або по облігації враховують можливі  ризики інвестора, інфляцію, прибутковість альтернативних способів вкладення капіталу. Чим довготривалішим є кредит (облігація),тим тривалішим  в часі є вплив таких ризиків на позикодавців. Гроші з часом знецініються. На одну і ту ж саму суму можна придбати різну кількість товарів сьогодні і, скажімо, через місяць або рік. Ризик неповернення коштів теж зростає залежно від довгостроковості кредиту (облігації).</t>
  </si>
  <si>
    <t>Рішення: чим довший термін, тим вища процентна ставка, адже підвищується ризик від неповернення кредиту та знецінення позичених грошей через інфляцію</t>
  </si>
  <si>
    <t>Найтяжче: Не зовсім однозначно були сформульовані деякі завдання кейсу; не завжди отримував відповідь на поставлені запитання у Slack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</si>
</sst>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4" formatCode="_(&quot;$&quot;* #,##0.00_);_(&quot;$&quot;* \(#,##0.00\);_(&quot;$&quot;* &quot;-&quot;??_);_(@_)"/>
    <numFmt numFmtId="43" formatCode="_(* #,##0.00_);_(* \(#,##0.00\);_(* &quot;-&quot;??_);_(@_)"/>
    <numFmt numFmtId="164" formatCode="_-* #,##0.00\ _₴_-;\-* #,##0.00\ _₴_-;_-* &quot;-&quot;??\ _₴_-;_-@_-"/>
    <numFmt numFmtId="165" formatCode="_(* #,##0_);_(* \(#,##0\);_(* &quot;-&quot;??_);_(@_)"/>
    <numFmt numFmtId="166" formatCode="_(* #,##0.0_);_(* \(#,##0.0\);_(* &quot;-&quot;?_);_(@_)"/>
    <numFmt numFmtId="167" formatCode="_(* #,##0.000_);_(* \(#,##0.000\);_(* &quot;-&quot;???_);_(@_)"/>
  </numFmts>
  <fonts count="12">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theme="1"/>
      <name val="Calibri"/>
      <family val="2"/>
      <charset val="204"/>
      <scheme val="minor"/>
    </font>
    <font>
      <b/>
      <sz val="11"/>
      <color rgb="FFFF0000"/>
      <name val="Calibri"/>
      <family val="2"/>
      <charset val="204"/>
      <scheme val="minor"/>
    </font>
    <font>
      <sz val="10"/>
      <color rgb="FF0D0D0D"/>
      <name val="Proxima Nova Bl"/>
    </font>
    <font>
      <sz val="9"/>
      <color rgb="FF1D1C1D"/>
      <name val="Arial"/>
      <family val="2"/>
      <charset val="204"/>
    </font>
    <font>
      <sz val="11"/>
      <name val="Calibri"/>
      <family val="2"/>
      <scheme val="minor"/>
    </font>
    <font>
      <sz val="11"/>
      <color theme="1"/>
      <name val="Calibri"/>
      <family val="2"/>
      <charset val="204"/>
      <scheme val="minor"/>
    </font>
    <font>
      <b/>
      <sz val="11"/>
      <name val="Calibri"/>
      <family val="2"/>
      <charset val="204"/>
      <scheme val="minor"/>
    </font>
  </fonts>
  <fills count="7">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bgColor indexed="64"/>
      </patternFill>
    </fill>
  </fills>
  <borders count="31">
    <border>
      <left/>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right/>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42">
    <xf numFmtId="0" fontId="0" fillId="0" borderId="0" xfId="0"/>
    <xf numFmtId="0" fontId="3" fillId="0" borderId="1" xfId="0" applyFont="1" applyBorder="1"/>
    <xf numFmtId="0" fontId="0" fillId="0" borderId="1" xfId="0" applyBorder="1"/>
    <xf numFmtId="0" fontId="3" fillId="0" borderId="0" xfId="0" applyFont="1"/>
    <xf numFmtId="9" fontId="3" fillId="0" borderId="0" xfId="0" applyNumberFormat="1" applyFont="1"/>
    <xf numFmtId="0" fontId="4" fillId="0" borderId="2" xfId="0" applyFont="1" applyBorder="1"/>
    <xf numFmtId="0" fontId="0" fillId="0" borderId="3" xfId="0" applyBorder="1"/>
    <xf numFmtId="0" fontId="0" fillId="0" borderId="4" xfId="0" applyBorder="1"/>
    <xf numFmtId="0" fontId="3" fillId="0" borderId="5" xfId="0" applyFont="1" applyBorder="1"/>
    <xf numFmtId="0" fontId="0" fillId="0" borderId="0" xfId="0" applyBorder="1"/>
    <xf numFmtId="0" fontId="0" fillId="0" borderId="6" xfId="0" applyBorder="1"/>
    <xf numFmtId="0" fontId="0" fillId="0" borderId="8" xfId="0" applyBorder="1"/>
    <xf numFmtId="0" fontId="4" fillId="0" borderId="5" xfId="0" applyFont="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Border="1" applyAlignment="1">
      <alignment horizontal="center"/>
    </xf>
    <xf numFmtId="0" fontId="0" fillId="0" borderId="18" xfId="0" applyBorder="1"/>
    <xf numFmtId="0" fontId="0" fillId="0" borderId="0" xfId="0" applyAlignment="1">
      <alignment vertical="center"/>
    </xf>
    <xf numFmtId="0" fontId="0" fillId="0" borderId="17" xfId="0" applyFill="1" applyBorder="1"/>
    <xf numFmtId="0" fontId="0" fillId="0" borderId="0" xfId="0" applyFill="1" applyBorder="1"/>
    <xf numFmtId="0" fontId="0" fillId="0" borderId="20" xfId="0" applyBorder="1"/>
    <xf numFmtId="0" fontId="0" fillId="0" borderId="19" xfId="0" applyBorder="1"/>
    <xf numFmtId="0" fontId="0" fillId="0" borderId="17" xfId="0" applyBorder="1"/>
    <xf numFmtId="0" fontId="0" fillId="0" borderId="22" xfId="0" applyBorder="1"/>
    <xf numFmtId="0" fontId="0" fillId="0" borderId="21" xfId="0" applyBorder="1"/>
    <xf numFmtId="0" fontId="0" fillId="0" borderId="23" xfId="0" applyBorder="1"/>
    <xf numFmtId="165" fontId="0" fillId="0" borderId="17" xfId="1" applyNumberFormat="1" applyFont="1" applyBorder="1"/>
    <xf numFmtId="0" fontId="0" fillId="0" borderId="24" xfId="0" applyBorder="1"/>
    <xf numFmtId="165" fontId="0" fillId="0" borderId="19" xfId="1" applyNumberFormat="1" applyFont="1" applyBorder="1"/>
    <xf numFmtId="0" fontId="0" fillId="0" borderId="25" xfId="0" applyBorder="1"/>
    <xf numFmtId="165" fontId="0" fillId="0" borderId="21" xfId="1" applyNumberFormat="1" applyFont="1" applyBorder="1"/>
    <xf numFmtId="0" fontId="0" fillId="0" borderId="26" xfId="0" applyBorder="1"/>
    <xf numFmtId="0" fontId="0" fillId="0" borderId="27" xfId="0" applyBorder="1"/>
    <xf numFmtId="0" fontId="0" fillId="0" borderId="28" xfId="0" applyBorder="1"/>
    <xf numFmtId="165" fontId="0" fillId="0" borderId="27" xfId="1" applyNumberFormat="1" applyFont="1" applyBorder="1"/>
    <xf numFmtId="0" fontId="4" fillId="0" borderId="22" xfId="0" applyFont="1" applyBorder="1"/>
    <xf numFmtId="0" fontId="4" fillId="0" borderId="23" xfId="0" applyFont="1" applyBorder="1"/>
    <xf numFmtId="0" fontId="2" fillId="0" borderId="7" xfId="0" applyFont="1" applyBorder="1"/>
    <xf numFmtId="0" fontId="2" fillId="0" borderId="8" xfId="0" applyFont="1" applyBorder="1"/>
    <xf numFmtId="0" fontId="2" fillId="0" borderId="9" xfId="0" applyFont="1" applyBorder="1"/>
    <xf numFmtId="0" fontId="2" fillId="0" borderId="5" xfId="0" applyFont="1" applyBorder="1"/>
    <xf numFmtId="0" fontId="2" fillId="0" borderId="0" xfId="0" applyFont="1" applyBorder="1"/>
    <xf numFmtId="0" fontId="2" fillId="0" borderId="6" xfId="0" applyFont="1" applyBorder="1"/>
    <xf numFmtId="0" fontId="2" fillId="0" borderId="10" xfId="0" applyFont="1" applyBorder="1"/>
    <xf numFmtId="0" fontId="2" fillId="0" borderId="11" xfId="0" applyFont="1" applyBorder="1"/>
    <xf numFmtId="0" fontId="2" fillId="0" borderId="12" xfId="0" applyFont="1" applyBorder="1"/>
    <xf numFmtId="0" fontId="2" fillId="0" borderId="0" xfId="0" applyFont="1"/>
    <xf numFmtId="165" fontId="0" fillId="0" borderId="0" xfId="1" applyNumberFormat="1" applyFont="1" applyBorder="1" applyAlignment="1">
      <alignment horizontal="center"/>
    </xf>
    <xf numFmtId="165" fontId="0" fillId="0" borderId="17" xfId="1" applyNumberFormat="1" applyFont="1" applyBorder="1" applyAlignment="1">
      <alignment horizontal="center"/>
    </xf>
    <xf numFmtId="165" fontId="0" fillId="0" borderId="1" xfId="1" applyNumberFormat="1" applyFont="1" applyBorder="1" applyAlignment="1">
      <alignment horizontal="center"/>
    </xf>
    <xf numFmtId="165" fontId="0" fillId="0" borderId="19" xfId="1" applyNumberFormat="1" applyFont="1" applyBorder="1" applyAlignment="1">
      <alignment horizontal="center"/>
    </xf>
    <xf numFmtId="0" fontId="0" fillId="0" borderId="14" xfId="0" applyBorder="1" applyAlignment="1">
      <alignment horizontal="right"/>
    </xf>
    <xf numFmtId="0" fontId="0" fillId="0" borderId="15" xfId="0" applyBorder="1" applyAlignment="1">
      <alignment horizontal="right"/>
    </xf>
    <xf numFmtId="0" fontId="0" fillId="0" borderId="13" xfId="0" applyBorder="1" applyAlignment="1">
      <alignment horizontal="center" vertical="center" wrapText="1"/>
    </xf>
    <xf numFmtId="165" fontId="0" fillId="0" borderId="20" xfId="1" applyNumberFormat="1" applyFont="1" applyBorder="1" applyAlignment="1">
      <alignment horizontal="center"/>
    </xf>
    <xf numFmtId="165" fontId="0" fillId="0" borderId="16" xfId="1" applyNumberFormat="1" applyFont="1" applyBorder="1" applyAlignment="1">
      <alignment horizontal="center"/>
    </xf>
    <xf numFmtId="165" fontId="0" fillId="0" borderId="18" xfId="1" applyNumberFormat="1" applyFont="1" applyBorder="1" applyAlignment="1">
      <alignment horizontal="center"/>
    </xf>
    <xf numFmtId="165" fontId="0" fillId="0" borderId="18" xfId="1" applyNumberFormat="1" applyFont="1" applyBorder="1"/>
    <xf numFmtId="0" fontId="0" fillId="0" borderId="13" xfId="0" applyBorder="1" applyAlignment="1">
      <alignment horizontal="right"/>
    </xf>
    <xf numFmtId="0" fontId="4" fillId="0" borderId="0" xfId="0" applyFont="1"/>
    <xf numFmtId="0" fontId="3" fillId="0" borderId="25" xfId="0" applyFont="1" applyBorder="1"/>
    <xf numFmtId="0" fontId="3" fillId="0" borderId="24" xfId="0" applyFont="1" applyBorder="1"/>
    <xf numFmtId="9" fontId="3" fillId="0" borderId="19" xfId="0" applyNumberFormat="1" applyFont="1" applyBorder="1"/>
    <xf numFmtId="0" fontId="0" fillId="2" borderId="0" xfId="0" applyFill="1" applyBorder="1"/>
    <xf numFmtId="43" fontId="0" fillId="2" borderId="17" xfId="1" applyFont="1" applyFill="1" applyBorder="1"/>
    <xf numFmtId="43" fontId="0" fillId="2" borderId="19" xfId="1" applyFont="1" applyFill="1" applyBorder="1"/>
    <xf numFmtId="0" fontId="5" fillId="0" borderId="23" xfId="0" applyFont="1" applyBorder="1"/>
    <xf numFmtId="0" fontId="5" fillId="0" borderId="0" xfId="0" applyFont="1" applyBorder="1"/>
    <xf numFmtId="9" fontId="6" fillId="0" borderId="17" xfId="0" applyNumberFormat="1" applyFont="1" applyBorder="1"/>
    <xf numFmtId="0" fontId="5" fillId="0" borderId="24" xfId="0" applyFont="1" applyBorder="1"/>
    <xf numFmtId="0" fontId="5" fillId="0" borderId="1" xfId="0" applyFont="1" applyBorder="1"/>
    <xf numFmtId="9" fontId="6" fillId="0" borderId="19" xfId="0" applyNumberFormat="1" applyFont="1" applyBorder="1"/>
    <xf numFmtId="0" fontId="6" fillId="0" borderId="25" xfId="0" applyFont="1" applyBorder="1"/>
    <xf numFmtId="0" fontId="6" fillId="0" borderId="0" xfId="0" applyFont="1"/>
    <xf numFmtId="165" fontId="0" fillId="0" borderId="0" xfId="1" applyNumberFormat="1" applyFont="1" applyFill="1" applyBorder="1" applyAlignment="1">
      <alignment horizontal="center"/>
    </xf>
    <xf numFmtId="165" fontId="0" fillId="0" borderId="0" xfId="0" applyNumberFormat="1"/>
    <xf numFmtId="43" fontId="0" fillId="2" borderId="21" xfId="1" applyFont="1" applyFill="1" applyBorder="1"/>
    <xf numFmtId="43" fontId="0" fillId="2" borderId="27" xfId="1" applyFont="1" applyFill="1" applyBorder="1"/>
    <xf numFmtId="43" fontId="0" fillId="0" borderId="17" xfId="1" applyFont="1" applyBorder="1"/>
    <xf numFmtId="43" fontId="0" fillId="0" borderId="27" xfId="1" applyFont="1" applyBorder="1"/>
    <xf numFmtId="43" fontId="3" fillId="2" borderId="19" xfId="1" applyFont="1" applyFill="1" applyBorder="1"/>
    <xf numFmtId="0" fontId="5" fillId="0" borderId="0" xfId="0" applyFont="1"/>
    <xf numFmtId="164" fontId="0" fillId="0" borderId="0" xfId="0" applyNumberFormat="1"/>
    <xf numFmtId="2" fontId="0" fillId="0" borderId="0" xfId="0" applyNumberFormat="1"/>
    <xf numFmtId="43" fontId="2" fillId="0" borderId="8" xfId="1" applyFont="1" applyBorder="1"/>
    <xf numFmtId="43" fontId="2" fillId="0" borderId="0" xfId="1" applyFont="1" applyBorder="1"/>
    <xf numFmtId="43" fontId="2" fillId="0" borderId="11" xfId="1" applyFont="1" applyBorder="1"/>
    <xf numFmtId="0" fontId="7" fillId="0" borderId="0" xfId="0" applyFont="1" applyAlignment="1">
      <alignment horizontal="left" vertical="center" readingOrder="1"/>
    </xf>
    <xf numFmtId="43" fontId="2" fillId="0" borderId="8" xfId="0" applyNumberFormat="1" applyFont="1" applyBorder="1"/>
    <xf numFmtId="43" fontId="0" fillId="2" borderId="21" xfId="0" applyNumberFormat="1" applyFill="1" applyBorder="1"/>
    <xf numFmtId="43" fontId="0" fillId="2" borderId="0" xfId="0" applyNumberFormat="1" applyFill="1" applyBorder="1"/>
    <xf numFmtId="9" fontId="2" fillId="0" borderId="11" xfId="0" applyNumberFormat="1" applyFont="1" applyBorder="1"/>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wrapText="1"/>
    </xf>
    <xf numFmtId="9" fontId="2" fillId="0" borderId="0" xfId="1" applyNumberFormat="1" applyFont="1" applyBorder="1"/>
    <xf numFmtId="43" fontId="2" fillId="0" borderId="0" xfId="0" applyNumberFormat="1" applyFont="1" applyBorder="1"/>
    <xf numFmtId="43" fontId="0" fillId="0" borderId="0" xfId="0" applyNumberFormat="1"/>
    <xf numFmtId="0" fontId="2" fillId="0" borderId="8" xfId="0" applyFont="1" applyBorder="1" applyAlignment="1">
      <alignment horizontal="left"/>
    </xf>
    <xf numFmtId="0" fontId="2" fillId="0" borderId="0" xfId="0" applyFont="1" applyBorder="1" applyAlignment="1">
      <alignment horizontal="left"/>
    </xf>
    <xf numFmtId="0" fontId="2" fillId="0" borderId="11" xfId="0" applyFont="1" applyBorder="1" applyAlignment="1">
      <alignment horizontal="left"/>
    </xf>
    <xf numFmtId="43" fontId="2" fillId="0" borderId="0" xfId="1" applyFont="1" applyBorder="1" applyAlignment="1">
      <alignment horizontal="left"/>
    </xf>
    <xf numFmtId="0" fontId="2" fillId="0" borderId="8" xfId="0" applyFont="1" applyBorder="1" applyAlignment="1">
      <alignment horizontal="center"/>
    </xf>
    <xf numFmtId="44" fontId="0" fillId="2" borderId="0" xfId="0" applyNumberFormat="1" applyFill="1" applyBorder="1"/>
    <xf numFmtId="44" fontId="2" fillId="0" borderId="8" xfId="0" applyNumberFormat="1" applyFont="1" applyBorder="1"/>
    <xf numFmtId="44" fontId="2" fillId="0" borderId="0" xfId="0" applyNumberFormat="1" applyFont="1" applyBorder="1"/>
    <xf numFmtId="9" fontId="2" fillId="0" borderId="0" xfId="0" applyNumberFormat="1" applyFont="1" applyBorder="1"/>
    <xf numFmtId="44" fontId="2" fillId="0" borderId="11" xfId="0" applyNumberFormat="1" applyFont="1" applyBorder="1"/>
    <xf numFmtId="0" fontId="2" fillId="0" borderId="13" xfId="0" applyFont="1" applyBorder="1"/>
    <xf numFmtId="44" fontId="2" fillId="0" borderId="13" xfId="0" applyNumberFormat="1" applyFont="1" applyBorder="1"/>
    <xf numFmtId="44" fontId="2" fillId="0" borderId="13" xfId="0" applyNumberFormat="1" applyFont="1" applyBorder="1" applyAlignment="1">
      <alignment wrapText="1"/>
    </xf>
    <xf numFmtId="44" fontId="2" fillId="0" borderId="13" xfId="0" applyNumberFormat="1" applyFont="1" applyBorder="1" applyAlignment="1">
      <alignment horizontal="center" wrapText="1"/>
    </xf>
    <xf numFmtId="0" fontId="2" fillId="0" borderId="13" xfId="0" applyFont="1" applyBorder="1" applyAlignment="1">
      <alignment wrapText="1"/>
    </xf>
    <xf numFmtId="2" fontId="2" fillId="0" borderId="13" xfId="0" applyNumberFormat="1" applyFont="1" applyBorder="1"/>
    <xf numFmtId="0" fontId="2" fillId="0" borderId="7" xfId="0" applyFont="1" applyBorder="1" applyAlignment="1">
      <alignment wrapText="1"/>
    </xf>
    <xf numFmtId="0" fontId="2" fillId="0" borderId="5" xfId="0" applyFont="1" applyBorder="1" applyAlignment="1">
      <alignment wrapText="1"/>
    </xf>
    <xf numFmtId="0" fontId="2" fillId="0" borderId="8" xfId="0" applyFont="1" applyBorder="1" applyAlignment="1"/>
    <xf numFmtId="0" fontId="2" fillId="0" borderId="9" xfId="0" applyFont="1" applyBorder="1" applyAlignment="1"/>
    <xf numFmtId="0" fontId="0" fillId="0" borderId="25" xfId="0" applyBorder="1" applyAlignment="1">
      <alignment horizontal="right"/>
    </xf>
    <xf numFmtId="165" fontId="0" fillId="0" borderId="23" xfId="1" applyNumberFormat="1" applyFont="1" applyBorder="1" applyAlignment="1">
      <alignment horizontal="center"/>
    </xf>
    <xf numFmtId="165" fontId="0" fillId="0" borderId="24" xfId="1" applyNumberFormat="1" applyFont="1" applyBorder="1" applyAlignment="1">
      <alignment horizontal="center"/>
    </xf>
    <xf numFmtId="0" fontId="0" fillId="2" borderId="13" xfId="0" applyFill="1" applyBorder="1"/>
    <xf numFmtId="0" fontId="0" fillId="3" borderId="13" xfId="0" applyFill="1" applyBorder="1" applyAlignment="1">
      <alignment wrapText="1"/>
    </xf>
    <xf numFmtId="166" fontId="0" fillId="3" borderId="13" xfId="0" applyNumberFormat="1" applyFill="1" applyBorder="1"/>
    <xf numFmtId="165" fontId="0" fillId="0" borderId="0" xfId="0" applyNumberFormat="1" applyBorder="1" applyAlignment="1">
      <alignment horizontal="center"/>
    </xf>
    <xf numFmtId="0" fontId="0" fillId="0" borderId="8" xfId="0" applyBorder="1" applyAlignment="1">
      <alignment wrapText="1"/>
    </xf>
    <xf numFmtId="165" fontId="0" fillId="3" borderId="0" xfId="0" applyNumberFormat="1" applyFill="1"/>
    <xf numFmtId="0" fontId="0" fillId="0" borderId="0" xfId="0" applyAlignment="1">
      <alignment wrapText="1"/>
    </xf>
    <xf numFmtId="0" fontId="8" fillId="0" borderId="0" xfId="0" applyFont="1"/>
    <xf numFmtId="0" fontId="0" fillId="0" borderId="16" xfId="0" applyFill="1" applyBorder="1" applyAlignment="1">
      <alignment horizontal="center" vertical="center" wrapText="1"/>
    </xf>
    <xf numFmtId="0" fontId="0" fillId="4" borderId="16" xfId="0" applyFill="1" applyBorder="1" applyAlignment="1">
      <alignment horizontal="center" vertical="center" wrapText="1"/>
    </xf>
    <xf numFmtId="165" fontId="0" fillId="4" borderId="0" xfId="0" applyNumberFormat="1" applyFill="1"/>
    <xf numFmtId="0" fontId="0" fillId="4" borderId="0" xfId="0" applyFill="1" applyBorder="1"/>
    <xf numFmtId="0" fontId="0" fillId="4" borderId="0" xfId="0" applyFill="1"/>
    <xf numFmtId="0" fontId="0" fillId="4" borderId="0" xfId="0" applyFill="1" applyAlignment="1">
      <alignment wrapText="1"/>
    </xf>
    <xf numFmtId="0" fontId="0" fillId="4" borderId="0" xfId="0" applyFill="1" applyAlignment="1">
      <alignment horizontal="center" wrapText="1"/>
    </xf>
    <xf numFmtId="43" fontId="0" fillId="4" borderId="0" xfId="0" applyNumberFormat="1" applyFill="1"/>
    <xf numFmtId="0" fontId="0" fillId="4" borderId="23" xfId="0" applyFill="1" applyBorder="1" applyAlignment="1">
      <alignment horizontal="center" vertical="center" wrapText="1"/>
    </xf>
    <xf numFmtId="0" fontId="0" fillId="0" borderId="13" xfId="0" applyFill="1" applyBorder="1" applyAlignment="1">
      <alignment horizontal="center" vertical="center" wrapText="1"/>
    </xf>
    <xf numFmtId="165" fontId="0" fillId="0" borderId="13" xfId="0" applyNumberFormat="1" applyBorder="1"/>
    <xf numFmtId="165" fontId="0" fillId="5" borderId="13" xfId="0" applyNumberFormat="1" applyFill="1" applyBorder="1"/>
    <xf numFmtId="165" fontId="0" fillId="0" borderId="17" xfId="0" applyNumberFormat="1" applyFill="1" applyBorder="1" applyAlignment="1">
      <alignment horizontal="right" wrapText="1"/>
    </xf>
    <xf numFmtId="44" fontId="0" fillId="0" borderId="13" xfId="0" applyNumberFormat="1" applyBorder="1"/>
    <xf numFmtId="43" fontId="0" fillId="0" borderId="13" xfId="0" applyNumberFormat="1" applyBorder="1"/>
    <xf numFmtId="44" fontId="0" fillId="0" borderId="0" xfId="0" applyNumberFormat="1"/>
    <xf numFmtId="39" fontId="0" fillId="0" borderId="0" xfId="0" applyNumberFormat="1"/>
    <xf numFmtId="0" fontId="0" fillId="0" borderId="13" xfId="0" applyBorder="1" applyAlignment="1">
      <alignment wrapText="1"/>
    </xf>
    <xf numFmtId="165" fontId="0" fillId="0" borderId="13" xfId="1" applyNumberFormat="1" applyFont="1" applyBorder="1"/>
    <xf numFmtId="167" fontId="0" fillId="0" borderId="13" xfId="0" applyNumberFormat="1" applyBorder="1"/>
    <xf numFmtId="0" fontId="3" fillId="0" borderId="13" xfId="0" applyFont="1" applyBorder="1" applyAlignment="1">
      <alignment horizontal="center"/>
    </xf>
    <xf numFmtId="0" fontId="3" fillId="0" borderId="15" xfId="0" applyFont="1" applyBorder="1" applyAlignment="1">
      <alignment horizontal="center"/>
    </xf>
    <xf numFmtId="0" fontId="3" fillId="0" borderId="13" xfId="0" applyFont="1" applyBorder="1" applyAlignment="1">
      <alignment wrapText="1"/>
    </xf>
    <xf numFmtId="165" fontId="0" fillId="0" borderId="13" xfId="1" applyNumberFormat="1" applyFont="1" applyBorder="1" applyAlignment="1">
      <alignment horizontal="center"/>
    </xf>
    <xf numFmtId="0" fontId="3" fillId="0" borderId="13" xfId="0" applyFont="1" applyBorder="1"/>
    <xf numFmtId="0" fontId="0" fillId="6" borderId="0" xfId="0" applyFill="1" applyBorder="1" applyAlignment="1">
      <alignment wrapText="1"/>
    </xf>
    <xf numFmtId="166" fontId="0" fillId="6" borderId="0" xfId="0" applyNumberFormat="1" applyFill="1" applyBorder="1"/>
    <xf numFmtId="0" fontId="0" fillId="6" borderId="0" xfId="0" applyFill="1" applyBorder="1"/>
    <xf numFmtId="0" fontId="0" fillId="0" borderId="13" xfId="0" applyBorder="1" applyAlignment="1">
      <alignment horizontal="right" wrapText="1"/>
    </xf>
    <xf numFmtId="0" fontId="0" fillId="0" borderId="13" xfId="0" applyFill="1" applyBorder="1" applyAlignment="1">
      <alignment wrapText="1"/>
    </xf>
    <xf numFmtId="0" fontId="0" fillId="0" borderId="13" xfId="0" applyBorder="1" applyAlignment="1">
      <alignment horizontal="center" wrapText="1"/>
    </xf>
    <xf numFmtId="0" fontId="0" fillId="0" borderId="13" xfId="0" applyBorder="1" applyAlignment="1">
      <alignment horizontal="center"/>
    </xf>
    <xf numFmtId="41" fontId="0" fillId="0" borderId="13" xfId="1" applyNumberFormat="1" applyFont="1" applyBorder="1" applyAlignment="1">
      <alignment horizontal="center" wrapText="1"/>
    </xf>
    <xf numFmtId="44" fontId="0" fillId="2" borderId="13" xfId="0" applyNumberFormat="1" applyFill="1" applyBorder="1"/>
    <xf numFmtId="44" fontId="0" fillId="0" borderId="13" xfId="0" applyNumberFormat="1" applyBorder="1" applyAlignment="1">
      <alignment horizontal="center"/>
    </xf>
    <xf numFmtId="44" fontId="0" fillId="0" borderId="13" xfId="0" applyNumberFormat="1" applyBorder="1" applyAlignment="1">
      <alignment wrapText="1"/>
    </xf>
    <xf numFmtId="44" fontId="0" fillId="2" borderId="13" xfId="0" applyNumberFormat="1" applyFill="1" applyBorder="1" applyAlignment="1">
      <alignment horizontal="center"/>
    </xf>
    <xf numFmtId="44" fontId="0" fillId="2" borderId="13" xfId="0" applyNumberFormat="1" applyFill="1" applyBorder="1" applyAlignment="1">
      <alignment wrapText="1"/>
    </xf>
    <xf numFmtId="0" fontId="0" fillId="0" borderId="13" xfId="0" applyBorder="1" applyAlignment="1">
      <alignment horizontal="justify" vertical="top" wrapText="1"/>
    </xf>
    <xf numFmtId="44" fontId="0" fillId="0" borderId="13" xfId="0" applyNumberFormat="1" applyBorder="1" applyAlignment="1">
      <alignment horizontal="justify" vertical="top"/>
    </xf>
    <xf numFmtId="0" fontId="0" fillId="0" borderId="13" xfId="0" applyBorder="1" applyAlignment="1">
      <alignment horizontal="justify" vertical="top"/>
    </xf>
    <xf numFmtId="0" fontId="0" fillId="2" borderId="13" xfId="0" applyFill="1" applyBorder="1" applyAlignment="1">
      <alignment horizontal="justify" vertical="top"/>
    </xf>
    <xf numFmtId="44" fontId="0" fillId="2" borderId="13" xfId="0" applyNumberFormat="1" applyFill="1" applyBorder="1" applyAlignment="1">
      <alignment horizontal="justify" vertical="top"/>
    </xf>
    <xf numFmtId="0" fontId="0" fillId="6" borderId="13" xfId="0" applyFill="1" applyBorder="1"/>
    <xf numFmtId="0" fontId="0" fillId="0" borderId="0" xfId="0" applyBorder="1" applyAlignment="1">
      <alignment horizontal="justify" vertical="top"/>
    </xf>
    <xf numFmtId="43" fontId="9" fillId="2" borderId="0" xfId="0" applyNumberFormat="1" applyFont="1" applyFill="1"/>
    <xf numFmtId="43" fontId="0" fillId="0" borderId="13" xfId="0" applyNumberFormat="1" applyBorder="1" applyAlignment="1">
      <alignment horizontal="justify" vertical="top"/>
    </xf>
    <xf numFmtId="43" fontId="0" fillId="0" borderId="13" xfId="0" applyNumberFormat="1" applyBorder="1" applyAlignment="1"/>
    <xf numFmtId="0" fontId="10" fillId="0" borderId="13" xfId="0" applyFont="1" applyBorder="1"/>
    <xf numFmtId="0" fontId="5" fillId="2" borderId="13" xfId="0" applyFont="1" applyFill="1" applyBorder="1"/>
    <xf numFmtId="43" fontId="5" fillId="2" borderId="13" xfId="0" applyNumberFormat="1" applyFont="1" applyFill="1" applyBorder="1"/>
    <xf numFmtId="165" fontId="0" fillId="0" borderId="18" xfId="0" applyNumberFormat="1" applyBorder="1"/>
    <xf numFmtId="0" fontId="0" fillId="6" borderId="13" xfId="0" applyFill="1" applyBorder="1" applyAlignment="1">
      <alignment horizontal="center" vertical="center" wrapText="1"/>
    </xf>
    <xf numFmtId="165" fontId="0" fillId="6" borderId="13" xfId="0" applyNumberFormat="1" applyFill="1" applyBorder="1"/>
    <xf numFmtId="165" fontId="0" fillId="2" borderId="13" xfId="0" applyNumberFormat="1" applyFill="1" applyBorder="1"/>
    <xf numFmtId="0" fontId="0" fillId="6" borderId="13" xfId="0" applyFill="1" applyBorder="1" applyAlignment="1">
      <alignment wrapText="1"/>
    </xf>
    <xf numFmtId="43" fontId="0" fillId="6" borderId="13" xfId="0" applyNumberFormat="1" applyFill="1" applyBorder="1"/>
    <xf numFmtId="0" fontId="0" fillId="6" borderId="13" xfId="0" applyFill="1" applyBorder="1" applyAlignment="1">
      <alignment horizontal="center" wrapText="1"/>
    </xf>
    <xf numFmtId="43" fontId="0" fillId="2" borderId="13" xfId="0" applyNumberFormat="1" applyFill="1" applyBorder="1"/>
    <xf numFmtId="43" fontId="0" fillId="2" borderId="0" xfId="0" applyNumberFormat="1" applyFill="1"/>
    <xf numFmtId="43" fontId="5" fillId="2" borderId="0" xfId="0" applyNumberFormat="1" applyFont="1" applyFill="1"/>
    <xf numFmtId="0" fontId="5" fillId="0" borderId="0" xfId="0" applyFont="1" applyAlignment="1">
      <alignment wrapText="1"/>
    </xf>
    <xf numFmtId="44" fontId="0" fillId="2" borderId="0" xfId="0" applyNumberFormat="1" applyFill="1"/>
    <xf numFmtId="44" fontId="5" fillId="2" borderId="0" xfId="0" applyNumberFormat="1" applyFont="1" applyFill="1" applyAlignment="1">
      <alignment wrapText="1"/>
    </xf>
    <xf numFmtId="165" fontId="5" fillId="2" borderId="0" xfId="0" applyNumberFormat="1" applyFont="1" applyFill="1"/>
    <xf numFmtId="39" fontId="0" fillId="2" borderId="17" xfId="1" applyNumberFormat="1" applyFont="1" applyFill="1" applyBorder="1"/>
    <xf numFmtId="44" fontId="5" fillId="2" borderId="0" xfId="0" applyNumberFormat="1" applyFont="1" applyFill="1"/>
    <xf numFmtId="165" fontId="0" fillId="0" borderId="0" xfId="1" applyNumberFormat="1" applyFont="1" applyBorder="1"/>
    <xf numFmtId="0" fontId="5" fillId="0" borderId="0" xfId="0" applyFont="1" applyFill="1" applyBorder="1"/>
    <xf numFmtId="165" fontId="5" fillId="0" borderId="0" xfId="1" applyNumberFormat="1" applyFont="1" applyBorder="1"/>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wrapText="1"/>
    </xf>
    <xf numFmtId="0" fontId="2" fillId="0" borderId="5" xfId="0" applyFont="1" applyBorder="1" applyAlignment="1"/>
    <xf numFmtId="0" fontId="0" fillId="0" borderId="0" xfId="0" applyAlignment="1"/>
    <xf numFmtId="0" fontId="0" fillId="0" borderId="6" xfId="0" applyBorder="1" applyAlignment="1"/>
    <xf numFmtId="0" fontId="2" fillId="0" borderId="8" xfId="0" applyFont="1" applyBorder="1" applyAlignment="1"/>
    <xf numFmtId="0" fontId="0" fillId="0" borderId="8" xfId="0" applyBorder="1" applyAlignment="1"/>
    <xf numFmtId="0" fontId="3" fillId="0" borderId="23" xfId="0" applyFont="1" applyBorder="1" applyAlignment="1">
      <alignment horizontal="center"/>
    </xf>
    <xf numFmtId="0" fontId="3" fillId="0" borderId="0" xfId="0" applyFont="1" applyBorder="1" applyAlignment="1">
      <alignment horizontal="center"/>
    </xf>
    <xf numFmtId="0" fontId="3" fillId="0" borderId="17" xfId="0" applyFont="1" applyBorder="1"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19"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4" fillId="0" borderId="22" xfId="0" applyFont="1" applyBorder="1" applyAlignment="1">
      <alignment horizontal="center"/>
    </xf>
    <xf numFmtId="0" fontId="4" fillId="0" borderId="8" xfId="0" applyFont="1" applyBorder="1" applyAlignment="1">
      <alignment horizontal="center"/>
    </xf>
    <xf numFmtId="0" fontId="4" fillId="0" borderId="21" xfId="0" applyFont="1" applyBorder="1" applyAlignment="1">
      <alignment horizontal="center"/>
    </xf>
    <xf numFmtId="0" fontId="4" fillId="0" borderId="24" xfId="0" applyFont="1" applyBorder="1" applyAlignment="1">
      <alignment horizontal="center"/>
    </xf>
    <xf numFmtId="0" fontId="4" fillId="0" borderId="1" xfId="0" applyFont="1" applyBorder="1" applyAlignment="1">
      <alignment horizontal="center"/>
    </xf>
    <xf numFmtId="0" fontId="4" fillId="0" borderId="19" xfId="0" applyFont="1" applyBorder="1" applyAlignment="1">
      <alignment horizontal="center"/>
    </xf>
    <xf numFmtId="0" fontId="11" fillId="0" borderId="0" xfId="0" applyFont="1" applyAlignment="1"/>
    <xf numFmtId="0" fontId="5" fillId="0" borderId="0" xfId="0" applyFont="1" applyAlignment="1">
      <alignment wrapText="1"/>
    </xf>
    <xf numFmtId="0" fontId="0" fillId="0" borderId="0" xfId="0" applyAlignment="1">
      <alignment wrapText="1"/>
    </xf>
    <xf numFmtId="0" fontId="5" fillId="0" borderId="0" xfId="0" applyFont="1" applyBorder="1" applyAlignment="1">
      <alignment wrapText="1"/>
    </xf>
    <xf numFmtId="0" fontId="5" fillId="0" borderId="0" xfId="0" applyFont="1" applyAlignment="1"/>
    <xf numFmtId="2" fontId="11" fillId="0" borderId="0" xfId="0" applyNumberFormat="1" applyFont="1" applyAlignment="1">
      <alignment wrapText="1"/>
    </xf>
    <xf numFmtId="49" fontId="5" fillId="0" borderId="14" xfId="0" applyNumberFormat="1" applyFont="1" applyBorder="1" applyAlignment="1">
      <alignment horizontal="center" wrapText="1"/>
    </xf>
    <xf numFmtId="0" fontId="0" fillId="0" borderId="14" xfId="0" applyBorder="1" applyAlignment="1">
      <alignment wrapText="1"/>
    </xf>
    <xf numFmtId="0" fontId="5" fillId="0" borderId="8" xfId="0" applyFont="1" applyBorder="1" applyAlignment="1">
      <alignment horizontal="center" wrapText="1"/>
    </xf>
    <xf numFmtId="0" fontId="0" fillId="0" borderId="8" xfId="0" applyBorder="1" applyAlignment="1">
      <alignment horizontal="center" wrapText="1"/>
    </xf>
    <xf numFmtId="0" fontId="2" fillId="0" borderId="7" xfId="0" applyFont="1"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 xfId="0" applyBorder="1" applyAlignment="1"/>
    <xf numFmtId="0" fontId="0" fillId="0" borderId="30" xfId="0" applyBorder="1" applyAlignment="1"/>
    <xf numFmtId="0" fontId="4" fillId="0" borderId="29" xfId="0" applyFont="1" applyBorder="1" applyAlignment="1">
      <alignment wrapText="1"/>
    </xf>
    <xf numFmtId="0" fontId="0" fillId="0" borderId="5" xfId="0" applyBorder="1" applyAlignment="1">
      <alignment wrapText="1"/>
    </xf>
    <xf numFmtId="0" fontId="0" fillId="0" borderId="6" xfId="0" applyBorder="1" applyAlignment="1">
      <alignment wrapText="1"/>
    </xf>
  </cellXfs>
  <cellStyles count="2">
    <cellStyle name="Звичайний" xfId="0" builtinId="0"/>
    <cellStyle name="Фінансови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B2:K17"/>
  <sheetViews>
    <sheetView showGridLines="0" workbookViewId="0">
      <selection activeCell="E7" sqref="E7"/>
    </sheetView>
  </sheetViews>
  <sheetFormatPr defaultColWidth="8.77734375" defaultRowHeight="14.4"/>
  <cols>
    <col min="2" max="2" width="83.6640625" customWidth="1"/>
    <col min="4" max="4" width="5.44140625" bestFit="1" customWidth="1"/>
  </cols>
  <sheetData>
    <row r="2" spans="2:11">
      <c r="B2" s="62" t="s">
        <v>0</v>
      </c>
      <c r="C2" s="14"/>
      <c r="D2" s="15"/>
    </row>
    <row r="3" spans="2:11">
      <c r="B3" s="68" t="s">
        <v>1</v>
      </c>
      <c r="C3" s="69"/>
      <c r="D3" s="70">
        <v>0.13</v>
      </c>
    </row>
    <row r="4" spans="2:11">
      <c r="B4" s="68" t="s">
        <v>2</v>
      </c>
      <c r="C4" s="69"/>
      <c r="D4" s="70">
        <v>0.17</v>
      </c>
    </row>
    <row r="5" spans="2:11">
      <c r="B5" s="71" t="s">
        <v>155</v>
      </c>
      <c r="C5" s="72"/>
      <c r="D5" s="73">
        <v>0.7</v>
      </c>
    </row>
    <row r="6" spans="2:11">
      <c r="B6" s="63" t="s">
        <v>3</v>
      </c>
      <c r="C6" s="1"/>
      <c r="D6" s="64">
        <f>SUM(D3:D5)</f>
        <v>1</v>
      </c>
    </row>
    <row r="7" spans="2:11">
      <c r="B7" s="3"/>
      <c r="C7" s="3"/>
      <c r="D7" s="4"/>
    </row>
    <row r="8" spans="2:11">
      <c r="B8" s="74" t="s">
        <v>158</v>
      </c>
      <c r="C8" s="14"/>
      <c r="D8" s="14"/>
      <c r="E8" s="14"/>
      <c r="F8" s="14"/>
      <c r="G8" s="14"/>
      <c r="H8" s="14"/>
      <c r="I8" s="14"/>
      <c r="J8" s="14"/>
      <c r="K8" s="15"/>
    </row>
    <row r="9" spans="2:11">
      <c r="B9" s="37" t="s">
        <v>4</v>
      </c>
      <c r="C9" s="11"/>
      <c r="D9" s="11"/>
      <c r="E9" s="11"/>
      <c r="F9" s="11"/>
      <c r="G9" s="11"/>
      <c r="H9" s="11"/>
      <c r="I9" s="11"/>
      <c r="J9" s="11"/>
      <c r="K9" s="26"/>
    </row>
    <row r="10" spans="2:11">
      <c r="B10" s="27" t="s">
        <v>156</v>
      </c>
      <c r="C10" s="9"/>
      <c r="D10" s="9"/>
      <c r="E10" s="9"/>
      <c r="F10" s="9"/>
      <c r="G10" s="9"/>
      <c r="H10" s="9"/>
      <c r="I10" s="9"/>
      <c r="J10" s="9"/>
      <c r="K10" s="24"/>
    </row>
    <row r="11" spans="2:11">
      <c r="B11" s="27" t="s">
        <v>157</v>
      </c>
      <c r="C11" s="9"/>
      <c r="D11" s="9"/>
      <c r="E11" s="9"/>
      <c r="F11" s="9"/>
      <c r="G11" s="9"/>
      <c r="H11" s="9"/>
      <c r="I11" s="9"/>
      <c r="J11" s="9"/>
      <c r="K11" s="24"/>
    </row>
    <row r="12" spans="2:11">
      <c r="B12" s="27"/>
      <c r="C12" s="9"/>
      <c r="D12" s="9"/>
      <c r="E12" s="9"/>
      <c r="F12" s="9"/>
      <c r="G12" s="9"/>
      <c r="H12" s="9"/>
      <c r="I12" s="9"/>
      <c r="J12" s="9"/>
      <c r="K12" s="24"/>
    </row>
    <row r="13" spans="2:11">
      <c r="B13" s="38" t="s">
        <v>154</v>
      </c>
      <c r="C13" s="9"/>
      <c r="D13" s="9"/>
      <c r="E13" s="9"/>
      <c r="F13" s="9"/>
      <c r="G13" s="9"/>
      <c r="H13" s="9"/>
      <c r="I13" s="9"/>
      <c r="J13" s="9"/>
      <c r="K13" s="24"/>
    </row>
    <row r="14" spans="2:11">
      <c r="B14" s="27" t="s">
        <v>179</v>
      </c>
      <c r="C14" s="9"/>
      <c r="D14" s="9"/>
      <c r="E14" s="9"/>
      <c r="F14" s="9"/>
      <c r="G14" s="9"/>
      <c r="H14" s="9"/>
      <c r="I14" s="9"/>
      <c r="J14" s="9"/>
      <c r="K14" s="24"/>
    </row>
    <row r="15" spans="2:11">
      <c r="B15" s="27" t="s">
        <v>160</v>
      </c>
      <c r="C15" s="9"/>
      <c r="D15" s="9"/>
      <c r="E15" s="9"/>
      <c r="F15" s="9"/>
      <c r="G15" s="9"/>
      <c r="H15" s="9"/>
      <c r="I15" s="9"/>
      <c r="J15" s="9"/>
      <c r="K15" s="24"/>
    </row>
    <row r="16" spans="2:11">
      <c r="B16" s="27" t="s">
        <v>180</v>
      </c>
      <c r="C16" s="9"/>
      <c r="D16" s="9"/>
      <c r="E16" s="9"/>
      <c r="F16" s="9"/>
      <c r="G16" s="9"/>
      <c r="H16" s="9"/>
      <c r="I16" s="9"/>
      <c r="J16" s="9"/>
      <c r="K16" s="24"/>
    </row>
    <row r="17" spans="2:11">
      <c r="B17" s="29"/>
      <c r="C17" s="2"/>
      <c r="D17" s="2"/>
      <c r="E17" s="2"/>
      <c r="F17" s="2"/>
      <c r="G17" s="2"/>
      <c r="H17" s="2"/>
      <c r="I17" s="2"/>
      <c r="J17" s="2"/>
      <c r="K17"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2:L173"/>
  <sheetViews>
    <sheetView showGridLines="0" tabSelected="1" topLeftCell="A156" workbookViewId="0">
      <selection activeCell="B169" sqref="B169:I170"/>
    </sheetView>
  </sheetViews>
  <sheetFormatPr defaultColWidth="8.77734375" defaultRowHeight="14.4"/>
  <cols>
    <col min="2" max="2" width="18.77734375" customWidth="1"/>
    <col min="3" max="3" width="15.33203125" customWidth="1"/>
    <col min="4" max="4" width="16" customWidth="1"/>
    <col min="5" max="5" width="14.44140625" customWidth="1"/>
    <col min="6" max="7" width="11.109375" bestFit="1" customWidth="1"/>
    <col min="9" max="9" width="18.44140625" customWidth="1"/>
    <col min="10" max="10" width="12.5546875" bestFit="1" customWidth="1"/>
    <col min="12" max="12" width="14.44140625" customWidth="1"/>
  </cols>
  <sheetData>
    <row r="2" spans="2:12">
      <c r="B2" s="75" t="s">
        <v>174</v>
      </c>
    </row>
    <row r="3" spans="2:12" ht="15" thickBot="1"/>
    <row r="4" spans="2:12">
      <c r="B4" s="5" t="s">
        <v>5</v>
      </c>
      <c r="C4" s="6"/>
      <c r="D4" s="6"/>
      <c r="E4" s="6"/>
      <c r="F4" s="6"/>
      <c r="G4" s="6"/>
      <c r="H4" s="6"/>
      <c r="I4" s="7"/>
    </row>
    <row r="5" spans="2:12" ht="50.25" customHeight="1">
      <c r="B5" s="201" t="s">
        <v>115</v>
      </c>
      <c r="C5" s="202"/>
      <c r="D5" s="202"/>
      <c r="E5" s="202"/>
      <c r="F5" s="202"/>
      <c r="G5" s="202"/>
      <c r="H5" s="202"/>
      <c r="I5" s="203"/>
    </row>
    <row r="6" spans="2:12">
      <c r="B6" s="8" t="s">
        <v>6</v>
      </c>
      <c r="C6" s="92">
        <f>E10</f>
        <v>35000</v>
      </c>
      <c r="D6" s="9"/>
      <c r="E6" s="9"/>
      <c r="F6" s="9"/>
      <c r="G6" s="9"/>
      <c r="H6" s="9"/>
      <c r="I6" s="10"/>
    </row>
    <row r="7" spans="2:12">
      <c r="B7" s="16" t="s">
        <v>124</v>
      </c>
      <c r="C7" s="40"/>
      <c r="D7" s="40"/>
      <c r="E7" s="86">
        <v>200000</v>
      </c>
      <c r="F7" s="40"/>
      <c r="G7" s="90"/>
      <c r="H7" s="40"/>
      <c r="I7" s="41"/>
      <c r="K7" s="25">
        <v>1</v>
      </c>
      <c r="L7" s="91">
        <f>E10</f>
        <v>35000</v>
      </c>
    </row>
    <row r="8" spans="2:12">
      <c r="B8" s="16" t="s">
        <v>181</v>
      </c>
      <c r="C8" s="43"/>
      <c r="D8" s="43"/>
      <c r="E8" s="87">
        <v>115000</v>
      </c>
      <c r="F8" s="43"/>
      <c r="G8" s="43"/>
      <c r="H8" s="43"/>
      <c r="I8" s="44"/>
      <c r="K8" s="27">
        <v>2</v>
      </c>
      <c r="L8" s="91">
        <f>C15</f>
        <v>45000</v>
      </c>
    </row>
    <row r="9" spans="2:12">
      <c r="B9" s="16" t="s">
        <v>182</v>
      </c>
      <c r="C9" s="43"/>
      <c r="D9" s="43"/>
      <c r="E9" s="87">
        <v>50000</v>
      </c>
      <c r="F9" s="43"/>
      <c r="G9" s="43"/>
      <c r="H9" s="43"/>
      <c r="I9" s="44"/>
      <c r="K9" s="27">
        <v>3</v>
      </c>
      <c r="L9" s="91">
        <f>C24</f>
        <v>67000</v>
      </c>
    </row>
    <row r="10" spans="2:12">
      <c r="B10" s="42" t="s">
        <v>183</v>
      </c>
      <c r="C10" s="43"/>
      <c r="D10" s="43"/>
      <c r="E10" s="87">
        <f>E7-E8-E9</f>
        <v>35000</v>
      </c>
      <c r="F10" s="43"/>
      <c r="G10" s="43"/>
      <c r="H10" s="43"/>
      <c r="I10" s="44"/>
      <c r="K10" s="27">
        <v>4</v>
      </c>
      <c r="L10" s="91">
        <f>C33</f>
        <v>732000</v>
      </c>
    </row>
    <row r="11" spans="2:12" ht="15" thickBot="1">
      <c r="B11" s="89" t="s">
        <v>184</v>
      </c>
      <c r="C11" s="46"/>
      <c r="D11" s="46"/>
      <c r="E11" s="88"/>
      <c r="F11" s="46"/>
      <c r="G11" s="46"/>
      <c r="H11" s="46"/>
      <c r="I11" s="47"/>
      <c r="K11" s="27">
        <v>5</v>
      </c>
      <c r="L11" s="91">
        <f>C43</f>
        <v>892000</v>
      </c>
    </row>
    <row r="12" spans="2:12" ht="15" thickBot="1">
      <c r="B12" s="48"/>
      <c r="C12" s="48"/>
      <c r="D12" s="48"/>
      <c r="E12" s="48"/>
      <c r="F12" s="48"/>
      <c r="G12" s="48"/>
      <c r="H12" s="48"/>
      <c r="I12" s="48"/>
      <c r="K12" s="27">
        <v>6</v>
      </c>
      <c r="L12" s="91">
        <f>C60</f>
        <v>-2323000</v>
      </c>
    </row>
    <row r="13" spans="2:12">
      <c r="B13" s="5" t="s">
        <v>7</v>
      </c>
      <c r="C13" s="6"/>
      <c r="D13" s="6"/>
      <c r="E13" s="6"/>
      <c r="F13" s="6"/>
      <c r="G13" s="6"/>
      <c r="H13" s="6"/>
      <c r="I13" s="7"/>
      <c r="K13" s="27">
        <v>7</v>
      </c>
      <c r="L13" s="91">
        <f>C69</f>
        <v>3215000</v>
      </c>
    </row>
    <row r="14" spans="2:12" ht="61.5" customHeight="1">
      <c r="B14" s="201" t="s">
        <v>116</v>
      </c>
      <c r="C14" s="202"/>
      <c r="D14" s="202"/>
      <c r="E14" s="202"/>
      <c r="F14" s="202"/>
      <c r="G14" s="202"/>
      <c r="H14" s="202"/>
      <c r="I14" s="203"/>
      <c r="K14" s="27">
        <v>8</v>
      </c>
      <c r="L14" s="91">
        <f>C79</f>
        <v>1670000</v>
      </c>
    </row>
    <row r="15" spans="2:12">
      <c r="B15" s="12" t="s">
        <v>6</v>
      </c>
      <c r="C15" s="105">
        <f>(15-10)*9000</f>
        <v>45000</v>
      </c>
      <c r="D15" s="9"/>
      <c r="E15" s="9"/>
      <c r="F15" s="9"/>
      <c r="G15" s="9"/>
      <c r="H15" s="9"/>
      <c r="I15" s="10"/>
      <c r="K15" s="27">
        <v>9</v>
      </c>
      <c r="L15" s="91">
        <f>C88</f>
        <v>460000</v>
      </c>
    </row>
    <row r="16" spans="2:12">
      <c r="B16" s="39" t="s">
        <v>125</v>
      </c>
      <c r="C16" s="40" t="s">
        <v>189</v>
      </c>
      <c r="D16" s="40"/>
      <c r="E16" s="40"/>
      <c r="F16" s="40"/>
      <c r="G16" s="40"/>
      <c r="H16" s="40"/>
      <c r="I16" s="41"/>
      <c r="K16" s="27">
        <v>10</v>
      </c>
      <c r="L16" s="91">
        <f>C103</f>
        <v>249500</v>
      </c>
    </row>
    <row r="17" spans="2:12">
      <c r="B17" s="42" t="s">
        <v>187</v>
      </c>
      <c r="C17" s="43" t="s">
        <v>188</v>
      </c>
      <c r="D17" s="43"/>
      <c r="E17" s="43"/>
      <c r="F17" s="43"/>
      <c r="G17" s="43"/>
      <c r="H17" s="43"/>
      <c r="I17" s="44"/>
      <c r="K17" s="27">
        <v>11</v>
      </c>
      <c r="L17" s="91" t="str">
        <f>C112</f>
        <v>410000 грн.</v>
      </c>
    </row>
    <row r="18" spans="2:12">
      <c r="B18" s="42"/>
      <c r="C18" s="43"/>
      <c r="D18" s="43"/>
      <c r="E18" s="43"/>
      <c r="F18" s="43"/>
      <c r="G18" s="43"/>
      <c r="H18" s="43"/>
      <c r="I18" s="44"/>
      <c r="K18" s="27">
        <v>12</v>
      </c>
      <c r="L18" s="91" t="str">
        <f>C122</f>
        <v>250000грн.</v>
      </c>
    </row>
    <row r="19" spans="2:12">
      <c r="B19" s="16" t="s">
        <v>126</v>
      </c>
      <c r="C19" s="43"/>
      <c r="D19" s="43" t="s">
        <v>185</v>
      </c>
      <c r="E19" s="43"/>
      <c r="F19" s="43"/>
      <c r="G19" s="43"/>
      <c r="H19" s="43"/>
      <c r="I19" s="44"/>
      <c r="K19" s="27">
        <v>13</v>
      </c>
      <c r="L19" s="91" t="str">
        <f>C122</f>
        <v>250000грн.</v>
      </c>
    </row>
    <row r="20" spans="2:12" ht="15" thickBot="1">
      <c r="B20" s="45" t="s">
        <v>186</v>
      </c>
      <c r="C20" s="46"/>
      <c r="D20" s="46"/>
      <c r="E20" s="46"/>
      <c r="F20" s="46"/>
      <c r="G20" s="46"/>
      <c r="H20" s="46"/>
      <c r="I20" s="47"/>
      <c r="K20" s="27">
        <v>14</v>
      </c>
      <c r="L20" s="91" t="str">
        <f>C141</f>
        <v>1175000 грн.</v>
      </c>
    </row>
    <row r="21" spans="2:12" ht="15" thickBot="1">
      <c r="K21" s="29">
        <v>15</v>
      </c>
      <c r="L21" s="23" t="str">
        <f>C150</f>
        <v>525000 грн.</v>
      </c>
    </row>
    <row r="22" spans="2:12">
      <c r="B22" s="5" t="s">
        <v>8</v>
      </c>
      <c r="C22" s="6"/>
      <c r="D22" s="6"/>
      <c r="E22" s="6"/>
      <c r="F22" s="6"/>
      <c r="G22" s="6"/>
      <c r="H22" s="6"/>
      <c r="I22" s="7"/>
    </row>
    <row r="23" spans="2:12" ht="60.75" customHeight="1">
      <c r="B23" s="201" t="s">
        <v>9</v>
      </c>
      <c r="C23" s="202"/>
      <c r="D23" s="202"/>
      <c r="E23" s="202"/>
      <c r="F23" s="202"/>
      <c r="G23" s="202"/>
      <c r="H23" s="202"/>
      <c r="I23" s="203"/>
    </row>
    <row r="24" spans="2:12">
      <c r="B24" s="12" t="s">
        <v>6</v>
      </c>
      <c r="C24" s="65">
        <f>E29</f>
        <v>67000</v>
      </c>
      <c r="D24" s="9"/>
      <c r="E24" s="9"/>
      <c r="F24" s="9"/>
      <c r="G24" s="9"/>
      <c r="H24" s="9"/>
      <c r="I24" s="10"/>
    </row>
    <row r="25" spans="2:12">
      <c r="B25" s="39" t="s">
        <v>246</v>
      </c>
      <c r="C25" s="40" t="s">
        <v>225</v>
      </c>
      <c r="D25" s="40">
        <v>117000</v>
      </c>
      <c r="E25" s="40"/>
      <c r="F25" s="40"/>
      <c r="G25" s="40"/>
      <c r="H25" s="40"/>
      <c r="I25" s="41"/>
    </row>
    <row r="26" spans="2:12">
      <c r="B26" s="42" t="s">
        <v>190</v>
      </c>
      <c r="C26" s="43"/>
      <c r="D26" s="43">
        <v>80000</v>
      </c>
      <c r="E26" s="43"/>
      <c r="F26" s="43"/>
      <c r="G26" s="43"/>
      <c r="H26" s="43"/>
      <c r="I26" s="44"/>
    </row>
    <row r="27" spans="2:12">
      <c r="B27" s="42" t="s">
        <v>191</v>
      </c>
      <c r="C27" s="43"/>
      <c r="D27" s="43">
        <v>30000</v>
      </c>
      <c r="E27" s="43"/>
      <c r="F27" s="43"/>
      <c r="G27" s="43"/>
      <c r="H27" s="43"/>
      <c r="I27" s="44"/>
    </row>
    <row r="28" spans="2:12">
      <c r="B28" s="42" t="s">
        <v>192</v>
      </c>
      <c r="C28" s="43"/>
      <c r="D28" s="43">
        <v>60000</v>
      </c>
      <c r="E28" s="43"/>
      <c r="F28" s="43"/>
      <c r="G28" s="43"/>
      <c r="H28" s="43"/>
      <c r="I28" s="44"/>
    </row>
    <row r="29" spans="2:12" ht="15" thickBot="1">
      <c r="B29" s="45" t="s">
        <v>245</v>
      </c>
      <c r="C29" s="46"/>
      <c r="D29" s="46"/>
      <c r="E29" s="27">
        <f>D25-D26-D27+D28</f>
        <v>67000</v>
      </c>
      <c r="F29" s="46"/>
      <c r="G29" s="46"/>
      <c r="H29" s="46"/>
      <c r="I29" s="47"/>
    </row>
    <row r="30" spans="2:12" ht="15" thickBot="1"/>
    <row r="31" spans="2:12">
      <c r="B31" s="5" t="s">
        <v>10</v>
      </c>
      <c r="C31" s="6"/>
      <c r="D31" s="6"/>
      <c r="E31" s="6"/>
      <c r="F31" s="6"/>
      <c r="G31" s="6"/>
      <c r="H31" s="6"/>
      <c r="I31" s="7"/>
    </row>
    <row r="32" spans="2:12" ht="87" customHeight="1">
      <c r="B32" s="201" t="s">
        <v>196</v>
      </c>
      <c r="C32" s="202"/>
      <c r="D32" s="202"/>
      <c r="E32" s="202"/>
      <c r="F32" s="202"/>
      <c r="G32" s="202"/>
      <c r="H32" s="202"/>
      <c r="I32" s="203"/>
    </row>
    <row r="33" spans="2:10">
      <c r="B33" s="12" t="s">
        <v>6</v>
      </c>
      <c r="C33" s="92">
        <f>F35</f>
        <v>732000</v>
      </c>
      <c r="D33" s="9"/>
      <c r="E33" s="9"/>
      <c r="F33" s="9"/>
      <c r="G33" s="9"/>
      <c r="H33" s="9"/>
      <c r="I33" s="10"/>
    </row>
    <row r="34" spans="2:10">
      <c r="B34" s="39" t="s">
        <v>126</v>
      </c>
      <c r="C34" s="40"/>
      <c r="D34" s="86">
        <v>2000000</v>
      </c>
      <c r="E34" s="40"/>
      <c r="F34" s="40" t="s">
        <v>198</v>
      </c>
      <c r="G34" s="40"/>
      <c r="H34" s="40"/>
      <c r="I34" s="41"/>
      <c r="J34" s="99"/>
    </row>
    <row r="35" spans="2:10">
      <c r="B35" s="42" t="s">
        <v>193</v>
      </c>
      <c r="C35" s="43"/>
      <c r="D35" s="87">
        <v>500000</v>
      </c>
      <c r="E35" s="43"/>
      <c r="F35" s="98">
        <f>0.6*(D34-D35-D36-D37)</f>
        <v>732000</v>
      </c>
      <c r="G35" s="43"/>
      <c r="H35" s="43"/>
      <c r="I35" s="44"/>
      <c r="J35" s="99"/>
    </row>
    <row r="36" spans="2:10">
      <c r="B36" s="42" t="s">
        <v>194</v>
      </c>
      <c r="C36" s="43"/>
      <c r="D36" s="87">
        <f>12*15000</f>
        <v>180000</v>
      </c>
      <c r="E36" s="43"/>
      <c r="F36" s="43"/>
      <c r="G36" s="43"/>
      <c r="H36" s="43"/>
      <c r="I36" s="44"/>
    </row>
    <row r="37" spans="2:10">
      <c r="B37" s="42" t="s">
        <v>197</v>
      </c>
      <c r="C37" s="43"/>
      <c r="D37" s="87">
        <v>100000</v>
      </c>
      <c r="E37" s="43"/>
      <c r="F37" s="43"/>
      <c r="G37" s="43"/>
      <c r="H37" s="43"/>
      <c r="I37" s="44"/>
    </row>
    <row r="38" spans="2:10">
      <c r="B38" s="42" t="s">
        <v>195</v>
      </c>
      <c r="C38" s="43"/>
      <c r="D38" s="97">
        <v>0.4</v>
      </c>
      <c r="E38" s="43"/>
      <c r="F38" s="43"/>
      <c r="G38" s="43"/>
      <c r="H38" s="43"/>
      <c r="I38" s="44"/>
    </row>
    <row r="39" spans="2:10" ht="15" thickBot="1">
      <c r="B39" s="45" t="s">
        <v>141</v>
      </c>
      <c r="C39" s="46"/>
      <c r="D39" s="93" t="s">
        <v>185</v>
      </c>
      <c r="E39" s="46"/>
      <c r="F39" s="46"/>
      <c r="G39" s="46"/>
      <c r="H39" s="46"/>
      <c r="I39" s="47"/>
    </row>
    <row r="40" spans="2:10" ht="15" thickBot="1"/>
    <row r="41" spans="2:10">
      <c r="B41" s="5" t="s">
        <v>11</v>
      </c>
      <c r="C41" s="6"/>
      <c r="D41" s="6"/>
      <c r="E41" s="6"/>
      <c r="F41" s="6"/>
      <c r="G41" s="6"/>
      <c r="H41" s="6"/>
      <c r="I41" s="7"/>
    </row>
    <row r="42" spans="2:10" ht="156" customHeight="1">
      <c r="B42" s="201" t="s">
        <v>117</v>
      </c>
      <c r="C42" s="202"/>
      <c r="D42" s="202"/>
      <c r="E42" s="202"/>
      <c r="F42" s="202"/>
      <c r="G42" s="202"/>
      <c r="H42" s="202"/>
      <c r="I42" s="203"/>
    </row>
    <row r="43" spans="2:10">
      <c r="B43" s="12" t="s">
        <v>6</v>
      </c>
      <c r="C43" s="92">
        <f>C54</f>
        <v>892000</v>
      </c>
      <c r="D43" s="9"/>
      <c r="E43" s="9"/>
      <c r="F43" s="9"/>
      <c r="G43" s="9"/>
      <c r="H43" s="9"/>
      <c r="I43" s="10"/>
    </row>
    <row r="44" spans="2:10">
      <c r="B44" s="39"/>
      <c r="C44" s="104" t="s">
        <v>200</v>
      </c>
      <c r="D44" s="104" t="s">
        <v>199</v>
      </c>
      <c r="E44" s="100"/>
      <c r="F44" s="40"/>
      <c r="G44" s="40"/>
      <c r="H44" s="40"/>
      <c r="I44" s="41"/>
    </row>
    <row r="45" spans="2:10">
      <c r="B45" s="42" t="s">
        <v>201</v>
      </c>
      <c r="C45" s="103">
        <v>400000</v>
      </c>
      <c r="D45" s="103"/>
      <c r="E45" s="101" t="s">
        <v>208</v>
      </c>
      <c r="F45" s="43"/>
      <c r="G45" s="43" t="s">
        <v>209</v>
      </c>
      <c r="H45" s="43"/>
      <c r="I45" s="44"/>
    </row>
    <row r="46" spans="2:10">
      <c r="B46" s="42" t="s">
        <v>202</v>
      </c>
      <c r="C46" s="103"/>
      <c r="D46" s="103">
        <v>300000</v>
      </c>
      <c r="E46" s="101"/>
      <c r="F46" s="43"/>
      <c r="G46" s="43"/>
      <c r="H46" s="43"/>
      <c r="I46" s="44"/>
    </row>
    <row r="47" spans="2:10">
      <c r="B47" s="42" t="s">
        <v>203</v>
      </c>
      <c r="C47" s="103"/>
      <c r="D47" s="103">
        <v>800000</v>
      </c>
      <c r="E47" s="101"/>
      <c r="F47" s="43"/>
      <c r="G47" s="43"/>
      <c r="H47" s="43"/>
      <c r="I47" s="44"/>
    </row>
    <row r="48" spans="2:10">
      <c r="B48" s="42" t="s">
        <v>88</v>
      </c>
      <c r="C48" s="103">
        <v>40000</v>
      </c>
      <c r="D48" s="103"/>
      <c r="E48" s="101"/>
      <c r="F48" s="43"/>
      <c r="G48" s="43"/>
      <c r="H48" s="43"/>
      <c r="I48" s="44"/>
    </row>
    <row r="49" spans="2:9">
      <c r="B49" s="42" t="s">
        <v>210</v>
      </c>
      <c r="C49" s="103"/>
      <c r="D49" s="103">
        <v>2000000</v>
      </c>
      <c r="E49" s="101" t="s">
        <v>215</v>
      </c>
      <c r="F49" s="43"/>
      <c r="G49" s="43"/>
      <c r="H49" s="43"/>
      <c r="I49" s="44"/>
    </row>
    <row r="50" spans="2:9">
      <c r="B50" s="42" t="s">
        <v>204</v>
      </c>
      <c r="C50" s="103">
        <v>437000</v>
      </c>
      <c r="D50" s="103"/>
      <c r="E50" s="101"/>
      <c r="F50" s="43"/>
      <c r="G50" s="43"/>
      <c r="H50" s="43"/>
      <c r="I50" s="44"/>
    </row>
    <row r="51" spans="2:9">
      <c r="B51" s="42" t="s">
        <v>205</v>
      </c>
      <c r="C51" s="103"/>
      <c r="D51" s="103">
        <v>115000</v>
      </c>
      <c r="E51" s="101"/>
      <c r="F51" s="43"/>
      <c r="G51" s="43"/>
      <c r="H51" s="43"/>
      <c r="I51" s="44"/>
    </row>
    <row r="52" spans="2:9">
      <c r="B52" s="42" t="s">
        <v>206</v>
      </c>
      <c r="C52" s="103">
        <v>15000</v>
      </c>
      <c r="D52" s="103"/>
      <c r="E52" s="101"/>
      <c r="F52" s="43"/>
      <c r="G52" s="43"/>
      <c r="H52" s="43"/>
      <c r="I52" s="44"/>
    </row>
    <row r="53" spans="2:9">
      <c r="B53" s="42"/>
      <c r="C53" s="103"/>
      <c r="D53" s="103"/>
      <c r="E53" s="101"/>
      <c r="F53" s="43"/>
      <c r="G53" s="43"/>
      <c r="H53" s="43"/>
      <c r="I53" s="44"/>
    </row>
    <row r="54" spans="2:9">
      <c r="B54" s="42" t="s">
        <v>207</v>
      </c>
      <c r="C54" s="103">
        <f>C48+C50+C52+C45</f>
        <v>892000</v>
      </c>
      <c r="D54" s="103"/>
      <c r="E54" s="101"/>
      <c r="F54" s="43"/>
      <c r="G54" s="43"/>
      <c r="H54" s="43"/>
      <c r="I54" s="44"/>
    </row>
    <row r="55" spans="2:9">
      <c r="B55" s="42" t="s">
        <v>213</v>
      </c>
      <c r="C55" s="103"/>
      <c r="D55" s="103">
        <f>SUM(D45:D54)</f>
        <v>3215000</v>
      </c>
      <c r="E55" s="101"/>
      <c r="F55" s="43"/>
      <c r="G55" s="43"/>
      <c r="H55" s="43"/>
      <c r="I55" s="44"/>
    </row>
    <row r="56" spans="2:9" ht="15" thickBot="1">
      <c r="B56" s="45"/>
      <c r="C56" s="102"/>
      <c r="D56" s="102"/>
      <c r="E56" s="102"/>
      <c r="F56" s="46"/>
      <c r="G56" s="46"/>
      <c r="H56" s="46"/>
      <c r="I56" s="47"/>
    </row>
    <row r="57" spans="2:9" ht="15" thickBot="1"/>
    <row r="58" spans="2:9">
      <c r="B58" s="5" t="s">
        <v>12</v>
      </c>
      <c r="C58" s="6"/>
      <c r="D58" s="6"/>
      <c r="E58" s="6"/>
      <c r="F58" s="6"/>
      <c r="G58" s="6"/>
      <c r="H58" s="6"/>
      <c r="I58" s="7"/>
    </row>
    <row r="59" spans="2:9">
      <c r="B59" s="201" t="s">
        <v>13</v>
      </c>
      <c r="C59" s="202"/>
      <c r="D59" s="202"/>
      <c r="E59" s="202"/>
      <c r="F59" s="202"/>
      <c r="G59" s="202"/>
      <c r="H59" s="202"/>
      <c r="I59" s="203"/>
    </row>
    <row r="60" spans="2:9">
      <c r="B60" s="12" t="s">
        <v>6</v>
      </c>
      <c r="C60" s="92">
        <f>C63</f>
        <v>-2323000</v>
      </c>
      <c r="D60" s="9"/>
      <c r="E60" s="9"/>
      <c r="F60" s="9"/>
      <c r="G60" s="9"/>
      <c r="H60" s="9"/>
      <c r="I60" s="10"/>
    </row>
    <row r="61" spans="2:9">
      <c r="B61" s="39" t="s">
        <v>211</v>
      </c>
      <c r="C61" s="40" t="s">
        <v>185</v>
      </c>
      <c r="D61" s="40" t="s">
        <v>214</v>
      </c>
      <c r="E61" s="40"/>
      <c r="F61" s="40"/>
      <c r="G61" s="40"/>
      <c r="H61" s="40"/>
      <c r="I61" s="41"/>
    </row>
    <row r="62" spans="2:9">
      <c r="B62" s="42"/>
      <c r="C62" s="43"/>
      <c r="D62" s="43"/>
      <c r="E62" s="43"/>
      <c r="F62" s="43"/>
      <c r="G62" s="43"/>
      <c r="H62" s="43"/>
      <c r="I62" s="44"/>
    </row>
    <row r="63" spans="2:9">
      <c r="B63" s="42" t="s">
        <v>212</v>
      </c>
      <c r="C63" s="98">
        <f>C54-D55</f>
        <v>-2323000</v>
      </c>
      <c r="D63" s="43"/>
      <c r="E63" s="43"/>
      <c r="F63" s="43"/>
      <c r="G63" s="43"/>
      <c r="H63" s="43"/>
      <c r="I63" s="44"/>
    </row>
    <row r="64" spans="2:9">
      <c r="B64" s="42"/>
      <c r="C64" s="43"/>
      <c r="D64" s="43"/>
      <c r="E64" s="43"/>
      <c r="F64" s="43"/>
      <c r="G64" s="43"/>
      <c r="H64" s="43"/>
      <c r="I64" s="44"/>
    </row>
    <row r="65" spans="2:9" ht="15" thickBot="1">
      <c r="B65" s="45"/>
      <c r="C65" s="46"/>
      <c r="D65" s="46"/>
      <c r="E65" s="46"/>
      <c r="F65" s="46"/>
      <c r="G65" s="46"/>
      <c r="H65" s="46"/>
      <c r="I65" s="47"/>
    </row>
    <row r="66" spans="2:9" ht="15" thickBot="1"/>
    <row r="67" spans="2:9">
      <c r="B67" s="5" t="s">
        <v>14</v>
      </c>
      <c r="C67" s="6"/>
      <c r="D67" s="6"/>
      <c r="E67" s="6"/>
      <c r="F67" s="6"/>
      <c r="G67" s="6"/>
      <c r="H67" s="6"/>
      <c r="I67" s="7"/>
    </row>
    <row r="68" spans="2:9">
      <c r="B68" s="201" t="s">
        <v>15</v>
      </c>
      <c r="C68" s="202"/>
      <c r="D68" s="202"/>
      <c r="E68" s="202"/>
      <c r="F68" s="202"/>
      <c r="G68" s="202"/>
      <c r="H68" s="202"/>
      <c r="I68" s="203"/>
    </row>
    <row r="69" spans="2:9">
      <c r="B69" s="12" t="s">
        <v>6</v>
      </c>
      <c r="C69" s="92">
        <f>D55</f>
        <v>3215000</v>
      </c>
      <c r="D69" s="9"/>
      <c r="E69" s="9"/>
      <c r="F69" s="9"/>
      <c r="G69" s="9"/>
      <c r="H69" s="9"/>
      <c r="I69" s="10"/>
    </row>
    <row r="70" spans="2:9">
      <c r="B70" s="39"/>
      <c r="C70" s="40"/>
      <c r="D70" s="40"/>
      <c r="E70" s="40"/>
      <c r="F70" s="40"/>
      <c r="G70" s="40"/>
      <c r="H70" s="40"/>
      <c r="I70" s="41"/>
    </row>
    <row r="71" spans="2:9">
      <c r="B71" s="42"/>
      <c r="C71" s="43"/>
      <c r="D71" s="43"/>
      <c r="E71" s="43"/>
      <c r="F71" s="43"/>
      <c r="G71" s="43"/>
      <c r="H71" s="43"/>
      <c r="I71" s="44"/>
    </row>
    <row r="72" spans="2:9">
      <c r="B72" s="42"/>
      <c r="C72" s="43"/>
      <c r="D72" s="43"/>
      <c r="E72" s="43"/>
      <c r="F72" s="43"/>
      <c r="G72" s="43"/>
      <c r="H72" s="43"/>
      <c r="I72" s="44"/>
    </row>
    <row r="73" spans="2:9">
      <c r="B73" s="42"/>
      <c r="C73" s="43"/>
      <c r="D73" s="43"/>
      <c r="E73" s="43"/>
      <c r="F73" s="43"/>
      <c r="G73" s="43"/>
      <c r="H73" s="43"/>
      <c r="I73" s="44"/>
    </row>
    <row r="74" spans="2:9" ht="15" thickBot="1">
      <c r="B74" s="45"/>
      <c r="C74" s="46"/>
      <c r="D74" s="46"/>
      <c r="E74" s="46"/>
      <c r="F74" s="46"/>
      <c r="G74" s="46"/>
      <c r="H74" s="46"/>
      <c r="I74" s="47"/>
    </row>
    <row r="76" spans="2:9" ht="15" thickBot="1"/>
    <row r="77" spans="2:9">
      <c r="B77" s="5" t="s">
        <v>16</v>
      </c>
      <c r="C77" s="6"/>
      <c r="D77" s="6"/>
      <c r="E77" s="6"/>
      <c r="F77" s="6"/>
      <c r="G77" s="6"/>
      <c r="H77" s="6"/>
      <c r="I77" s="7"/>
    </row>
    <row r="78" spans="2:9" ht="66" customHeight="1">
      <c r="B78" s="201" t="s">
        <v>18</v>
      </c>
      <c r="C78" s="202"/>
      <c r="D78" s="202"/>
      <c r="E78" s="202"/>
      <c r="F78" s="202"/>
      <c r="G78" s="202"/>
      <c r="H78" s="202"/>
      <c r="I78" s="203"/>
    </row>
    <row r="79" spans="2:9">
      <c r="B79" s="12" t="s">
        <v>6</v>
      </c>
      <c r="C79" s="105">
        <f>D83</f>
        <v>1670000</v>
      </c>
      <c r="D79" s="9"/>
      <c r="E79" s="9"/>
      <c r="F79" s="9"/>
      <c r="G79" s="9"/>
      <c r="H79" s="9"/>
      <c r="I79" s="10"/>
    </row>
    <row r="80" spans="2:9">
      <c r="B80" s="39" t="s">
        <v>216</v>
      </c>
      <c r="C80" s="40"/>
      <c r="D80" s="106">
        <v>1550000</v>
      </c>
      <c r="E80" s="40"/>
      <c r="F80" s="40"/>
      <c r="G80" s="40"/>
      <c r="H80" s="40"/>
      <c r="I80" s="41"/>
    </row>
    <row r="81" spans="2:10">
      <c r="B81" s="42" t="s">
        <v>141</v>
      </c>
      <c r="C81" s="43"/>
      <c r="D81" s="107">
        <v>200000</v>
      </c>
      <c r="E81" s="43"/>
      <c r="F81" s="43"/>
      <c r="G81" s="43"/>
      <c r="H81" s="43"/>
      <c r="I81" s="44"/>
    </row>
    <row r="82" spans="2:10">
      <c r="B82" s="42" t="s">
        <v>132</v>
      </c>
      <c r="C82" s="43"/>
      <c r="D82" s="108">
        <v>0.4</v>
      </c>
      <c r="E82" s="43"/>
      <c r="F82" s="43"/>
      <c r="G82" s="43"/>
      <c r="H82" s="43"/>
      <c r="I82" s="44"/>
    </row>
    <row r="83" spans="2:10">
      <c r="B83" s="42" t="s">
        <v>217</v>
      </c>
      <c r="C83" s="43"/>
      <c r="D83" s="107">
        <f>D81*0.6+D80</f>
        <v>1670000</v>
      </c>
      <c r="E83" s="43"/>
      <c r="F83" s="43"/>
      <c r="G83" s="43"/>
      <c r="H83" s="43"/>
      <c r="I83" s="44"/>
      <c r="J83" s="130"/>
    </row>
    <row r="84" spans="2:10" ht="15" thickBot="1">
      <c r="B84" s="45"/>
      <c r="C84" s="46"/>
      <c r="D84" s="46"/>
      <c r="E84" s="46"/>
      <c r="F84" s="46"/>
      <c r="G84" s="46"/>
      <c r="H84" s="46"/>
      <c r="I84" s="47"/>
    </row>
    <row r="85" spans="2:10" ht="15" thickBot="1"/>
    <row r="86" spans="2:10">
      <c r="B86" s="5" t="s">
        <v>17</v>
      </c>
      <c r="C86" s="6"/>
      <c r="D86" s="6"/>
      <c r="E86" s="6"/>
      <c r="F86" s="6"/>
      <c r="G86" s="6"/>
      <c r="H86" s="6"/>
      <c r="I86" s="7"/>
    </row>
    <row r="87" spans="2:10" ht="135.75" customHeight="1">
      <c r="B87" s="201" t="s">
        <v>118</v>
      </c>
      <c r="C87" s="202"/>
      <c r="D87" s="202"/>
      <c r="E87" s="202"/>
      <c r="F87" s="202"/>
      <c r="G87" s="202"/>
      <c r="H87" s="202"/>
      <c r="I87" s="203"/>
    </row>
    <row r="88" spans="2:10">
      <c r="B88" s="12" t="s">
        <v>6</v>
      </c>
      <c r="C88" s="105">
        <f>D92</f>
        <v>460000</v>
      </c>
      <c r="D88" s="9"/>
      <c r="E88" s="9"/>
      <c r="F88" s="9"/>
      <c r="G88" s="9"/>
      <c r="H88" s="9"/>
      <c r="I88" s="10"/>
    </row>
    <row r="89" spans="2:10">
      <c r="B89" s="39" t="s">
        <v>218</v>
      </c>
      <c r="C89" s="40"/>
      <c r="D89" s="106">
        <v>460000</v>
      </c>
      <c r="E89" s="40"/>
      <c r="F89" s="40"/>
      <c r="G89" s="40"/>
      <c r="H89" s="40"/>
      <c r="I89" s="41"/>
    </row>
    <row r="90" spans="2:10">
      <c r="B90" s="42" t="s">
        <v>141</v>
      </c>
      <c r="C90" s="43"/>
      <c r="D90" s="107">
        <v>500000</v>
      </c>
      <c r="E90" s="43"/>
      <c r="F90" s="43"/>
      <c r="G90" s="43"/>
      <c r="H90" s="43"/>
      <c r="I90" s="44"/>
    </row>
    <row r="91" spans="2:10">
      <c r="B91" s="42" t="s">
        <v>135</v>
      </c>
      <c r="C91" s="43"/>
      <c r="D91" s="107">
        <v>10000</v>
      </c>
      <c r="E91" s="43"/>
      <c r="F91" s="43"/>
      <c r="G91" s="43"/>
      <c r="H91" s="43"/>
      <c r="I91" s="44"/>
    </row>
    <row r="92" spans="2:10">
      <c r="B92" s="42" t="s">
        <v>219</v>
      </c>
      <c r="C92" s="43"/>
      <c r="D92" s="107">
        <f>D89</f>
        <v>460000</v>
      </c>
      <c r="E92" s="43"/>
      <c r="F92" s="43"/>
      <c r="G92" s="43"/>
      <c r="H92" s="43"/>
      <c r="I92" s="44"/>
    </row>
    <row r="93" spans="2:10">
      <c r="B93" s="42"/>
      <c r="C93" s="43"/>
      <c r="D93" s="107"/>
      <c r="E93" s="43"/>
      <c r="F93" s="43"/>
      <c r="G93" s="43"/>
      <c r="H93" s="43"/>
      <c r="I93" s="44"/>
    </row>
    <row r="94" spans="2:10">
      <c r="B94" s="42"/>
      <c r="C94" s="43"/>
      <c r="D94" s="107"/>
      <c r="E94" s="43"/>
      <c r="F94" s="43"/>
      <c r="G94" s="43"/>
      <c r="H94" s="43"/>
      <c r="I94" s="44"/>
    </row>
    <row r="95" spans="2:10">
      <c r="B95" s="39" t="s">
        <v>220</v>
      </c>
      <c r="C95" s="43"/>
      <c r="D95" s="107"/>
      <c r="E95" s="43"/>
      <c r="F95" s="43"/>
      <c r="G95" s="43"/>
      <c r="H95" s="43"/>
      <c r="I95" s="44"/>
    </row>
    <row r="96" spans="2:10">
      <c r="B96" s="42" t="s">
        <v>221</v>
      </c>
      <c r="C96" s="43"/>
      <c r="D96" s="107"/>
      <c r="E96" s="43"/>
      <c r="F96" s="43"/>
      <c r="G96" s="43"/>
      <c r="H96" s="43"/>
      <c r="I96" s="44"/>
    </row>
    <row r="97" spans="2:9" ht="15" thickBot="1">
      <c r="B97" s="45"/>
      <c r="C97" s="46"/>
      <c r="D97" s="109"/>
      <c r="E97" s="46"/>
      <c r="F97" s="46"/>
      <c r="G97" s="46"/>
      <c r="H97" s="46"/>
      <c r="I97" s="47"/>
    </row>
    <row r="98" spans="2:9" ht="15" thickBot="1"/>
    <row r="99" spans="2:9">
      <c r="B99" s="5" t="s">
        <v>19</v>
      </c>
      <c r="C99" s="6"/>
      <c r="D99" s="6"/>
      <c r="E99" s="6"/>
      <c r="F99" s="6"/>
      <c r="G99" s="6"/>
      <c r="H99" s="6"/>
      <c r="I99" s="7"/>
    </row>
    <row r="100" spans="2:9" ht="103.5" customHeight="1">
      <c r="B100" s="201" t="s">
        <v>21</v>
      </c>
      <c r="C100" s="202"/>
      <c r="D100" s="202"/>
      <c r="E100" s="202"/>
      <c r="F100" s="202"/>
      <c r="G100" s="202"/>
      <c r="H100" s="202"/>
      <c r="I100" s="203"/>
    </row>
    <row r="101" spans="2:9" ht="15.6" customHeight="1">
      <c r="B101" s="94"/>
      <c r="C101" s="95"/>
      <c r="D101" s="95"/>
      <c r="E101" s="95"/>
      <c r="F101" s="95"/>
      <c r="G101" s="95"/>
      <c r="H101" s="95"/>
      <c r="I101" s="96"/>
    </row>
    <row r="102" spans="2:9" ht="13.2" customHeight="1">
      <c r="B102" s="94"/>
      <c r="C102" s="95"/>
      <c r="D102" s="95"/>
      <c r="E102" s="95"/>
      <c r="F102" s="95"/>
      <c r="G102" s="95"/>
      <c r="H102" s="95"/>
      <c r="I102" s="96"/>
    </row>
    <row r="103" spans="2:9">
      <c r="B103" s="12" t="s">
        <v>6</v>
      </c>
      <c r="C103" s="105">
        <f>D106+D107+D108</f>
        <v>249500</v>
      </c>
      <c r="D103" s="9"/>
      <c r="E103" s="9"/>
      <c r="F103" s="9"/>
      <c r="G103" s="9"/>
      <c r="H103" s="9"/>
      <c r="I103" s="10"/>
    </row>
    <row r="104" spans="2:9">
      <c r="B104" s="39"/>
      <c r="C104" s="40"/>
      <c r="D104" s="40"/>
      <c r="E104" s="40"/>
      <c r="F104" s="40"/>
      <c r="G104" s="40"/>
      <c r="H104" s="40"/>
      <c r="I104" s="41"/>
    </row>
    <row r="105" spans="2:9" ht="43.2">
      <c r="B105" s="110"/>
      <c r="C105" s="113" t="s">
        <v>222</v>
      </c>
      <c r="D105" s="112" t="s">
        <v>223</v>
      </c>
      <c r="E105" s="114" t="s">
        <v>224</v>
      </c>
      <c r="F105" s="110"/>
      <c r="G105" s="110"/>
      <c r="H105" s="110"/>
      <c r="I105" s="110"/>
    </row>
    <row r="106" spans="2:9">
      <c r="B106" s="110"/>
      <c r="C106" s="111">
        <f>100000-100000*0.6</f>
        <v>40000</v>
      </c>
      <c r="D106" s="111">
        <f>(100000-40000)/5</f>
        <v>12000</v>
      </c>
      <c r="E106" s="115">
        <f>D106/100000*100</f>
        <v>12</v>
      </c>
      <c r="F106" s="110"/>
      <c r="G106" s="110"/>
      <c r="H106" s="110"/>
      <c r="I106" s="110"/>
    </row>
    <row r="107" spans="2:9">
      <c r="B107" s="110"/>
      <c r="C107" s="111">
        <f>500000-500000*0.9</f>
        <v>50000</v>
      </c>
      <c r="D107" s="111">
        <f>(500000-50000)/3</f>
        <v>150000</v>
      </c>
      <c r="E107" s="115">
        <f>D107/500000*100</f>
        <v>30</v>
      </c>
      <c r="F107" s="110"/>
      <c r="G107" s="110"/>
      <c r="H107" s="110"/>
      <c r="I107" s="110"/>
    </row>
    <row r="108" spans="2:9">
      <c r="B108" s="110"/>
      <c r="C108" s="111">
        <f>350000-350000*0.5</f>
        <v>175000</v>
      </c>
      <c r="D108" s="111">
        <f>(350000-175000)/2</f>
        <v>87500</v>
      </c>
      <c r="E108" s="115">
        <f>D108/350000*100</f>
        <v>25</v>
      </c>
      <c r="F108" s="110"/>
      <c r="G108" s="110"/>
      <c r="H108" s="110"/>
      <c r="I108" s="110"/>
    </row>
    <row r="109" spans="2:9" ht="15" thickBot="1"/>
    <row r="110" spans="2:9">
      <c r="B110" s="5" t="s">
        <v>20</v>
      </c>
      <c r="C110" s="6"/>
      <c r="D110" s="6"/>
      <c r="E110" s="6"/>
      <c r="F110" s="6"/>
      <c r="G110" s="6"/>
      <c r="H110" s="6"/>
      <c r="I110" s="7"/>
    </row>
    <row r="111" spans="2:9" ht="54" customHeight="1">
      <c r="B111" s="201" t="s">
        <v>23</v>
      </c>
      <c r="C111" s="202"/>
      <c r="D111" s="202"/>
      <c r="E111" s="202"/>
      <c r="F111" s="202"/>
      <c r="G111" s="202"/>
      <c r="H111" s="202"/>
      <c r="I111" s="203"/>
    </row>
    <row r="112" spans="2:9">
      <c r="B112" s="12" t="s">
        <v>6</v>
      </c>
      <c r="C112" s="65" t="s">
        <v>240</v>
      </c>
      <c r="D112" s="9"/>
      <c r="E112" s="9"/>
      <c r="F112" s="9"/>
      <c r="G112" s="9"/>
      <c r="H112" s="9"/>
      <c r="I112" s="10"/>
    </row>
    <row r="113" spans="2:9">
      <c r="B113" s="39"/>
      <c r="C113" s="40"/>
      <c r="D113" s="40"/>
      <c r="E113" s="40"/>
      <c r="F113" s="40"/>
      <c r="G113" s="40"/>
      <c r="H113" s="40"/>
      <c r="I113" s="41"/>
    </row>
    <row r="114" spans="2:9">
      <c r="B114" s="42"/>
      <c r="C114" s="43"/>
      <c r="D114" s="43"/>
      <c r="E114" s="43"/>
      <c r="F114" s="43"/>
      <c r="G114" s="43"/>
      <c r="H114" s="43"/>
      <c r="I114" s="44"/>
    </row>
    <row r="115" spans="2:9">
      <c r="B115" s="42"/>
      <c r="C115" s="43"/>
      <c r="D115" s="43"/>
      <c r="E115" s="43"/>
      <c r="F115" s="43"/>
      <c r="G115" s="43"/>
      <c r="H115" s="43"/>
      <c r="I115" s="44"/>
    </row>
    <row r="116" spans="2:9">
      <c r="B116" s="42"/>
      <c r="C116" s="43"/>
      <c r="D116" s="43"/>
      <c r="E116" s="43"/>
      <c r="F116" s="43"/>
      <c r="G116" s="43"/>
      <c r="H116" s="43"/>
      <c r="I116" s="44"/>
    </row>
    <row r="117" spans="2:9" ht="15" thickBot="1">
      <c r="B117" s="45"/>
      <c r="C117" s="46"/>
      <c r="D117" s="46"/>
      <c r="E117" s="46"/>
      <c r="F117" s="46"/>
      <c r="G117" s="46"/>
      <c r="H117" s="46"/>
      <c r="I117" s="47"/>
    </row>
    <row r="119" spans="2:9" ht="15" thickBot="1"/>
    <row r="120" spans="2:9">
      <c r="B120" s="5" t="s">
        <v>22</v>
      </c>
      <c r="C120" s="6"/>
      <c r="D120" s="6"/>
      <c r="E120" s="6"/>
      <c r="F120" s="6"/>
      <c r="G120" s="6"/>
      <c r="H120" s="6"/>
      <c r="I120" s="7"/>
    </row>
    <row r="121" spans="2:9" ht="99" customHeight="1">
      <c r="B121" s="201" t="s">
        <v>26</v>
      </c>
      <c r="C121" s="202"/>
      <c r="D121" s="202"/>
      <c r="E121" s="202"/>
      <c r="F121" s="202"/>
      <c r="G121" s="202"/>
      <c r="H121" s="202"/>
      <c r="I121" s="203"/>
    </row>
    <row r="122" spans="2:9">
      <c r="B122" s="12" t="s">
        <v>6</v>
      </c>
      <c r="C122" s="65" t="s">
        <v>237</v>
      </c>
      <c r="D122" s="9"/>
      <c r="E122" s="9"/>
      <c r="F122" s="9"/>
      <c r="G122" s="9"/>
      <c r="H122" s="9"/>
      <c r="I122" s="10"/>
    </row>
    <row r="123" spans="2:9" ht="43.2">
      <c r="B123" s="116" t="s">
        <v>226</v>
      </c>
      <c r="C123" s="207" t="s">
        <v>236</v>
      </c>
      <c r="D123" s="208"/>
      <c r="E123" s="208"/>
      <c r="F123" s="118"/>
      <c r="G123" s="118"/>
      <c r="H123" s="118"/>
      <c r="I123" s="119"/>
    </row>
    <row r="124" spans="2:9">
      <c r="B124" s="42"/>
      <c r="C124" s="43" t="s">
        <v>225</v>
      </c>
      <c r="D124" s="43"/>
      <c r="E124" s="43"/>
      <c r="F124" s="43"/>
      <c r="G124" s="43"/>
      <c r="H124" s="43"/>
      <c r="I124" s="44"/>
    </row>
    <row r="125" spans="2:9">
      <c r="B125" s="42"/>
      <c r="C125" s="43"/>
      <c r="D125" s="43"/>
      <c r="E125" s="43"/>
      <c r="F125" s="43"/>
      <c r="G125" s="43"/>
      <c r="H125" s="43"/>
      <c r="I125" s="44"/>
    </row>
    <row r="126" spans="2:9">
      <c r="B126" s="42"/>
      <c r="C126" s="43"/>
      <c r="D126" s="43"/>
      <c r="E126" s="43"/>
      <c r="F126" s="43"/>
      <c r="G126" s="43"/>
      <c r="H126" s="43"/>
      <c r="I126" s="44"/>
    </row>
    <row r="127" spans="2:9" ht="15" thickBot="1">
      <c r="B127" s="45"/>
      <c r="C127" s="46"/>
      <c r="D127" s="46"/>
      <c r="E127" s="46"/>
      <c r="F127" s="46"/>
      <c r="G127" s="46"/>
      <c r="H127" s="46"/>
      <c r="I127" s="47"/>
    </row>
    <row r="128" spans="2:9" ht="15" thickBot="1"/>
    <row r="129" spans="2:9">
      <c r="B129" s="5" t="s">
        <v>24</v>
      </c>
      <c r="C129" s="6"/>
      <c r="D129" s="6"/>
      <c r="E129" s="6"/>
      <c r="F129" s="6"/>
      <c r="G129" s="6"/>
      <c r="H129" s="6"/>
      <c r="I129" s="7"/>
    </row>
    <row r="130" spans="2:9" ht="57" customHeight="1">
      <c r="B130" s="201" t="s">
        <v>28</v>
      </c>
      <c r="C130" s="202"/>
      <c r="D130" s="202"/>
      <c r="E130" s="202"/>
      <c r="F130" s="202"/>
      <c r="G130" s="202"/>
      <c r="H130" s="202"/>
      <c r="I130" s="203"/>
    </row>
    <row r="131" spans="2:9">
      <c r="B131" s="12" t="s">
        <v>6</v>
      </c>
      <c r="C131" s="65" t="s">
        <v>235</v>
      </c>
      <c r="D131" s="9"/>
      <c r="E131" s="9"/>
      <c r="F131" s="9"/>
      <c r="G131" s="9"/>
      <c r="H131" s="9"/>
      <c r="I131" s="10"/>
    </row>
    <row r="132" spans="2:9">
      <c r="B132" s="39"/>
      <c r="C132" s="40"/>
      <c r="D132" s="40"/>
      <c r="E132" s="40"/>
      <c r="F132" s="40"/>
      <c r="G132" s="40"/>
      <c r="H132" s="40"/>
      <c r="I132" s="41"/>
    </row>
    <row r="133" spans="2:9">
      <c r="B133" s="204" t="s">
        <v>234</v>
      </c>
      <c r="C133" s="205"/>
      <c r="D133" s="205"/>
      <c r="E133" s="205"/>
      <c r="F133" s="205"/>
      <c r="G133" s="205"/>
      <c r="H133" s="205"/>
      <c r="I133" s="206"/>
    </row>
    <row r="134" spans="2:9">
      <c r="B134" s="42"/>
      <c r="C134" s="43"/>
      <c r="D134" s="43"/>
      <c r="E134" s="43"/>
      <c r="F134" s="43"/>
      <c r="G134" s="43"/>
      <c r="H134" s="43"/>
      <c r="I134" s="44"/>
    </row>
    <row r="135" spans="2:9">
      <c r="B135" s="42"/>
      <c r="C135" s="43"/>
      <c r="D135" s="43"/>
      <c r="E135" s="43"/>
      <c r="F135" s="43"/>
      <c r="G135" s="43"/>
      <c r="H135" s="43"/>
      <c r="I135" s="44"/>
    </row>
    <row r="136" spans="2:9" ht="15" thickBot="1">
      <c r="B136" s="45"/>
      <c r="C136" s="46"/>
      <c r="D136" s="46"/>
      <c r="E136" s="46"/>
      <c r="F136" s="46"/>
      <c r="G136" s="46"/>
      <c r="H136" s="46"/>
      <c r="I136" s="47"/>
    </row>
    <row r="138" spans="2:9" ht="15" thickBot="1"/>
    <row r="139" spans="2:9">
      <c r="B139" s="5" t="s">
        <v>25</v>
      </c>
      <c r="C139" s="6"/>
      <c r="D139" s="6"/>
      <c r="E139" s="6"/>
      <c r="F139" s="6"/>
      <c r="G139" s="6"/>
      <c r="H139" s="6"/>
      <c r="I139" s="7"/>
    </row>
    <row r="140" spans="2:9" ht="69" customHeight="1">
      <c r="B140" s="201" t="s">
        <v>119</v>
      </c>
      <c r="C140" s="202"/>
      <c r="D140" s="202"/>
      <c r="E140" s="202"/>
      <c r="F140" s="202"/>
      <c r="G140" s="202"/>
      <c r="H140" s="202"/>
      <c r="I140" s="203"/>
    </row>
    <row r="141" spans="2:9">
      <c r="B141" s="12" t="s">
        <v>6</v>
      </c>
      <c r="C141" s="65" t="s">
        <v>239</v>
      </c>
      <c r="D141" s="9"/>
      <c r="E141" s="9"/>
      <c r="F141" s="9"/>
      <c r="G141" s="9"/>
      <c r="H141" s="9"/>
      <c r="I141" s="10"/>
    </row>
    <row r="142" spans="2:9">
      <c r="B142" s="39" t="s">
        <v>228</v>
      </c>
      <c r="C142" s="40"/>
      <c r="D142" s="40"/>
      <c r="E142" s="40"/>
      <c r="F142" s="40"/>
      <c r="G142" s="40"/>
      <c r="H142" s="40"/>
      <c r="I142" s="41"/>
    </row>
    <row r="143" spans="2:9">
      <c r="B143" s="42" t="s">
        <v>227</v>
      </c>
      <c r="C143" s="43"/>
      <c r="D143" s="43"/>
      <c r="E143" s="43"/>
      <c r="F143" s="43"/>
      <c r="G143" s="43"/>
      <c r="H143" s="43"/>
      <c r="I143" s="44"/>
    </row>
    <row r="144" spans="2:9">
      <c r="B144" s="42" t="s">
        <v>229</v>
      </c>
      <c r="C144" s="43"/>
      <c r="D144" s="43"/>
      <c r="E144" s="43"/>
      <c r="F144" s="43"/>
      <c r="G144" s="43"/>
      <c r="H144" s="43"/>
      <c r="I144" s="44"/>
    </row>
    <row r="145" spans="2:9">
      <c r="B145" s="42"/>
      <c r="C145" s="43"/>
      <c r="D145" s="43"/>
      <c r="E145" s="43"/>
      <c r="F145" s="43"/>
      <c r="G145" s="43"/>
      <c r="H145" s="43"/>
      <c r="I145" s="44"/>
    </row>
    <row r="146" spans="2:9" ht="15" thickBot="1">
      <c r="B146" s="45"/>
      <c r="C146" s="46"/>
      <c r="D146" s="46"/>
      <c r="E146" s="46"/>
      <c r="F146" s="46"/>
      <c r="G146" s="46"/>
      <c r="H146" s="46"/>
      <c r="I146" s="47"/>
    </row>
    <row r="147" spans="2:9" ht="15" thickBot="1"/>
    <row r="148" spans="2:9">
      <c r="B148" s="5" t="s">
        <v>27</v>
      </c>
      <c r="C148" s="6"/>
      <c r="D148" s="6"/>
      <c r="E148" s="6"/>
      <c r="F148" s="6"/>
      <c r="G148" s="6"/>
      <c r="H148" s="6"/>
      <c r="I148" s="7"/>
    </row>
    <row r="149" spans="2:9" ht="48.75" customHeight="1">
      <c r="B149" s="201" t="s">
        <v>31</v>
      </c>
      <c r="C149" s="202"/>
      <c r="D149" s="202"/>
      <c r="E149" s="202"/>
      <c r="F149" s="202"/>
      <c r="G149" s="202"/>
      <c r="H149" s="202"/>
      <c r="I149" s="203"/>
    </row>
    <row r="150" spans="2:9">
      <c r="B150" s="12" t="s">
        <v>6</v>
      </c>
      <c r="C150" s="65" t="s">
        <v>238</v>
      </c>
      <c r="D150" s="9"/>
      <c r="E150" s="9"/>
      <c r="F150" s="9"/>
      <c r="G150" s="9"/>
      <c r="H150" s="9"/>
      <c r="I150" s="10"/>
    </row>
    <row r="151" spans="2:9">
      <c r="B151" s="39"/>
      <c r="C151" s="40"/>
      <c r="D151" s="40"/>
      <c r="E151" s="40"/>
      <c r="F151" s="40"/>
      <c r="G151" s="40"/>
      <c r="H151" s="40"/>
      <c r="I151" s="41"/>
    </row>
    <row r="152" spans="2:9">
      <c r="B152" s="16" t="s">
        <v>230</v>
      </c>
      <c r="C152" s="43">
        <v>300000</v>
      </c>
      <c r="D152" s="43"/>
      <c r="E152" s="43"/>
      <c r="F152" s="43"/>
      <c r="G152" s="43"/>
      <c r="H152" s="43"/>
      <c r="I152" s="44"/>
    </row>
    <row r="153" spans="2:9" ht="28.8">
      <c r="B153" s="117" t="s">
        <v>232</v>
      </c>
      <c r="C153" s="43">
        <v>1175000</v>
      </c>
      <c r="D153" s="43"/>
      <c r="E153" s="43"/>
      <c r="F153" s="43"/>
      <c r="G153" s="43"/>
      <c r="H153" s="43"/>
      <c r="I153" s="44"/>
    </row>
    <row r="154" spans="2:9">
      <c r="B154" s="42" t="s">
        <v>233</v>
      </c>
      <c r="C154" s="43">
        <f>2000000-1175000-300000</f>
        <v>525000</v>
      </c>
      <c r="D154" s="43"/>
      <c r="E154" s="43"/>
      <c r="F154" s="43"/>
      <c r="G154" s="43"/>
      <c r="H154" s="43"/>
      <c r="I154" s="44"/>
    </row>
    <row r="155" spans="2:9" ht="15" thickBot="1">
      <c r="B155" s="16" t="s">
        <v>231</v>
      </c>
      <c r="C155" s="46">
        <f>2000000</f>
        <v>2000000</v>
      </c>
      <c r="D155" s="46"/>
      <c r="E155" s="46"/>
      <c r="F155" s="46"/>
      <c r="G155" s="46"/>
      <c r="H155" s="46"/>
      <c r="I155" s="47"/>
    </row>
    <row r="156" spans="2:9" ht="15" thickBot="1"/>
    <row r="157" spans="2:9">
      <c r="B157" s="5" t="s">
        <v>29</v>
      </c>
      <c r="C157" s="6"/>
      <c r="D157" s="6"/>
      <c r="E157" s="6"/>
      <c r="F157" s="6"/>
      <c r="G157" s="6"/>
      <c r="H157" s="6"/>
      <c r="I157" s="7"/>
    </row>
    <row r="158" spans="2:9" ht="37.5" customHeight="1">
      <c r="B158" s="201" t="s">
        <v>32</v>
      </c>
      <c r="C158" s="202"/>
      <c r="D158" s="202"/>
      <c r="E158" s="202"/>
      <c r="F158" s="202"/>
      <c r="G158" s="202"/>
      <c r="H158" s="202"/>
      <c r="I158" s="203"/>
    </row>
    <row r="159" spans="2:9" ht="57.6" customHeight="1">
      <c r="B159" s="239" t="s">
        <v>334</v>
      </c>
      <c r="C159" s="237"/>
      <c r="D159" s="237"/>
      <c r="E159" s="237"/>
      <c r="F159" s="237"/>
      <c r="G159" s="237"/>
      <c r="H159" s="237"/>
      <c r="I159" s="238"/>
    </row>
    <row r="160" spans="2:9" ht="84.6" customHeight="1">
      <c r="B160" s="234" t="s">
        <v>333</v>
      </c>
      <c r="C160" s="235"/>
      <c r="D160" s="235"/>
      <c r="E160" s="235"/>
      <c r="F160" s="235"/>
      <c r="G160" s="235"/>
      <c r="H160" s="235"/>
      <c r="I160" s="236"/>
    </row>
    <row r="161" spans="2:9">
      <c r="B161" s="42"/>
      <c r="C161" s="43"/>
      <c r="D161" s="43"/>
      <c r="E161" s="43"/>
      <c r="F161" s="43"/>
      <c r="G161" s="43"/>
      <c r="H161" s="43"/>
      <c r="I161" s="44"/>
    </row>
    <row r="162" spans="2:9">
      <c r="B162" s="42"/>
      <c r="C162" s="43"/>
      <c r="D162" s="43"/>
      <c r="E162" s="43"/>
      <c r="F162" s="43"/>
      <c r="G162" s="43"/>
      <c r="H162" s="43"/>
      <c r="I162" s="44"/>
    </row>
    <row r="163" spans="2:9">
      <c r="B163" s="42"/>
      <c r="C163" s="43"/>
      <c r="D163" s="43"/>
      <c r="E163" s="43"/>
      <c r="F163" s="43"/>
      <c r="G163" s="43"/>
      <c r="H163" s="43"/>
      <c r="I163" s="44"/>
    </row>
    <row r="164" spans="2:9" ht="15" thickBot="1">
      <c r="B164" s="45"/>
      <c r="C164" s="46"/>
      <c r="D164" s="46"/>
      <c r="E164" s="46"/>
      <c r="F164" s="46"/>
      <c r="G164" s="46"/>
      <c r="H164" s="46"/>
      <c r="I164" s="47"/>
    </row>
    <row r="165" spans="2:9" ht="15" thickBot="1"/>
    <row r="166" spans="2:9">
      <c r="B166" s="5" t="s">
        <v>30</v>
      </c>
      <c r="C166" s="6"/>
      <c r="D166" s="6"/>
      <c r="E166" s="6"/>
      <c r="F166" s="6"/>
      <c r="G166" s="6"/>
      <c r="H166" s="6"/>
      <c r="I166" s="7"/>
    </row>
    <row r="167" spans="2:9" ht="20.25" customHeight="1">
      <c r="B167" s="201" t="s">
        <v>33</v>
      </c>
      <c r="C167" s="202"/>
      <c r="D167" s="202"/>
      <c r="E167" s="202"/>
      <c r="F167" s="202"/>
      <c r="G167" s="202"/>
      <c r="H167" s="202"/>
      <c r="I167" s="203"/>
    </row>
    <row r="168" spans="2:9">
      <c r="B168" s="12" t="s">
        <v>6</v>
      </c>
      <c r="C168" s="9"/>
      <c r="D168" s="9"/>
      <c r="E168" s="9"/>
      <c r="F168" s="9"/>
      <c r="G168" s="9"/>
      <c r="H168" s="9"/>
      <c r="I168" s="10"/>
    </row>
    <row r="169" spans="2:9">
      <c r="B169" s="234" t="s">
        <v>335</v>
      </c>
      <c r="C169" s="235"/>
      <c r="D169" s="235"/>
      <c r="E169" s="235"/>
      <c r="F169" s="235"/>
      <c r="G169" s="235"/>
      <c r="H169" s="235"/>
      <c r="I169" s="236"/>
    </row>
    <row r="170" spans="2:9">
      <c r="B170" s="240"/>
      <c r="C170" s="226"/>
      <c r="D170" s="226"/>
      <c r="E170" s="226"/>
      <c r="F170" s="226"/>
      <c r="G170" s="226"/>
      <c r="H170" s="226"/>
      <c r="I170" s="241"/>
    </row>
    <row r="171" spans="2:9">
      <c r="B171" s="42"/>
      <c r="C171" s="43"/>
      <c r="D171" s="43"/>
      <c r="E171" s="43"/>
      <c r="F171" s="43"/>
      <c r="G171" s="43"/>
      <c r="H171" s="43"/>
      <c r="I171" s="44"/>
    </row>
    <row r="172" spans="2:9">
      <c r="B172" s="42"/>
      <c r="C172" s="43"/>
      <c r="D172" s="43"/>
      <c r="E172" s="43"/>
      <c r="F172" s="43"/>
      <c r="G172" s="43"/>
      <c r="H172" s="43"/>
      <c r="I172" s="44"/>
    </row>
    <row r="173" spans="2:9" ht="15" thickBot="1">
      <c r="B173" s="45"/>
      <c r="C173" s="46"/>
      <c r="D173" s="46"/>
      <c r="E173" s="46"/>
      <c r="F173" s="46"/>
      <c r="G173" s="46"/>
      <c r="H173" s="46"/>
      <c r="I173" s="47"/>
    </row>
  </sheetData>
  <mergeCells count="22">
    <mergeCell ref="B169:I170"/>
    <mergeCell ref="B158:I158"/>
    <mergeCell ref="B167:I167"/>
    <mergeCell ref="B121:I121"/>
    <mergeCell ref="B130:I130"/>
    <mergeCell ref="B140:I140"/>
    <mergeCell ref="B149:I149"/>
    <mergeCell ref="B133:I133"/>
    <mergeCell ref="C123:E123"/>
    <mergeCell ref="B160:I160"/>
    <mergeCell ref="B159:I159"/>
    <mergeCell ref="B111:I111"/>
    <mergeCell ref="B5:I5"/>
    <mergeCell ref="B14:I14"/>
    <mergeCell ref="B23:I23"/>
    <mergeCell ref="B32:I32"/>
    <mergeCell ref="B42:I42"/>
    <mergeCell ref="B59:I59"/>
    <mergeCell ref="B68:I68"/>
    <mergeCell ref="B78:I78"/>
    <mergeCell ref="B87:I87"/>
    <mergeCell ref="B100:I100"/>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639B6-1C6A-45D9-AE28-51F7108C5F16}">
  <sheetPr>
    <tabColor rgb="FF7030A0"/>
    <pageSetUpPr fitToPage="1"/>
  </sheetPr>
  <dimension ref="A2:P81"/>
  <sheetViews>
    <sheetView showGridLines="0" topLeftCell="A48" zoomScale="90" zoomScaleNormal="90" workbookViewId="0">
      <selection activeCell="F77" sqref="F77"/>
    </sheetView>
  </sheetViews>
  <sheetFormatPr defaultColWidth="8.77734375" defaultRowHeight="14.4"/>
  <cols>
    <col min="1" max="1" width="14.33203125" customWidth="1"/>
    <col min="2" max="2" width="23.44140625" customWidth="1"/>
    <col min="3" max="3" width="14.6640625" customWidth="1"/>
    <col min="4" max="4" width="18.44140625" customWidth="1"/>
    <col min="5" max="5" width="22.109375" customWidth="1"/>
    <col min="6" max="6" width="18.33203125" customWidth="1"/>
    <col min="7" max="7" width="18.88671875" customWidth="1"/>
    <col min="8" max="8" width="17.109375" customWidth="1"/>
    <col min="9" max="9" width="17.5546875" customWidth="1"/>
    <col min="10" max="10" width="20.21875" customWidth="1"/>
    <col min="11" max="11" width="15.88671875" customWidth="1"/>
    <col min="12" max="12" width="8.77734375" customWidth="1"/>
    <col min="13" max="13" width="16.33203125" customWidth="1"/>
    <col min="14" max="14" width="13.77734375" bestFit="1" customWidth="1"/>
    <col min="15" max="15" width="12.21875" bestFit="1" customWidth="1"/>
  </cols>
  <sheetData>
    <row r="2" spans="2:16">
      <c r="B2" t="s">
        <v>161</v>
      </c>
      <c r="J2" s="13"/>
      <c r="K2" s="13"/>
      <c r="L2" s="13"/>
      <c r="M2" s="13"/>
      <c r="N2" s="13"/>
      <c r="O2" s="13"/>
      <c r="P2" s="13"/>
    </row>
    <row r="3" spans="2:16" ht="28.8">
      <c r="B3" s="13" t="s">
        <v>53</v>
      </c>
      <c r="C3" s="53" t="s">
        <v>54</v>
      </c>
      <c r="D3" s="120" t="s">
        <v>55</v>
      </c>
      <c r="E3" s="13" t="s">
        <v>242</v>
      </c>
      <c r="F3" s="124" t="s">
        <v>243</v>
      </c>
      <c r="G3" s="148" t="s">
        <v>262</v>
      </c>
      <c r="H3" s="13"/>
      <c r="J3" s="13"/>
      <c r="K3" s="13"/>
      <c r="L3" s="13"/>
      <c r="M3" s="13"/>
      <c r="N3" s="13"/>
      <c r="O3" s="13"/>
      <c r="P3" s="13"/>
    </row>
    <row r="4" spans="2:16">
      <c r="B4" s="16" t="s">
        <v>56</v>
      </c>
      <c r="C4" s="49">
        <v>3000</v>
      </c>
      <c r="D4" s="121">
        <v>15000</v>
      </c>
      <c r="E4" s="13">
        <f>D4*C4</f>
        <v>45000000</v>
      </c>
      <c r="F4" s="125">
        <f>3200*D4*1.2</f>
        <v>57600000</v>
      </c>
      <c r="G4" s="144">
        <f>SUMPRODUCT(C12:C17*C21:C26*C4)</f>
        <v>24450000</v>
      </c>
      <c r="H4" s="13"/>
      <c r="J4" s="144">
        <f>SUMPRODUCT(C12:C17*C21:C26*3200+D12:D17*C21:C26*1800+E12:E17*C21:C26*1000)</f>
        <v>54115000</v>
      </c>
      <c r="K4" s="145">
        <f>I18-J4</f>
        <v>0</v>
      </c>
      <c r="L4" s="13"/>
      <c r="M4" s="13"/>
      <c r="N4" s="13"/>
      <c r="O4" s="13"/>
      <c r="P4" s="13"/>
    </row>
    <row r="5" spans="2:16">
      <c r="B5" s="16" t="s">
        <v>57</v>
      </c>
      <c r="C5" s="49">
        <v>2000</v>
      </c>
      <c r="D5" s="121">
        <v>10000</v>
      </c>
      <c r="E5" s="13">
        <f t="shared" ref="E5:E6" si="0">D5*C5</f>
        <v>20000000</v>
      </c>
      <c r="F5" s="125">
        <f>1800*D5*1.2</f>
        <v>21600000</v>
      </c>
      <c r="G5" s="144">
        <f>SUMPRODUCT(D12:D17*C21:C26*C5)</f>
        <v>17150000</v>
      </c>
      <c r="H5" s="144"/>
      <c r="J5" s="13"/>
      <c r="K5" s="13"/>
      <c r="L5" s="13"/>
      <c r="M5" s="13"/>
      <c r="N5" s="13"/>
      <c r="O5" s="13"/>
      <c r="P5" s="13"/>
    </row>
    <row r="6" spans="2:16">
      <c r="B6" s="18" t="s">
        <v>58</v>
      </c>
      <c r="C6" s="51">
        <v>1000</v>
      </c>
      <c r="D6" s="122">
        <v>12000</v>
      </c>
      <c r="E6" s="13">
        <f t="shared" si="0"/>
        <v>12000000</v>
      </c>
      <c r="F6" s="125">
        <f>1000*D6*1.2</f>
        <v>14400000</v>
      </c>
      <c r="G6" s="144">
        <f>SUMPRODUCT(E12:E17*C21:C26*C6)</f>
        <v>12600000</v>
      </c>
      <c r="H6" s="144"/>
      <c r="J6" s="13"/>
      <c r="K6" s="13"/>
      <c r="L6" s="13"/>
      <c r="M6" s="13"/>
      <c r="N6" s="13"/>
      <c r="O6" s="13"/>
      <c r="P6" s="13"/>
    </row>
    <row r="7" spans="2:16">
      <c r="B7" s="9"/>
      <c r="C7" s="17"/>
      <c r="D7" s="17"/>
      <c r="E7" s="123">
        <f>E4+E5+E6</f>
        <v>77000000</v>
      </c>
      <c r="F7" s="125">
        <f>F4+F5+F6</f>
        <v>93600000</v>
      </c>
      <c r="G7" s="144">
        <f>SUM(G4:G6)</f>
        <v>54200000</v>
      </c>
      <c r="H7" s="150">
        <f>F7*0.005</f>
        <v>468000</v>
      </c>
      <c r="I7" s="99">
        <v>38669000</v>
      </c>
      <c r="J7" s="13"/>
      <c r="K7" s="13"/>
      <c r="L7" s="13"/>
      <c r="M7" s="13"/>
      <c r="N7" s="13"/>
      <c r="O7" s="13"/>
      <c r="P7" s="13"/>
    </row>
    <row r="8" spans="2:16">
      <c r="B8" s="19" t="s">
        <v>162</v>
      </c>
      <c r="J8" s="13"/>
      <c r="K8" s="13"/>
      <c r="L8" s="13"/>
      <c r="M8" s="13"/>
      <c r="N8" s="13"/>
      <c r="O8" s="13"/>
      <c r="P8" s="13"/>
    </row>
    <row r="9" spans="2:16">
      <c r="B9" s="19"/>
      <c r="J9" s="13"/>
      <c r="K9" s="13"/>
      <c r="L9" s="13"/>
      <c r="M9" s="13"/>
      <c r="N9" s="13"/>
      <c r="O9" s="13"/>
      <c r="P9" s="13"/>
    </row>
    <row r="10" spans="2:16">
      <c r="B10" s="19" t="s">
        <v>107</v>
      </c>
      <c r="J10" s="13"/>
      <c r="K10" s="13"/>
      <c r="L10" s="13"/>
      <c r="M10" s="13"/>
      <c r="N10" s="13"/>
      <c r="O10" s="13"/>
      <c r="P10" s="13"/>
    </row>
    <row r="11" spans="2:16">
      <c r="B11" s="13"/>
      <c r="C11" s="60" t="s">
        <v>59</v>
      </c>
      <c r="D11" s="60" t="s">
        <v>60</v>
      </c>
      <c r="E11" s="54" t="s">
        <v>61</v>
      </c>
      <c r="F11" s="143">
        <f>F17+F16+F15+F14+F13+F12</f>
        <v>28425</v>
      </c>
      <c r="G11" s="99"/>
      <c r="I11" s="77"/>
      <c r="J11" s="13"/>
      <c r="K11" s="13"/>
      <c r="L11" s="13"/>
      <c r="M11" s="13"/>
      <c r="N11" s="13"/>
      <c r="O11" s="13"/>
      <c r="P11" s="13"/>
    </row>
    <row r="12" spans="2:16">
      <c r="B12" s="16" t="s">
        <v>62</v>
      </c>
      <c r="C12" s="57">
        <v>10</v>
      </c>
      <c r="D12" s="57">
        <v>5</v>
      </c>
      <c r="E12" s="50">
        <f>12</f>
        <v>12</v>
      </c>
      <c r="F12">
        <f>(C12+D12)*C21</f>
        <v>1125</v>
      </c>
      <c r="G12" s="99">
        <f>F12*(3200+1800)</f>
        <v>5625000</v>
      </c>
      <c r="H12" s="76"/>
      <c r="I12" s="77"/>
      <c r="J12" s="13"/>
      <c r="K12" s="13"/>
      <c r="L12" s="13"/>
      <c r="M12" s="13"/>
      <c r="N12" s="13"/>
      <c r="O12" s="13"/>
      <c r="P12" s="13"/>
    </row>
    <row r="13" spans="2:16">
      <c r="B13" s="16" t="s">
        <v>63</v>
      </c>
      <c r="C13" s="57">
        <v>10</v>
      </c>
      <c r="D13" s="57">
        <v>12</v>
      </c>
      <c r="E13" s="50">
        <v>12</v>
      </c>
      <c r="F13">
        <f>(C13+D13+E13)*C22</f>
        <v>3400</v>
      </c>
      <c r="G13" s="99">
        <f>F13*(3200+1800+1000)</f>
        <v>20400000</v>
      </c>
      <c r="H13" s="76"/>
      <c r="I13" s="77"/>
      <c r="J13" s="13"/>
      <c r="K13" s="13"/>
      <c r="L13" s="13"/>
      <c r="M13" s="13"/>
      <c r="N13" s="13"/>
      <c r="O13" s="13"/>
      <c r="P13" s="13"/>
    </row>
    <row r="14" spans="2:16">
      <c r="B14" s="16" t="s">
        <v>64</v>
      </c>
      <c r="C14" s="57">
        <v>40</v>
      </c>
      <c r="D14" s="57">
        <v>30</v>
      </c>
      <c r="E14" s="50">
        <v>60</v>
      </c>
      <c r="F14">
        <f>(C14+D14+E14)*C23</f>
        <v>19500</v>
      </c>
      <c r="G14" s="99">
        <f>F14*(3200+1800+1000)</f>
        <v>117000000</v>
      </c>
      <c r="J14" s="13"/>
      <c r="K14" s="13"/>
      <c r="L14" s="13"/>
      <c r="M14" s="13"/>
      <c r="N14" s="13"/>
      <c r="O14" s="13"/>
      <c r="P14" s="13"/>
    </row>
    <row r="15" spans="2:16">
      <c r="B15" s="16" t="s">
        <v>65</v>
      </c>
      <c r="C15" s="57">
        <v>0</v>
      </c>
      <c r="D15" s="57">
        <v>20</v>
      </c>
      <c r="E15" s="50">
        <f>0</f>
        <v>0</v>
      </c>
      <c r="F15">
        <f>(C15+D15+E15)*C24</f>
        <v>2500</v>
      </c>
      <c r="G15" s="99">
        <f>F15*1800</f>
        <v>4500000</v>
      </c>
      <c r="J15" s="13"/>
      <c r="K15" s="13"/>
      <c r="L15" s="13"/>
      <c r="M15" s="13"/>
      <c r="N15" s="13"/>
      <c r="O15" s="13"/>
      <c r="P15" s="13"/>
    </row>
    <row r="16" spans="2:16">
      <c r="B16" s="16" t="s">
        <v>66</v>
      </c>
      <c r="C16" s="57">
        <v>0</v>
      </c>
      <c r="D16" s="57">
        <v>0</v>
      </c>
      <c r="E16" s="50">
        <v>30</v>
      </c>
      <c r="F16" s="77">
        <f>30*C25</f>
        <v>1500</v>
      </c>
      <c r="G16" s="99">
        <f>1500*1000</f>
        <v>1500000</v>
      </c>
      <c r="J16" s="13"/>
      <c r="K16" s="13"/>
      <c r="L16" s="13"/>
      <c r="M16" s="13"/>
      <c r="N16" s="13"/>
      <c r="O16" s="13"/>
      <c r="P16" s="13"/>
    </row>
    <row r="17" spans="1:16" ht="43.2">
      <c r="B17" s="18" t="s">
        <v>67</v>
      </c>
      <c r="C17" s="58">
        <v>4</v>
      </c>
      <c r="D17" s="58">
        <v>0</v>
      </c>
      <c r="E17" s="52">
        <f>0</f>
        <v>0</v>
      </c>
      <c r="F17" s="77">
        <f>C17*100</f>
        <v>400</v>
      </c>
      <c r="G17" s="99">
        <f>F17*3200</f>
        <v>1280000</v>
      </c>
      <c r="I17" s="129" t="s">
        <v>259</v>
      </c>
      <c r="J17" s="13"/>
      <c r="K17" s="13"/>
      <c r="L17" s="13"/>
      <c r="M17" s="13"/>
      <c r="N17" s="13"/>
      <c r="O17" s="13"/>
      <c r="P17" s="13"/>
    </row>
    <row r="18" spans="1:16" ht="28.8">
      <c r="B18" s="127" t="s">
        <v>244</v>
      </c>
      <c r="C18" s="17">
        <f>SUMPRODUCT(C12:C17*C21:C26)</f>
        <v>8150</v>
      </c>
      <c r="D18" s="17">
        <f>SUMPRODUCT(D12:D17*C21:C26)</f>
        <v>8575</v>
      </c>
      <c r="E18" s="126">
        <f>E13*C22+E14*C23+E16*C25+E12*C21</f>
        <v>12600</v>
      </c>
      <c r="F18" s="77">
        <f>C18*3200</f>
        <v>26080000</v>
      </c>
      <c r="G18" s="77">
        <f>D18*1800</f>
        <v>15435000</v>
      </c>
      <c r="H18" s="77">
        <f>E18*1000</f>
        <v>12600000</v>
      </c>
      <c r="I18" s="128">
        <f>F18+G18+H18</f>
        <v>54115000</v>
      </c>
      <c r="J18" s="145">
        <f>1.02*I18</f>
        <v>55197300</v>
      </c>
      <c r="K18" s="145">
        <f>0.03*J18</f>
        <v>1655919</v>
      </c>
      <c r="L18" s="13"/>
      <c r="M18" s="13"/>
      <c r="N18" s="13"/>
      <c r="O18" s="13"/>
      <c r="P18" s="13"/>
    </row>
    <row r="19" spans="1:16">
      <c r="A19" s="9"/>
      <c r="B19" s="20" t="s">
        <v>163</v>
      </c>
      <c r="J19" s="145">
        <f>J18-I18</f>
        <v>1082300</v>
      </c>
      <c r="K19" s="13"/>
      <c r="L19" s="13"/>
      <c r="M19" s="13"/>
      <c r="N19" s="13"/>
      <c r="O19" s="13"/>
      <c r="P19" s="13"/>
    </row>
    <row r="20" spans="1:16">
      <c r="B20" s="13"/>
      <c r="C20" s="54"/>
      <c r="D20" t="s">
        <v>260</v>
      </c>
      <c r="E20" t="s">
        <v>261</v>
      </c>
      <c r="J20" s="13"/>
      <c r="K20" s="13"/>
      <c r="L20" s="13"/>
      <c r="M20" s="13"/>
      <c r="N20" s="13"/>
      <c r="O20" s="13"/>
      <c r="P20" s="13"/>
    </row>
    <row r="21" spans="1:16">
      <c r="B21" s="16" t="s">
        <v>68</v>
      </c>
      <c r="C21" s="50">
        <v>75</v>
      </c>
      <c r="D21" s="147">
        <f>10*3200+5*1800</f>
        <v>41000</v>
      </c>
      <c r="E21" s="99">
        <f>C21*D21</f>
        <v>3075000</v>
      </c>
    </row>
    <row r="22" spans="1:16">
      <c r="B22" s="16" t="s">
        <v>69</v>
      </c>
      <c r="C22" s="50">
        <v>100</v>
      </c>
      <c r="D22" s="77">
        <f>C13*3200+D13*1800+E13*1000</f>
        <v>65600</v>
      </c>
      <c r="E22" s="99">
        <f t="shared" ref="E22:E26" si="1">C22*D22</f>
        <v>6560000</v>
      </c>
      <c r="G22">
        <f>C22*E13+C23*E14+C25*E16</f>
        <v>11700</v>
      </c>
    </row>
    <row r="23" spans="1:16">
      <c r="B23" s="16" t="s">
        <v>159</v>
      </c>
      <c r="C23" s="50">
        <v>150</v>
      </c>
      <c r="D23" s="77">
        <f>C14*3200+D14*1800+E14*1000</f>
        <v>242000</v>
      </c>
      <c r="E23" s="99">
        <f t="shared" si="1"/>
        <v>36300000</v>
      </c>
    </row>
    <row r="24" spans="1:16">
      <c r="B24" s="16" t="s">
        <v>70</v>
      </c>
      <c r="C24" s="50">
        <v>125</v>
      </c>
      <c r="D24" s="77">
        <f>D15*1800</f>
        <v>36000</v>
      </c>
      <c r="E24" s="99">
        <f t="shared" si="1"/>
        <v>4500000</v>
      </c>
    </row>
    <row r="25" spans="1:16">
      <c r="B25" s="16" t="s">
        <v>71</v>
      </c>
      <c r="C25" s="50">
        <v>50</v>
      </c>
      <c r="D25" s="77">
        <f>E16*1000</f>
        <v>30000</v>
      </c>
      <c r="E25" s="99">
        <f t="shared" si="1"/>
        <v>1500000</v>
      </c>
    </row>
    <row r="26" spans="1:16">
      <c r="B26" s="18" t="s">
        <v>72</v>
      </c>
      <c r="C26" s="52">
        <v>100</v>
      </c>
      <c r="D26" s="77">
        <f>C17*3200</f>
        <v>12800</v>
      </c>
      <c r="E26" s="99">
        <f t="shared" si="1"/>
        <v>1280000</v>
      </c>
    </row>
    <row r="27" spans="1:16">
      <c r="B27" s="19" t="s">
        <v>164</v>
      </c>
      <c r="E27" s="99">
        <f>SUM(E21:E26)</f>
        <v>53215000</v>
      </c>
    </row>
    <row r="28" spans="1:16">
      <c r="B28" s="19"/>
    </row>
    <row r="29" spans="1:16">
      <c r="B29" s="19" t="s">
        <v>165</v>
      </c>
    </row>
    <row r="30" spans="1:16">
      <c r="B30" t="s">
        <v>171</v>
      </c>
    </row>
    <row r="31" spans="1:16" ht="43.2">
      <c r="A31" t="s">
        <v>263</v>
      </c>
      <c r="B31">
        <f>(500000-500000*0.6)/4</f>
        <v>50000</v>
      </c>
      <c r="J31" s="129" t="s">
        <v>247</v>
      </c>
      <c r="K31" t="s">
        <v>248</v>
      </c>
      <c r="L31" s="129" t="s">
        <v>249</v>
      </c>
      <c r="M31" s="129" t="s">
        <v>250</v>
      </c>
      <c r="N31" s="129" t="s">
        <v>251</v>
      </c>
      <c r="O31" s="129" t="s">
        <v>252</v>
      </c>
      <c r="P31" s="129" t="s">
        <v>253</v>
      </c>
    </row>
    <row r="32" spans="1:16">
      <c r="B32" t="s">
        <v>108</v>
      </c>
      <c r="J32">
        <f>10*5000*12</f>
        <v>600000</v>
      </c>
      <c r="K32">
        <f>(12000+7000*9)*12</f>
        <v>900000</v>
      </c>
      <c r="L32">
        <f>C36*D36*12</f>
        <v>216000</v>
      </c>
      <c r="M32">
        <f>15000000</f>
        <v>15000000</v>
      </c>
      <c r="N32" s="99">
        <f>0.05*I7</f>
        <v>1933450</v>
      </c>
      <c r="O32" s="99">
        <f>0.01*F7</f>
        <v>936000</v>
      </c>
      <c r="P32">
        <f>1200000</f>
        <v>1200000</v>
      </c>
    </row>
    <row r="33" spans="2:12">
      <c r="B33" t="s">
        <v>120</v>
      </c>
      <c r="L33">
        <f>C37*D37*12</f>
        <v>120000</v>
      </c>
    </row>
    <row r="34" spans="2:12">
      <c r="B34" t="s">
        <v>112</v>
      </c>
    </row>
    <row r="35" spans="2:12">
      <c r="B35" s="13"/>
      <c r="C35" s="60" t="s">
        <v>73</v>
      </c>
      <c r="D35" s="54" t="s">
        <v>74</v>
      </c>
    </row>
    <row r="36" spans="2:12">
      <c r="B36" s="16" t="s">
        <v>75</v>
      </c>
      <c r="C36" s="57">
        <v>300</v>
      </c>
      <c r="D36" s="50">
        <v>60</v>
      </c>
    </row>
    <row r="37" spans="2:12">
      <c r="B37" s="18" t="s">
        <v>76</v>
      </c>
      <c r="C37" s="58">
        <v>100</v>
      </c>
      <c r="D37" s="52">
        <v>100</v>
      </c>
    </row>
    <row r="38" spans="2:12">
      <c r="B38" s="9"/>
      <c r="C38" s="17"/>
      <c r="D38" s="17"/>
    </row>
    <row r="39" spans="2:12">
      <c r="B39" s="21" t="s">
        <v>166</v>
      </c>
    </row>
    <row r="40" spans="2:12">
      <c r="B40" s="21" t="s">
        <v>110</v>
      </c>
    </row>
    <row r="41" spans="2:12">
      <c r="B41" s="21" t="s">
        <v>121</v>
      </c>
    </row>
    <row r="42" spans="2:12">
      <c r="B42" s="134" t="s">
        <v>173</v>
      </c>
      <c r="C42" s="135"/>
      <c r="D42" s="135"/>
      <c r="E42" s="135"/>
    </row>
    <row r="43" spans="2:12">
      <c r="B43" s="21"/>
    </row>
    <row r="44" spans="2:12" ht="43.2">
      <c r="B44" t="s">
        <v>167</v>
      </c>
      <c r="I44" s="136" t="s">
        <v>256</v>
      </c>
      <c r="J44" s="129" t="s">
        <v>271</v>
      </c>
      <c r="K44" s="137" t="s">
        <v>257</v>
      </c>
    </row>
    <row r="45" spans="2:12">
      <c r="B45" t="s">
        <v>172</v>
      </c>
      <c r="I45" s="138">
        <f>500000*0.05/2</f>
        <v>12500</v>
      </c>
      <c r="J45" s="99">
        <f>F70*0.04</f>
        <v>12000</v>
      </c>
      <c r="K45" s="138">
        <f>0.06*F72</f>
        <v>300000</v>
      </c>
    </row>
    <row r="46" spans="2:12">
      <c r="B46" t="s">
        <v>113</v>
      </c>
    </row>
    <row r="48" spans="2:12">
      <c r="B48" t="s">
        <v>168</v>
      </c>
    </row>
    <row r="49" spans="2:15" ht="57.6">
      <c r="B49" s="13" t="s">
        <v>225</v>
      </c>
      <c r="C49" s="55" t="s">
        <v>77</v>
      </c>
      <c r="D49" s="55" t="s">
        <v>78</v>
      </c>
      <c r="E49" s="55" t="s">
        <v>79</v>
      </c>
      <c r="F49" s="55" t="s">
        <v>222</v>
      </c>
      <c r="G49" s="139" t="s">
        <v>254</v>
      </c>
      <c r="H49" s="140" t="s">
        <v>258</v>
      </c>
      <c r="I49" s="13"/>
      <c r="J49" s="55" t="s">
        <v>77</v>
      </c>
      <c r="K49" s="55" t="s">
        <v>78</v>
      </c>
      <c r="L49" s="55" t="s">
        <v>79</v>
      </c>
      <c r="M49" s="55" t="s">
        <v>222</v>
      </c>
      <c r="N49" s="132" t="s">
        <v>254</v>
      </c>
      <c r="O49" s="131" t="s">
        <v>255</v>
      </c>
    </row>
    <row r="50" spans="2:15">
      <c r="B50" s="22" t="s">
        <v>81</v>
      </c>
      <c r="C50" s="56">
        <v>2500000</v>
      </c>
      <c r="D50" s="56">
        <v>5</v>
      </c>
      <c r="E50" s="56">
        <v>2017</v>
      </c>
      <c r="F50" s="56">
        <v>1500000</v>
      </c>
      <c r="G50" s="133">
        <f>(C50-F50)/5</f>
        <v>200000</v>
      </c>
      <c r="H50" s="141">
        <f>G50*3</f>
        <v>600000</v>
      </c>
      <c r="I50" s="22" t="s">
        <v>81</v>
      </c>
      <c r="J50" s="56">
        <v>2500000</v>
      </c>
      <c r="K50" s="56">
        <v>5</v>
      </c>
      <c r="L50" s="56">
        <v>2017</v>
      </c>
      <c r="M50" s="56">
        <v>1500000</v>
      </c>
      <c r="N50" s="133">
        <f>(J50-M50)/5</f>
        <v>200000</v>
      </c>
      <c r="O50" s="77">
        <f>N50*2</f>
        <v>400000</v>
      </c>
    </row>
    <row r="51" spans="2:15">
      <c r="B51" s="16" t="s">
        <v>82</v>
      </c>
      <c r="C51" s="57">
        <v>2000000</v>
      </c>
      <c r="D51" s="57">
        <v>5</v>
      </c>
      <c r="E51" s="57">
        <v>2018</v>
      </c>
      <c r="F51" s="57">
        <v>1000000</v>
      </c>
      <c r="G51" s="133">
        <f t="shared" ref="G51:G52" si="2">(C51-F51)/5</f>
        <v>200000</v>
      </c>
      <c r="H51" s="141">
        <f>G51*2</f>
        <v>400000</v>
      </c>
      <c r="I51" s="16" t="s">
        <v>82</v>
      </c>
      <c r="J51" s="57">
        <v>2000000</v>
      </c>
      <c r="K51" s="57">
        <v>5</v>
      </c>
      <c r="L51" s="57">
        <v>2018</v>
      </c>
      <c r="M51" s="57">
        <v>1000000</v>
      </c>
      <c r="N51" s="133">
        <f t="shared" ref="N51:N52" si="3">(J51-M51)/5</f>
        <v>200000</v>
      </c>
      <c r="O51" s="77">
        <f>N51*1</f>
        <v>200000</v>
      </c>
    </row>
    <row r="52" spans="2:15">
      <c r="B52" s="16" t="s">
        <v>83</v>
      </c>
      <c r="C52" s="57">
        <v>5000000</v>
      </c>
      <c r="D52" s="57">
        <v>5</v>
      </c>
      <c r="E52" s="57">
        <v>2016</v>
      </c>
      <c r="F52" s="57">
        <v>2000000</v>
      </c>
      <c r="G52" s="133">
        <f t="shared" si="2"/>
        <v>600000</v>
      </c>
      <c r="H52" s="141">
        <f>G52*4</f>
        <v>2400000</v>
      </c>
      <c r="I52" s="16" t="s">
        <v>83</v>
      </c>
      <c r="J52" s="57">
        <v>5000000</v>
      </c>
      <c r="K52" s="57">
        <v>5</v>
      </c>
      <c r="L52" s="57">
        <v>2016</v>
      </c>
      <c r="M52" s="57">
        <v>2000000</v>
      </c>
      <c r="N52" s="133">
        <f t="shared" si="3"/>
        <v>600000</v>
      </c>
      <c r="O52" s="77">
        <f>N52*3</f>
        <v>1800000</v>
      </c>
    </row>
    <row r="53" spans="2:15">
      <c r="B53" s="18" t="s">
        <v>84</v>
      </c>
      <c r="C53" s="58">
        <v>3000000</v>
      </c>
      <c r="D53" s="58">
        <v>4</v>
      </c>
      <c r="E53" s="58">
        <v>2017</v>
      </c>
      <c r="F53" s="58">
        <v>0</v>
      </c>
      <c r="G53" s="133">
        <f>(C53-F53)/4</f>
        <v>750000</v>
      </c>
      <c r="H53" s="141">
        <f>G53*3</f>
        <v>2250000</v>
      </c>
      <c r="I53" s="18" t="s">
        <v>84</v>
      </c>
      <c r="J53" s="58">
        <v>3000000</v>
      </c>
      <c r="K53" s="58">
        <v>4</v>
      </c>
      <c r="L53" s="58">
        <v>2017</v>
      </c>
      <c r="M53" s="58">
        <v>0</v>
      </c>
      <c r="N53" s="133">
        <f>(J53-M53)/4</f>
        <v>750000</v>
      </c>
      <c r="O53" s="77">
        <f>N53*2</f>
        <v>1500000</v>
      </c>
    </row>
    <row r="54" spans="2:15">
      <c r="B54" s="18" t="s">
        <v>3</v>
      </c>
      <c r="C54" s="58">
        <f>SUM(C50:C53)</f>
        <v>12500000</v>
      </c>
      <c r="D54" s="59"/>
      <c r="E54" s="59"/>
      <c r="F54" s="59"/>
      <c r="G54" s="133">
        <f>G50+G51+G52+G53</f>
        <v>1750000</v>
      </c>
      <c r="H54" s="142">
        <f>H50+H51+H52+G53*3</f>
        <v>5650000</v>
      </c>
      <c r="I54" s="18" t="s">
        <v>3</v>
      </c>
      <c r="J54" s="58">
        <f>SUM(J50:J53)</f>
        <v>12500000</v>
      </c>
      <c r="K54" s="59"/>
      <c r="L54" s="59"/>
      <c r="M54" s="59"/>
      <c r="N54" s="133">
        <f>N50+N51+N52+N53</f>
        <v>1750000</v>
      </c>
      <c r="O54" s="77">
        <f>O50+O51+O52+N53*2</f>
        <v>3900000</v>
      </c>
    </row>
    <row r="55" spans="2:15">
      <c r="B55" t="s">
        <v>111</v>
      </c>
    </row>
    <row r="57" spans="2:15">
      <c r="B57" t="s">
        <v>176</v>
      </c>
    </row>
    <row r="58" spans="2:15">
      <c r="B58" t="s">
        <v>177</v>
      </c>
    </row>
    <row r="59" spans="2:15">
      <c r="B59" t="s">
        <v>169</v>
      </c>
    </row>
    <row r="60" spans="2:15">
      <c r="B60" t="s">
        <v>109</v>
      </c>
    </row>
    <row r="61" spans="2:15">
      <c r="B61" t="s">
        <v>178</v>
      </c>
    </row>
    <row r="63" spans="2:15">
      <c r="B63" t="s">
        <v>114</v>
      </c>
    </row>
    <row r="65" spans="2:11">
      <c r="B65" t="s">
        <v>170</v>
      </c>
    </row>
    <row r="67" spans="2:11">
      <c r="B67" s="31" t="s">
        <v>85</v>
      </c>
      <c r="C67" s="13"/>
      <c r="D67" s="13"/>
      <c r="E67" s="13"/>
      <c r="F67" s="13"/>
      <c r="G67" s="13"/>
      <c r="H67" s="13"/>
      <c r="I67" s="13"/>
      <c r="J67" s="13"/>
      <c r="K67" s="13"/>
    </row>
    <row r="68" spans="2:11">
      <c r="B68" s="31" t="s">
        <v>86</v>
      </c>
      <c r="C68" s="13"/>
      <c r="D68" s="13"/>
      <c r="E68" s="13" t="s">
        <v>87</v>
      </c>
      <c r="F68" s="13"/>
      <c r="G68" s="13"/>
      <c r="H68" s="13"/>
      <c r="I68" s="13"/>
      <c r="J68" s="13"/>
      <c r="K68" s="13"/>
    </row>
    <row r="69" spans="2:11">
      <c r="B69" s="27" t="s">
        <v>88</v>
      </c>
      <c r="C69" s="149">
        <f>841666.66666667+50000</f>
        <v>891666.66666667</v>
      </c>
      <c r="D69" s="13"/>
      <c r="E69" s="13" t="s">
        <v>89</v>
      </c>
      <c r="F69" s="149">
        <v>300000</v>
      </c>
      <c r="G69" s="13"/>
      <c r="H69" s="13"/>
      <c r="I69" s="13"/>
      <c r="J69" s="13"/>
      <c r="K69" s="13"/>
    </row>
    <row r="70" spans="2:11">
      <c r="B70" s="27" t="s">
        <v>90</v>
      </c>
      <c r="C70" s="149">
        <v>350000</v>
      </c>
      <c r="D70" s="13"/>
      <c r="E70" s="13" t="s">
        <v>91</v>
      </c>
      <c r="F70" s="149">
        <v>300000</v>
      </c>
      <c r="G70" s="13"/>
      <c r="H70" s="13"/>
      <c r="I70" s="13"/>
      <c r="J70" s="13"/>
      <c r="K70" s="13"/>
    </row>
    <row r="71" spans="2:11">
      <c r="B71" s="27" t="s">
        <v>92</v>
      </c>
      <c r="C71" s="149">
        <v>415000</v>
      </c>
      <c r="D71" s="13"/>
      <c r="E71" s="13" t="s">
        <v>93</v>
      </c>
      <c r="F71" s="149">
        <f>F69+F70</f>
        <v>600000</v>
      </c>
      <c r="G71" s="13"/>
      <c r="H71" s="13"/>
      <c r="I71" s="13"/>
      <c r="J71" s="13"/>
      <c r="K71" s="13"/>
    </row>
    <row r="72" spans="2:11">
      <c r="B72" s="29" t="s">
        <v>94</v>
      </c>
      <c r="C72" s="149">
        <f>SUMPRODUCT(C36:C37,D36:D37)</f>
        <v>28000</v>
      </c>
      <c r="D72" s="13"/>
      <c r="E72" s="13" t="s">
        <v>95</v>
      </c>
      <c r="F72" s="149">
        <v>5000000</v>
      </c>
      <c r="G72" s="13"/>
      <c r="H72" s="13"/>
      <c r="I72" s="13"/>
      <c r="J72" s="13"/>
      <c r="K72" s="13"/>
    </row>
    <row r="73" spans="2:11">
      <c r="B73" s="27" t="s">
        <v>96</v>
      </c>
      <c r="C73" s="149">
        <f>SUM(C69:C72)</f>
        <v>1684666.66666667</v>
      </c>
      <c r="D73" s="13"/>
      <c r="E73" s="13" t="s">
        <v>97</v>
      </c>
      <c r="F73" s="149">
        <f>F71+F72</f>
        <v>5600000</v>
      </c>
      <c r="G73" s="13"/>
      <c r="H73" s="13"/>
      <c r="I73" s="13"/>
      <c r="J73" s="13"/>
      <c r="K73" s="13"/>
    </row>
    <row r="74" spans="2:11">
      <c r="B74" s="27"/>
      <c r="C74" s="149"/>
      <c r="D74" s="13"/>
      <c r="E74" s="13"/>
      <c r="F74" s="149"/>
      <c r="G74" s="13"/>
      <c r="H74" s="13"/>
      <c r="I74" s="13"/>
      <c r="J74" s="13"/>
      <c r="K74" s="13"/>
    </row>
    <row r="75" spans="2:11">
      <c r="B75" s="27" t="s">
        <v>98</v>
      </c>
      <c r="C75" s="149">
        <v>12500000</v>
      </c>
      <c r="D75" s="13"/>
      <c r="E75" s="13" t="s">
        <v>99</v>
      </c>
      <c r="F75" s="149"/>
      <c r="G75" s="13"/>
      <c r="H75" s="13"/>
      <c r="I75" s="13"/>
      <c r="J75" s="13"/>
      <c r="K75" s="13"/>
    </row>
    <row r="76" spans="2:11">
      <c r="B76" s="27" t="s">
        <v>100</v>
      </c>
      <c r="C76" s="149">
        <f>(C50-F50)/D50*2+(C51-F51)/D51*1+(C52-F52)/D52*3+(C53-F53)/D53*2</f>
        <v>3900000</v>
      </c>
      <c r="D76" s="13"/>
      <c r="E76" s="13" t="s">
        <v>101</v>
      </c>
      <c r="F76" s="149">
        <v>500000</v>
      </c>
      <c r="G76" s="13"/>
      <c r="H76" s="13"/>
      <c r="I76" s="13"/>
      <c r="J76" s="13"/>
      <c r="K76" s="13"/>
    </row>
    <row r="77" spans="2:11">
      <c r="B77" s="27" t="s">
        <v>102</v>
      </c>
      <c r="C77" s="149">
        <v>50000</v>
      </c>
      <c r="D77" s="13"/>
      <c r="E77" s="13" t="s">
        <v>103</v>
      </c>
      <c r="F77" s="149">
        <f>3819666.66666667+415000</f>
        <v>4234666.6666666698</v>
      </c>
      <c r="G77" s="13"/>
      <c r="H77" s="13"/>
      <c r="I77" s="13"/>
      <c r="J77" s="13"/>
      <c r="K77" s="13"/>
    </row>
    <row r="78" spans="2:11" ht="15" thickBot="1">
      <c r="B78" s="33"/>
      <c r="C78" s="13"/>
      <c r="D78" s="13"/>
      <c r="E78" s="13" t="s">
        <v>104</v>
      </c>
      <c r="F78" s="149">
        <f>SUM(F76:F77)</f>
        <v>4734666.6666666698</v>
      </c>
      <c r="G78" s="13"/>
      <c r="H78" s="13"/>
      <c r="I78" s="13"/>
      <c r="J78" s="13"/>
      <c r="K78" s="13"/>
    </row>
    <row r="79" spans="2:11" ht="15" thickTop="1">
      <c r="B79" s="29" t="s">
        <v>105</v>
      </c>
      <c r="C79" s="149">
        <f>C73+C75-C76+C77</f>
        <v>10334666.66666667</v>
      </c>
      <c r="D79" s="13"/>
      <c r="E79" s="13" t="s">
        <v>106</v>
      </c>
      <c r="F79" s="149">
        <f>F78+F73</f>
        <v>10334666.66666667</v>
      </c>
      <c r="G79" s="13"/>
      <c r="H79" s="13"/>
      <c r="I79" s="13"/>
      <c r="J79" s="13"/>
      <c r="K79" s="13"/>
    </row>
    <row r="81" spans="6:6">
      <c r="F81" s="77"/>
    </row>
  </sheetData>
  <pageMargins left="0.7" right="0.7" top="0.75" bottom="0.75" header="0.3" footer="0.3"/>
  <pageSetup paperSize="9" scale="36"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2:I81"/>
  <sheetViews>
    <sheetView showGridLines="0" topLeftCell="A54" zoomScaleNormal="100" workbookViewId="0">
      <selection activeCell="B65" sqref="B65:F79"/>
    </sheetView>
  </sheetViews>
  <sheetFormatPr defaultColWidth="8.77734375" defaultRowHeight="14.4"/>
  <cols>
    <col min="2" max="2" width="23.44140625" customWidth="1"/>
    <col min="3" max="3" width="14.6640625" customWidth="1"/>
    <col min="4" max="4" width="18.44140625" customWidth="1"/>
    <col min="5" max="5" width="22.109375" customWidth="1"/>
    <col min="6" max="6" width="18.33203125" customWidth="1"/>
    <col min="7" max="8" width="11.109375" bestFit="1" customWidth="1"/>
  </cols>
  <sheetData>
    <row r="2" spans="2:9">
      <c r="B2" t="s">
        <v>161</v>
      </c>
    </row>
    <row r="3" spans="2:9">
      <c r="B3" s="13" t="s">
        <v>53</v>
      </c>
      <c r="C3" s="53" t="s">
        <v>54</v>
      </c>
      <c r="D3" s="60" t="s">
        <v>55</v>
      </c>
      <c r="E3" t="s">
        <v>241</v>
      </c>
    </row>
    <row r="4" spans="2:9">
      <c r="B4" s="16" t="s">
        <v>56</v>
      </c>
      <c r="C4" s="49">
        <v>3000</v>
      </c>
      <c r="D4" s="57">
        <v>15000</v>
      </c>
      <c r="E4">
        <f>D4*C4</f>
        <v>45000000</v>
      </c>
    </row>
    <row r="5" spans="2:9">
      <c r="B5" s="16" t="s">
        <v>57</v>
      </c>
      <c r="C5" s="49">
        <v>2000</v>
      </c>
      <c r="D5" s="57">
        <v>10000</v>
      </c>
      <c r="E5">
        <f t="shared" ref="E5:E6" si="0">D5*C5</f>
        <v>20000000</v>
      </c>
    </row>
    <row r="6" spans="2:9">
      <c r="B6" s="18" t="s">
        <v>58</v>
      </c>
      <c r="C6" s="51">
        <v>1000</v>
      </c>
      <c r="D6" s="58">
        <v>12000</v>
      </c>
      <c r="E6">
        <f t="shared" si="0"/>
        <v>12000000</v>
      </c>
    </row>
    <row r="7" spans="2:9">
      <c r="B7" s="9"/>
      <c r="C7" s="17"/>
      <c r="D7" s="17"/>
      <c r="E7">
        <f>E4+E5+E6</f>
        <v>77000000</v>
      </c>
    </row>
    <row r="8" spans="2:9">
      <c r="B8" s="19" t="s">
        <v>162</v>
      </c>
    </row>
    <row r="9" spans="2:9">
      <c r="B9" s="19"/>
    </row>
    <row r="10" spans="2:9">
      <c r="B10" s="19" t="s">
        <v>107</v>
      </c>
    </row>
    <row r="11" spans="2:9">
      <c r="B11" s="13"/>
      <c r="C11" s="60" t="s">
        <v>59</v>
      </c>
      <c r="D11" s="60" t="s">
        <v>60</v>
      </c>
      <c r="E11" s="54" t="s">
        <v>61</v>
      </c>
      <c r="I11" s="77"/>
    </row>
    <row r="12" spans="2:9">
      <c r="B12" s="16" t="s">
        <v>62</v>
      </c>
      <c r="C12" s="57">
        <v>10</v>
      </c>
      <c r="D12" s="57">
        <v>5</v>
      </c>
      <c r="E12" s="50">
        <v>12</v>
      </c>
      <c r="H12" s="76"/>
      <c r="I12" s="77"/>
    </row>
    <row r="13" spans="2:9">
      <c r="B13" s="16" t="s">
        <v>63</v>
      </c>
      <c r="C13" s="57">
        <v>10</v>
      </c>
      <c r="D13" s="57">
        <v>12</v>
      </c>
      <c r="E13" s="50">
        <v>12</v>
      </c>
      <c r="H13" s="76"/>
      <c r="I13" s="77"/>
    </row>
    <row r="14" spans="2:9">
      <c r="B14" s="16" t="s">
        <v>64</v>
      </c>
      <c r="C14" s="57">
        <v>40</v>
      </c>
      <c r="D14" s="57">
        <v>30</v>
      </c>
      <c r="E14" s="50">
        <v>60</v>
      </c>
    </row>
    <row r="15" spans="2:9">
      <c r="B15" s="16" t="s">
        <v>65</v>
      </c>
      <c r="C15" s="57">
        <v>0</v>
      </c>
      <c r="D15" s="57">
        <v>20</v>
      </c>
      <c r="E15" s="50">
        <v>0</v>
      </c>
    </row>
    <row r="16" spans="2:9">
      <c r="B16" s="16" t="s">
        <v>66</v>
      </c>
      <c r="C16" s="57">
        <v>0</v>
      </c>
      <c r="D16" s="57">
        <v>0</v>
      </c>
      <c r="E16" s="50">
        <v>30</v>
      </c>
    </row>
    <row r="17" spans="1:5">
      <c r="B17" s="18" t="s">
        <v>67</v>
      </c>
      <c r="C17" s="58">
        <v>4</v>
      </c>
      <c r="D17" s="58">
        <v>0</v>
      </c>
      <c r="E17" s="52">
        <v>0</v>
      </c>
    </row>
    <row r="18" spans="1:5">
      <c r="B18" s="11"/>
      <c r="C18" s="17"/>
      <c r="D18" s="17"/>
      <c r="E18" s="17"/>
    </row>
    <row r="19" spans="1:5">
      <c r="A19" s="9"/>
      <c r="B19" s="20" t="s">
        <v>163</v>
      </c>
    </row>
    <row r="20" spans="1:5">
      <c r="B20" s="13"/>
      <c r="C20" s="54"/>
    </row>
    <row r="21" spans="1:5">
      <c r="B21" s="16" t="s">
        <v>68</v>
      </c>
      <c r="C21" s="50">
        <v>75</v>
      </c>
    </row>
    <row r="22" spans="1:5">
      <c r="B22" s="16" t="s">
        <v>69</v>
      </c>
      <c r="C22" s="50">
        <v>100</v>
      </c>
    </row>
    <row r="23" spans="1:5">
      <c r="B23" s="16" t="s">
        <v>159</v>
      </c>
      <c r="C23" s="50">
        <v>150</v>
      </c>
    </row>
    <row r="24" spans="1:5">
      <c r="B24" s="16" t="s">
        <v>70</v>
      </c>
      <c r="C24" s="50">
        <v>125</v>
      </c>
    </row>
    <row r="25" spans="1:5">
      <c r="B25" s="16" t="s">
        <v>71</v>
      </c>
      <c r="C25" s="50">
        <v>50</v>
      </c>
    </row>
    <row r="26" spans="1:5">
      <c r="B26" s="18" t="s">
        <v>72</v>
      </c>
      <c r="C26" s="52">
        <v>100</v>
      </c>
    </row>
    <row r="27" spans="1:5">
      <c r="B27" s="19" t="s">
        <v>164</v>
      </c>
    </row>
    <row r="28" spans="1:5">
      <c r="B28" s="19"/>
    </row>
    <row r="29" spans="1:5">
      <c r="B29" s="19" t="s">
        <v>165</v>
      </c>
    </row>
    <row r="30" spans="1:5">
      <c r="B30" t="s">
        <v>171</v>
      </c>
    </row>
    <row r="32" spans="1:5">
      <c r="B32" t="s">
        <v>108</v>
      </c>
    </row>
    <row r="33" spans="2:4">
      <c r="B33" t="s">
        <v>120</v>
      </c>
    </row>
    <row r="34" spans="2:4">
      <c r="B34" t="s">
        <v>112</v>
      </c>
    </row>
    <row r="35" spans="2:4">
      <c r="B35" s="13"/>
      <c r="C35" s="60" t="s">
        <v>73</v>
      </c>
      <c r="D35" s="54" t="s">
        <v>74</v>
      </c>
    </row>
    <row r="36" spans="2:4">
      <c r="B36" s="16" t="s">
        <v>75</v>
      </c>
      <c r="C36" s="57">
        <v>300</v>
      </c>
      <c r="D36" s="50">
        <v>60</v>
      </c>
    </row>
    <row r="37" spans="2:4">
      <c r="B37" s="18" t="s">
        <v>76</v>
      </c>
      <c r="C37" s="58">
        <v>100</v>
      </c>
      <c r="D37" s="52">
        <v>100</v>
      </c>
    </row>
    <row r="38" spans="2:4">
      <c r="B38" s="9"/>
      <c r="C38" s="17"/>
      <c r="D38" s="17"/>
    </row>
    <row r="39" spans="2:4">
      <c r="B39" s="21" t="s">
        <v>166</v>
      </c>
    </row>
    <row r="40" spans="2:4">
      <c r="B40" s="21" t="s">
        <v>110</v>
      </c>
    </row>
    <row r="41" spans="2:4">
      <c r="B41" s="21" t="s">
        <v>121</v>
      </c>
    </row>
    <row r="42" spans="2:4">
      <c r="B42" s="21" t="s">
        <v>173</v>
      </c>
    </row>
    <row r="43" spans="2:4">
      <c r="B43" s="21"/>
    </row>
    <row r="44" spans="2:4">
      <c r="B44" t="s">
        <v>167</v>
      </c>
    </row>
    <row r="45" spans="2:4">
      <c r="B45" t="s">
        <v>172</v>
      </c>
    </row>
    <row r="46" spans="2:4">
      <c r="B46" t="s">
        <v>113</v>
      </c>
    </row>
    <row r="48" spans="2:4">
      <c r="B48" t="s">
        <v>168</v>
      </c>
    </row>
    <row r="49" spans="2:7" ht="28.8">
      <c r="B49" s="13"/>
      <c r="C49" s="55" t="s">
        <v>77</v>
      </c>
      <c r="D49" s="55" t="s">
        <v>78</v>
      </c>
      <c r="E49" s="55" t="s">
        <v>79</v>
      </c>
      <c r="F49" s="55" t="s">
        <v>80</v>
      </c>
    </row>
    <row r="50" spans="2:7">
      <c r="B50" s="22" t="s">
        <v>81</v>
      </c>
      <c r="C50" s="56">
        <v>2500000</v>
      </c>
      <c r="D50" s="56">
        <v>5</v>
      </c>
      <c r="E50" s="56">
        <v>2017</v>
      </c>
      <c r="F50" s="56">
        <v>1500000</v>
      </c>
      <c r="G50" s="77"/>
    </row>
    <row r="51" spans="2:7">
      <c r="B51" s="16" t="s">
        <v>82</v>
      </c>
      <c r="C51" s="57">
        <v>2000000</v>
      </c>
      <c r="D51" s="57">
        <v>5</v>
      </c>
      <c r="E51" s="57">
        <v>2018</v>
      </c>
      <c r="F51" s="57">
        <v>1000000</v>
      </c>
      <c r="G51" s="77"/>
    </row>
    <row r="52" spans="2:7">
      <c r="B52" s="16" t="s">
        <v>83</v>
      </c>
      <c r="C52" s="57">
        <v>5000000</v>
      </c>
      <c r="D52" s="57">
        <v>5</v>
      </c>
      <c r="E52" s="57">
        <v>2016</v>
      </c>
      <c r="F52" s="57">
        <v>2000000</v>
      </c>
      <c r="G52" s="77"/>
    </row>
    <row r="53" spans="2:7">
      <c r="B53" s="18" t="s">
        <v>84</v>
      </c>
      <c r="C53" s="58">
        <v>3000000</v>
      </c>
      <c r="D53" s="58">
        <v>4</v>
      </c>
      <c r="E53" s="58">
        <v>2017</v>
      </c>
      <c r="F53" s="58">
        <v>0</v>
      </c>
      <c r="G53" s="77"/>
    </row>
    <row r="54" spans="2:7">
      <c r="B54" s="18" t="s">
        <v>3</v>
      </c>
      <c r="C54" s="58">
        <f>SUM(C50:C53)</f>
        <v>12500000</v>
      </c>
      <c r="D54" s="59"/>
      <c r="E54" s="59"/>
      <c r="F54" s="59"/>
    </row>
    <row r="55" spans="2:7">
      <c r="B55" t="s">
        <v>111</v>
      </c>
    </row>
    <row r="57" spans="2:7">
      <c r="B57" t="s">
        <v>176</v>
      </c>
    </row>
    <row r="58" spans="2:7">
      <c r="B58" t="s">
        <v>177</v>
      </c>
    </row>
    <row r="59" spans="2:7">
      <c r="B59" t="s">
        <v>169</v>
      </c>
    </row>
    <row r="60" spans="2:7">
      <c r="B60" t="s">
        <v>109</v>
      </c>
    </row>
    <row r="61" spans="2:7">
      <c r="B61" t="s">
        <v>178</v>
      </c>
    </row>
    <row r="63" spans="2:7">
      <c r="B63" t="s">
        <v>114</v>
      </c>
    </row>
    <row r="65" spans="2:6">
      <c r="B65" t="s">
        <v>170</v>
      </c>
    </row>
    <row r="67" spans="2:6">
      <c r="B67" s="31" t="s">
        <v>85</v>
      </c>
      <c r="C67" s="15"/>
      <c r="D67" s="14"/>
      <c r="E67" s="14"/>
      <c r="F67" s="15"/>
    </row>
    <row r="68" spans="2:6">
      <c r="B68" s="31" t="s">
        <v>86</v>
      </c>
      <c r="C68" s="15"/>
      <c r="D68" s="14"/>
      <c r="E68" s="14" t="s">
        <v>87</v>
      </c>
      <c r="F68" s="15"/>
    </row>
    <row r="69" spans="2:6">
      <c r="B69" s="27" t="s">
        <v>88</v>
      </c>
      <c r="C69" s="28">
        <f>841666.66666667+50000</f>
        <v>891666.66666667</v>
      </c>
      <c r="D69" s="9"/>
      <c r="E69" s="9" t="s">
        <v>89</v>
      </c>
      <c r="F69" s="28">
        <v>300000</v>
      </c>
    </row>
    <row r="70" spans="2:6">
      <c r="B70" s="27" t="s">
        <v>90</v>
      </c>
      <c r="C70" s="28">
        <v>350000</v>
      </c>
      <c r="D70" s="9"/>
      <c r="E70" s="9" t="s">
        <v>91</v>
      </c>
      <c r="F70" s="28">
        <v>300000</v>
      </c>
    </row>
    <row r="71" spans="2:6">
      <c r="B71" s="27" t="s">
        <v>92</v>
      </c>
      <c r="C71" s="28">
        <v>415000</v>
      </c>
      <c r="D71" s="9"/>
      <c r="E71" s="2" t="s">
        <v>93</v>
      </c>
      <c r="F71" s="30">
        <f>F69+F70</f>
        <v>600000</v>
      </c>
    </row>
    <row r="72" spans="2:6" ht="15" thickBot="1">
      <c r="B72" s="29" t="s">
        <v>94</v>
      </c>
      <c r="C72" s="30">
        <f>SUMPRODUCT(C36:C37,D36:D37)</f>
        <v>28000</v>
      </c>
      <c r="D72" s="33"/>
      <c r="E72" s="35" t="s">
        <v>95</v>
      </c>
      <c r="F72" s="36">
        <v>5000000</v>
      </c>
    </row>
    <row r="73" spans="2:6" ht="15" thickTop="1">
      <c r="B73" s="27" t="s">
        <v>96</v>
      </c>
      <c r="C73" s="28">
        <f>SUM(C69:C72)</f>
        <v>1684666.66666667</v>
      </c>
      <c r="D73" s="9"/>
      <c r="E73" s="9" t="s">
        <v>97</v>
      </c>
      <c r="F73" s="28">
        <f>F71+F72</f>
        <v>5600000</v>
      </c>
    </row>
    <row r="74" spans="2:6">
      <c r="B74" s="27"/>
      <c r="C74" s="28"/>
      <c r="D74" s="9"/>
      <c r="E74" s="9"/>
      <c r="F74" s="28"/>
    </row>
    <row r="75" spans="2:6">
      <c r="B75" s="27" t="s">
        <v>98</v>
      </c>
      <c r="C75" s="28">
        <v>12500000</v>
      </c>
      <c r="D75" s="25"/>
      <c r="E75" s="11" t="s">
        <v>99</v>
      </c>
      <c r="F75" s="32"/>
    </row>
    <row r="76" spans="2:6">
      <c r="B76" s="27" t="s">
        <v>100</v>
      </c>
      <c r="C76" s="28">
        <f>(C50-F50)/D50*2+(C51-F51)/D51*1+(C52-F52)/D52*3+(C53-F53)/D53*2</f>
        <v>3900000</v>
      </c>
      <c r="D76" s="27"/>
      <c r="E76" s="9" t="s">
        <v>101</v>
      </c>
      <c r="F76" s="28">
        <v>500000</v>
      </c>
    </row>
    <row r="77" spans="2:6">
      <c r="B77" s="27" t="s">
        <v>102</v>
      </c>
      <c r="C77" s="28">
        <v>50000</v>
      </c>
      <c r="D77" s="27"/>
      <c r="E77" s="2" t="s">
        <v>103</v>
      </c>
      <c r="F77" s="30">
        <f>3819666.66666667+415000</f>
        <v>4234666.6666666698</v>
      </c>
    </row>
    <row r="78" spans="2:6" ht="15" thickBot="1">
      <c r="B78" s="33"/>
      <c r="C78" s="34"/>
      <c r="D78" s="33"/>
      <c r="E78" s="35" t="s">
        <v>104</v>
      </c>
      <c r="F78" s="36">
        <f>SUM(F76:F77)</f>
        <v>4734666.6666666698</v>
      </c>
    </row>
    <row r="79" spans="2:6" ht="15" thickTop="1">
      <c r="B79" s="29" t="s">
        <v>105</v>
      </c>
      <c r="C79" s="30">
        <f>C73+C75-C76+C77</f>
        <v>10334666.66666667</v>
      </c>
      <c r="D79" s="29"/>
      <c r="E79" s="2" t="s">
        <v>106</v>
      </c>
      <c r="F79" s="30">
        <f>F78+F73</f>
        <v>10334666.66666667</v>
      </c>
    </row>
    <row r="81" spans="6:6">
      <c r="F81" s="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B1:S29"/>
  <sheetViews>
    <sheetView showGridLines="0" workbookViewId="0">
      <selection activeCell="K11" sqref="K11"/>
    </sheetView>
  </sheetViews>
  <sheetFormatPr defaultColWidth="8.77734375" defaultRowHeight="14.4"/>
  <cols>
    <col min="1" max="1" width="1.44140625" customWidth="1"/>
    <col min="2" max="2" width="15.5546875" customWidth="1"/>
    <col min="3" max="3" width="14" customWidth="1"/>
    <col min="4" max="4" width="13.33203125" customWidth="1"/>
    <col min="5" max="5" width="14" bestFit="1" customWidth="1"/>
    <col min="6" max="6" width="3.6640625" customWidth="1"/>
    <col min="7" max="7" width="24.77734375" bestFit="1" customWidth="1"/>
    <col min="8" max="8" width="16.77734375" customWidth="1"/>
    <col min="9" max="9" width="5.77734375" customWidth="1"/>
    <col min="10" max="10" width="22" bestFit="1" customWidth="1"/>
    <col min="11" max="11" width="14" bestFit="1" customWidth="1"/>
    <col min="12" max="12" width="3.6640625" customWidth="1"/>
    <col min="13" max="13" width="24" bestFit="1" customWidth="1"/>
    <col min="15" max="15" width="14" bestFit="1" customWidth="1"/>
    <col min="16" max="16" width="3" customWidth="1"/>
    <col min="18" max="18" width="24.109375" bestFit="1" customWidth="1"/>
  </cols>
  <sheetData>
    <row r="1" spans="2:19">
      <c r="B1" s="61" t="s">
        <v>122</v>
      </c>
      <c r="G1" s="61" t="s">
        <v>85</v>
      </c>
      <c r="M1" s="61" t="s">
        <v>123</v>
      </c>
      <c r="Q1" s="61" t="s">
        <v>151</v>
      </c>
    </row>
    <row r="2" spans="2:19">
      <c r="B2" s="25" t="s">
        <v>124</v>
      </c>
      <c r="C2" s="11"/>
      <c r="D2" s="11"/>
      <c r="E2" s="78">
        <f>'Case - Solving&amp;Explanation'!C8</f>
        <v>93600000</v>
      </c>
      <c r="G2" s="212" t="s">
        <v>86</v>
      </c>
      <c r="H2" s="213"/>
      <c r="I2" s="212" t="s">
        <v>87</v>
      </c>
      <c r="J2" s="216"/>
      <c r="K2" s="213"/>
      <c r="M2" s="218" t="s">
        <v>140</v>
      </c>
      <c r="N2" s="219"/>
      <c r="O2" s="220"/>
      <c r="Q2" s="37"/>
      <c r="R2" s="11"/>
      <c r="S2" s="26"/>
    </row>
    <row r="3" spans="2:19">
      <c r="B3" s="27" t="s">
        <v>125</v>
      </c>
      <c r="C3" s="9"/>
      <c r="D3" s="9"/>
      <c r="E3" s="66">
        <f>'Case - Solving&amp;Explanation'!J16</f>
        <v>54931000</v>
      </c>
      <c r="G3" s="214"/>
      <c r="H3" s="215"/>
      <c r="I3" s="214"/>
      <c r="J3" s="217"/>
      <c r="K3" s="215"/>
      <c r="M3" s="221"/>
      <c r="N3" s="222"/>
      <c r="O3" s="223"/>
      <c r="Q3" s="209" t="s">
        <v>34</v>
      </c>
      <c r="R3" s="210"/>
      <c r="S3" s="211"/>
    </row>
    <row r="4" spans="2:19">
      <c r="B4" s="27" t="s">
        <v>126</v>
      </c>
      <c r="C4" s="9"/>
      <c r="D4" s="9"/>
      <c r="E4" s="66">
        <f>E2-E3</f>
        <v>38669000</v>
      </c>
      <c r="G4" s="27" t="s">
        <v>88</v>
      </c>
      <c r="H4" s="66">
        <f>5858864.48</f>
        <v>5858864.4800000004</v>
      </c>
      <c r="I4" s="9"/>
      <c r="J4" s="9" t="s">
        <v>89</v>
      </c>
      <c r="K4" s="66">
        <f>'Case - Solving&amp;Explanation'!B93</f>
        <v>1655919</v>
      </c>
      <c r="M4" s="27" t="s">
        <v>141</v>
      </c>
      <c r="N4" s="9"/>
      <c r="O4" s="66">
        <f>E12</f>
        <v>13246315.25</v>
      </c>
      <c r="Q4" s="27"/>
      <c r="R4" s="9" t="s">
        <v>35</v>
      </c>
      <c r="S4" s="196">
        <f>H8/K6</f>
        <v>4.741877157034855</v>
      </c>
    </row>
    <row r="5" spans="2:19">
      <c r="B5" s="27" t="s">
        <v>134</v>
      </c>
      <c r="C5" s="9"/>
      <c r="D5" s="9"/>
      <c r="E5" s="66">
        <f>'Case - Solving&amp;Explanation'!B42</f>
        <v>20089450</v>
      </c>
      <c r="G5" s="27" t="s">
        <v>90</v>
      </c>
      <c r="H5" s="66">
        <f>'Case - Solving&amp;Explanation'!B83</f>
        <v>468000</v>
      </c>
      <c r="I5" s="9"/>
      <c r="J5" s="9" t="s">
        <v>91</v>
      </c>
      <c r="K5" s="66"/>
      <c r="M5" s="27" t="s">
        <v>135</v>
      </c>
      <c r="N5" s="9"/>
      <c r="O5" s="66">
        <f>E7</f>
        <v>1800000</v>
      </c>
      <c r="Q5" s="27"/>
      <c r="R5" s="9" t="s">
        <v>36</v>
      </c>
      <c r="S5" s="66">
        <f>(H8-H6)/K6</f>
        <v>3.8376662626613984</v>
      </c>
    </row>
    <row r="6" spans="2:19" ht="15" thickBot="1">
      <c r="B6" s="27" t="s">
        <v>127</v>
      </c>
      <c r="C6" s="9"/>
      <c r="D6" s="9"/>
      <c r="E6" s="66">
        <f>E4-E5</f>
        <v>18579550</v>
      </c>
      <c r="G6" s="27" t="s">
        <v>92</v>
      </c>
      <c r="H6" s="66">
        <f>'Case - Solving&amp;Explanation'!E86</f>
        <v>1497300</v>
      </c>
      <c r="I6" s="9"/>
      <c r="J6" s="2" t="s">
        <v>93</v>
      </c>
      <c r="K6" s="67">
        <f>K5+K4</f>
        <v>1655919</v>
      </c>
      <c r="M6" s="33" t="s">
        <v>142</v>
      </c>
      <c r="N6" s="35"/>
      <c r="O6" s="79">
        <f>'Case - Solving&amp;Explanation'!D102+'Case - Solving&amp;Explanation'!D103-'Case - Solving&amp;Explanation'!D104</f>
        <v>-155619</v>
      </c>
      <c r="Q6" s="27"/>
      <c r="R6" s="9" t="s">
        <v>37</v>
      </c>
      <c r="S6" s="66">
        <f>H4/K6</f>
        <v>3.5381347034486592</v>
      </c>
    </row>
    <row r="7" spans="2:19" ht="15.6" thickTop="1" thickBot="1">
      <c r="B7" s="27" t="s">
        <v>135</v>
      </c>
      <c r="C7" s="9"/>
      <c r="D7" s="9"/>
      <c r="E7" s="66">
        <f>'Case - Solving&amp;Explanation'!F55</f>
        <v>1800000</v>
      </c>
      <c r="G7" s="29" t="s">
        <v>94</v>
      </c>
      <c r="H7" s="67">
        <v>28000</v>
      </c>
      <c r="I7" s="33"/>
      <c r="J7" s="35" t="s">
        <v>95</v>
      </c>
      <c r="K7" s="79">
        <f>'Case 1--&gt; (2)'!F72+500000</f>
        <v>5500000</v>
      </c>
      <c r="M7" s="27" t="s">
        <v>143</v>
      </c>
      <c r="N7" s="9"/>
      <c r="O7" s="66">
        <f>O4+O5+O6</f>
        <v>14890696.25</v>
      </c>
      <c r="Q7" s="209" t="s">
        <v>38</v>
      </c>
      <c r="R7" s="210"/>
      <c r="S7" s="211"/>
    </row>
    <row r="8" spans="2:19" ht="15" thickTop="1">
      <c r="B8" s="27" t="s">
        <v>128</v>
      </c>
      <c r="C8" s="9"/>
      <c r="D8" s="9"/>
      <c r="E8" s="66">
        <f>E6-E7</f>
        <v>16779550</v>
      </c>
      <c r="G8" s="27" t="s">
        <v>96</v>
      </c>
      <c r="H8" s="66">
        <f>SUM(H4:H7)</f>
        <v>7852164.4800000004</v>
      </c>
      <c r="I8" s="9"/>
      <c r="J8" s="9" t="s">
        <v>97</v>
      </c>
      <c r="K8" s="66">
        <f>K7+K6</f>
        <v>7155919</v>
      </c>
      <c r="M8" s="27"/>
      <c r="N8" s="9"/>
      <c r="O8" s="28" t="s">
        <v>225</v>
      </c>
      <c r="Q8" s="27"/>
      <c r="R8" s="9" t="s">
        <v>39</v>
      </c>
      <c r="S8" s="66">
        <f>E2/(H14+'Case 1--&gt; (2)'!C79)/2</f>
        <v>1.8326471178515358</v>
      </c>
    </row>
    <row r="9" spans="2:19">
      <c r="B9" s="27" t="s">
        <v>129</v>
      </c>
      <c r="C9" s="9"/>
      <c r="D9" s="9"/>
      <c r="E9" s="66">
        <f>'Case - Solving&amp;Explanation'!D63</f>
        <v>324500</v>
      </c>
      <c r="G9" s="27"/>
      <c r="H9" s="80"/>
      <c r="I9" s="9"/>
      <c r="J9" s="9"/>
      <c r="K9" s="28"/>
      <c r="M9" s="221" t="s">
        <v>144</v>
      </c>
      <c r="N9" s="222"/>
      <c r="O9" s="223"/>
      <c r="Q9" s="27"/>
      <c r="R9" s="9" t="s">
        <v>40</v>
      </c>
      <c r="S9" s="66">
        <f>E2/(H5+'Case - Answers'!C70)/2</f>
        <v>100</v>
      </c>
    </row>
    <row r="10" spans="2:19">
      <c r="B10" s="27" t="s">
        <v>130</v>
      </c>
      <c r="C10" s="9"/>
      <c r="D10" s="9"/>
      <c r="E10" s="66">
        <f>E8-E9</f>
        <v>16455050</v>
      </c>
      <c r="G10" s="27" t="s">
        <v>98</v>
      </c>
      <c r="H10" s="66">
        <f>'Case - Solving&amp;Explanation'!B90</f>
        <v>13000000</v>
      </c>
      <c r="I10" s="25"/>
      <c r="J10" s="216" t="s">
        <v>99</v>
      </c>
      <c r="K10" s="213"/>
      <c r="M10" s="27" t="s">
        <v>131</v>
      </c>
      <c r="N10" s="9"/>
      <c r="O10" s="66">
        <f>H10-'Case 1--&gt; (2)'!C75+E7</f>
        <v>2300000</v>
      </c>
      <c r="Q10" s="27"/>
      <c r="R10" s="9" t="s">
        <v>41</v>
      </c>
      <c r="S10" s="66">
        <f>365/S9</f>
        <v>3.65</v>
      </c>
    </row>
    <row r="11" spans="2:19" ht="15" thickBot="1">
      <c r="B11" s="33" t="s">
        <v>136</v>
      </c>
      <c r="C11" s="35"/>
      <c r="D11" s="35"/>
      <c r="E11" s="79">
        <f>'Case - Solving&amp;Explanation'!A69</f>
        <v>3208734.75</v>
      </c>
      <c r="G11" s="27" t="s">
        <v>100</v>
      </c>
      <c r="H11" s="66">
        <f>'Case - Solving&amp;Explanation'!B91</f>
        <v>5700000</v>
      </c>
      <c r="I11" s="27"/>
      <c r="J11" s="9" t="s">
        <v>101</v>
      </c>
      <c r="K11" s="66">
        <f>'Case 1--&gt; (2)'!F76</f>
        <v>500000</v>
      </c>
      <c r="M11" s="27" t="s">
        <v>145</v>
      </c>
      <c r="N11" s="9"/>
      <c r="O11" s="66">
        <f>0</f>
        <v>0</v>
      </c>
      <c r="Q11" s="27"/>
      <c r="R11" s="9" t="s">
        <v>42</v>
      </c>
      <c r="S11" s="66">
        <f>E3/(H6+'Case - Answers'!C71)/2</f>
        <v>18.343351365791758</v>
      </c>
    </row>
    <row r="12" spans="2:19" ht="15.6" thickTop="1" thickBot="1">
      <c r="B12" s="27" t="s">
        <v>137</v>
      </c>
      <c r="C12" s="9"/>
      <c r="D12" s="9"/>
      <c r="E12" s="66">
        <f>E10-E11</f>
        <v>13246315.25</v>
      </c>
      <c r="G12" s="27" t="s">
        <v>102</v>
      </c>
      <c r="H12" s="66">
        <v>50000</v>
      </c>
      <c r="I12" s="27"/>
      <c r="J12" s="2" t="s">
        <v>103</v>
      </c>
      <c r="K12" s="67">
        <f>'Case - Solving&amp;Explanation'!B96</f>
        <v>7546245.4824999999</v>
      </c>
      <c r="M12" s="33" t="s">
        <v>175</v>
      </c>
      <c r="N12" s="35"/>
      <c r="O12" s="79">
        <f>0</f>
        <v>0</v>
      </c>
      <c r="Q12" s="27"/>
      <c r="R12" s="9" t="s">
        <v>43</v>
      </c>
      <c r="S12" s="66">
        <f>365/S11</f>
        <v>19.898217764104057</v>
      </c>
    </row>
    <row r="13" spans="2:19" ht="15.6" thickTop="1" thickBot="1">
      <c r="B13" s="25" t="s">
        <v>138</v>
      </c>
      <c r="C13" s="11"/>
      <c r="D13" s="11"/>
      <c r="E13" s="78">
        <f>'Case - Solving&amp;Explanation'!A75</f>
        <v>9934736.4375</v>
      </c>
      <c r="G13" s="33"/>
      <c r="H13" s="81"/>
      <c r="I13" s="33"/>
      <c r="J13" s="35" t="s">
        <v>104</v>
      </c>
      <c r="K13" s="79">
        <f>K11+K12</f>
        <v>8046245.4824999999</v>
      </c>
      <c r="M13" s="27" t="s">
        <v>146</v>
      </c>
      <c r="N13" s="9"/>
      <c r="O13" s="66">
        <f>O10+O11+O12</f>
        <v>2300000</v>
      </c>
      <c r="Q13" s="209" t="s">
        <v>44</v>
      </c>
      <c r="R13" s="210"/>
      <c r="S13" s="211"/>
    </row>
    <row r="14" spans="2:19" ht="15" thickTop="1">
      <c r="B14" s="29" t="s">
        <v>139</v>
      </c>
      <c r="C14" s="2"/>
      <c r="D14" s="2"/>
      <c r="E14" s="67">
        <f>E12-E13</f>
        <v>3311578.8125</v>
      </c>
      <c r="G14" s="29" t="s">
        <v>105</v>
      </c>
      <c r="H14" s="67">
        <f>H8+H10-H11+H12</f>
        <v>15202164.48</v>
      </c>
      <c r="I14" s="29"/>
      <c r="J14" s="2" t="s">
        <v>106</v>
      </c>
      <c r="K14" s="67">
        <f>K8+K13</f>
        <v>15202164.4825</v>
      </c>
      <c r="M14" s="27"/>
      <c r="N14" s="9"/>
      <c r="O14" s="28"/>
      <c r="Q14" s="27"/>
      <c r="R14" s="9" t="s">
        <v>45</v>
      </c>
      <c r="S14" s="66">
        <f>E12/E2</f>
        <v>0.14152046207264957</v>
      </c>
    </row>
    <row r="15" spans="2:19">
      <c r="H15" s="146"/>
      <c r="M15" s="221" t="s">
        <v>147</v>
      </c>
      <c r="N15" s="222"/>
      <c r="O15" s="223"/>
      <c r="Q15" s="27"/>
      <c r="R15" s="9" t="s">
        <v>46</v>
      </c>
      <c r="S15" s="66">
        <f>E6/E2</f>
        <v>0.19849946581196581</v>
      </c>
    </row>
    <row r="16" spans="2:19">
      <c r="H16" s="145"/>
      <c r="J16" s="99">
        <f>K14-H14</f>
        <v>2.4999994784593582E-3</v>
      </c>
      <c r="M16" s="27" t="s">
        <v>148</v>
      </c>
      <c r="N16" s="9"/>
      <c r="O16" s="66">
        <f>-300000+500000</f>
        <v>200000</v>
      </c>
      <c r="Q16" s="27"/>
      <c r="R16" s="9" t="s">
        <v>47</v>
      </c>
      <c r="S16" s="66">
        <f>E4/E2</f>
        <v>0.41313034188034187</v>
      </c>
    </row>
    <row r="17" spans="2:19" ht="15" thickBot="1">
      <c r="B17" s="3" t="s">
        <v>265</v>
      </c>
      <c r="H17" s="144"/>
      <c r="J17" s="99"/>
      <c r="M17" s="33" t="s">
        <v>132</v>
      </c>
      <c r="N17" s="35"/>
      <c r="O17" s="79">
        <f>-E13</f>
        <v>-9934736.4375</v>
      </c>
      <c r="Q17" s="27"/>
      <c r="R17" s="9" t="s">
        <v>48</v>
      </c>
      <c r="S17" s="66">
        <f>E12/(H14+'Case 1--&gt; (2)'!C79)/2</f>
        <v>0.25935706693445881</v>
      </c>
    </row>
    <row r="18" spans="2:19" ht="15" thickTop="1">
      <c r="B18" s="13"/>
      <c r="C18" s="151" t="s">
        <v>266</v>
      </c>
      <c r="D18" s="151" t="s">
        <v>267</v>
      </c>
      <c r="E18" s="152" t="s">
        <v>268</v>
      </c>
      <c r="H18" s="13"/>
      <c r="J18" s="84"/>
      <c r="M18" s="29" t="s">
        <v>149</v>
      </c>
      <c r="N18" s="2"/>
      <c r="O18" s="67">
        <f>O16+O17</f>
        <v>-9734736.4375</v>
      </c>
      <c r="Q18" s="27"/>
      <c r="R18" s="9" t="s">
        <v>49</v>
      </c>
      <c r="S18" s="66">
        <f>E12/(K11+'Case 1--&gt; (2)'!F76)/2</f>
        <v>6.6231576250000002</v>
      </c>
    </row>
    <row r="19" spans="2:19" ht="27" customHeight="1">
      <c r="B19" s="153" t="s">
        <v>269</v>
      </c>
      <c r="C19" s="154">
        <f>'Case 1--&gt; (2)'!C70</f>
        <v>350000</v>
      </c>
      <c r="D19" s="154">
        <f>H5</f>
        <v>468000</v>
      </c>
      <c r="E19" s="154">
        <f>D19-C19</f>
        <v>118000</v>
      </c>
      <c r="H19" s="13"/>
      <c r="M19" s="25"/>
      <c r="N19" s="11"/>
      <c r="O19" s="32"/>
      <c r="Q19" s="209" t="s">
        <v>50</v>
      </c>
      <c r="R19" s="210"/>
      <c r="S19" s="211"/>
    </row>
    <row r="20" spans="2:19">
      <c r="B20" s="155" t="s">
        <v>92</v>
      </c>
      <c r="C20" s="154">
        <f>'Case 1--&gt; (2)'!C71</f>
        <v>415000</v>
      </c>
      <c r="D20" s="154">
        <f>H6</f>
        <v>1497300</v>
      </c>
      <c r="E20" s="154">
        <f>D20-C20</f>
        <v>1082300</v>
      </c>
      <c r="H20" s="13"/>
      <c r="M20" s="63" t="s">
        <v>150</v>
      </c>
      <c r="N20" s="1"/>
      <c r="O20" s="82">
        <f>O7+O13+O18</f>
        <v>7455959.8125</v>
      </c>
      <c r="Q20" s="27"/>
      <c r="R20" s="9" t="s">
        <v>51</v>
      </c>
      <c r="S20" s="66">
        <f>K8/H14</f>
        <v>0.47071711461972027</v>
      </c>
    </row>
    <row r="21" spans="2:19">
      <c r="B21" s="155" t="s">
        <v>270</v>
      </c>
      <c r="C21" s="154">
        <f>'Case 1--&gt; (2)'!F69</f>
        <v>300000</v>
      </c>
      <c r="D21" s="154">
        <f>K4</f>
        <v>1655919</v>
      </c>
      <c r="E21" s="154">
        <f>D21-C21</f>
        <v>1355919</v>
      </c>
      <c r="H21" s="13"/>
      <c r="Q21" s="27"/>
      <c r="R21" s="9" t="s">
        <v>52</v>
      </c>
      <c r="S21" s="66">
        <f>K8/K13</f>
        <v>0.88934882928486392</v>
      </c>
    </row>
    <row r="22" spans="2:19">
      <c r="H22" s="13"/>
      <c r="Q22" s="29"/>
      <c r="R22" s="2" t="s">
        <v>133</v>
      </c>
      <c r="S22" s="67">
        <f>E8/E9</f>
        <v>51.708936825885978</v>
      </c>
    </row>
    <row r="23" spans="2:19">
      <c r="H23" s="13"/>
    </row>
    <row r="24" spans="2:19">
      <c r="H24" s="13"/>
    </row>
    <row r="25" spans="2:19">
      <c r="H25" s="13"/>
    </row>
    <row r="26" spans="2:19">
      <c r="H26" s="13"/>
    </row>
    <row r="27" spans="2:19">
      <c r="H27" s="13"/>
    </row>
    <row r="28" spans="2:19">
      <c r="H28" s="13"/>
    </row>
    <row r="29" spans="2:19">
      <c r="H29" s="13"/>
    </row>
  </sheetData>
  <mergeCells count="10">
    <mergeCell ref="Q3:S3"/>
    <mergeCell ref="Q7:S7"/>
    <mergeCell ref="Q13:S13"/>
    <mergeCell ref="Q19:S19"/>
    <mergeCell ref="G2:H3"/>
    <mergeCell ref="I2:K3"/>
    <mergeCell ref="J10:K10"/>
    <mergeCell ref="M2:O3"/>
    <mergeCell ref="M9:O9"/>
    <mergeCell ref="M15:O15"/>
  </mergeCells>
  <pageMargins left="0.7" right="0.7" top="0.75" bottom="0.75" header="0.3" footer="0.3"/>
  <pageSetup paperSize="9" scale="58" orientation="landscape" verticalDpi="0" r:id="rId1"/>
  <ignoredErrors>
    <ignoredError sqref="E9"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K120"/>
  <sheetViews>
    <sheetView showGridLines="0" topLeftCell="A96" workbookViewId="0">
      <selection activeCell="A116" sqref="A116:D116"/>
    </sheetView>
  </sheetViews>
  <sheetFormatPr defaultColWidth="8.77734375" defaultRowHeight="14.4"/>
  <cols>
    <col min="1" max="1" width="36" customWidth="1"/>
    <col min="2" max="2" width="18.6640625" customWidth="1"/>
    <col min="3" max="3" width="15.33203125" customWidth="1"/>
    <col min="4" max="4" width="18.33203125" customWidth="1"/>
    <col min="5" max="5" width="17.21875" customWidth="1"/>
    <col min="6" max="6" width="17.44140625" customWidth="1"/>
    <col min="7" max="7" width="15.5546875" customWidth="1"/>
    <col min="8" max="8" width="8.5546875" customWidth="1"/>
    <col min="9" max="9" width="15.5546875" customWidth="1"/>
    <col min="10" max="10" width="14.33203125" customWidth="1"/>
  </cols>
  <sheetData>
    <row r="1" spans="1:10">
      <c r="A1" t="s">
        <v>153</v>
      </c>
    </row>
    <row r="2" spans="1:10">
      <c r="A2" t="s">
        <v>152</v>
      </c>
    </row>
    <row r="3" spans="1:10">
      <c r="A3" s="83" t="s">
        <v>264</v>
      </c>
    </row>
    <row r="4" spans="1:10" ht="28.8">
      <c r="A4" s="13" t="s">
        <v>53</v>
      </c>
      <c r="B4" s="159" t="s">
        <v>272</v>
      </c>
      <c r="C4" s="159" t="s">
        <v>273</v>
      </c>
      <c r="D4" s="9"/>
      <c r="E4" s="156"/>
    </row>
    <row r="5" spans="1:10">
      <c r="A5" s="13" t="s">
        <v>56</v>
      </c>
      <c r="B5" s="154">
        <v>3200</v>
      </c>
      <c r="C5" s="154">
        <v>15000</v>
      </c>
      <c r="D5" s="9"/>
      <c r="E5" s="157"/>
    </row>
    <row r="6" spans="1:10">
      <c r="A6" s="13" t="s">
        <v>57</v>
      </c>
      <c r="B6" s="154">
        <v>1800</v>
      </c>
      <c r="C6" s="154">
        <v>10000</v>
      </c>
      <c r="D6" s="9"/>
      <c r="E6" s="157"/>
    </row>
    <row r="7" spans="1:10">
      <c r="A7" s="13" t="s">
        <v>58</v>
      </c>
      <c r="B7" s="154">
        <v>1000</v>
      </c>
      <c r="C7" s="154">
        <v>12000</v>
      </c>
      <c r="D7" s="9"/>
      <c r="E7" s="157"/>
    </row>
    <row r="8" spans="1:10">
      <c r="A8" s="13" t="s">
        <v>274</v>
      </c>
      <c r="B8" s="13"/>
      <c r="C8" s="144">
        <f>SUMPRODUCT(B5:B7*C5:C7)*1.2</f>
        <v>93600000</v>
      </c>
      <c r="D8" s="92">
        <f>'Case - Answers'!E2</f>
        <v>93600000</v>
      </c>
      <c r="E8" s="158"/>
    </row>
    <row r="10" spans="1:10" s="226" customFormat="1" ht="23.4" customHeight="1">
      <c r="A10" s="225" t="s">
        <v>275</v>
      </c>
    </row>
    <row r="12" spans="1:10" ht="28.8">
      <c r="A12" s="13"/>
      <c r="B12" s="162" t="s">
        <v>59</v>
      </c>
      <c r="C12" s="161" t="s">
        <v>60</v>
      </c>
      <c r="D12" s="162" t="s">
        <v>61</v>
      </c>
      <c r="E12" s="162" t="s">
        <v>276</v>
      </c>
      <c r="F12" s="161" t="s">
        <v>278</v>
      </c>
      <c r="I12" s="148" t="s">
        <v>290</v>
      </c>
      <c r="J12" s="174" t="s">
        <v>291</v>
      </c>
    </row>
    <row r="13" spans="1:10" ht="43.2">
      <c r="A13" s="13" t="s">
        <v>62</v>
      </c>
      <c r="B13" s="154">
        <v>10</v>
      </c>
      <c r="C13" s="154">
        <v>5</v>
      </c>
      <c r="D13" s="154">
        <f>12</f>
        <v>12</v>
      </c>
      <c r="E13" s="163">
        <v>75</v>
      </c>
      <c r="F13" s="13"/>
      <c r="I13" s="169" t="s">
        <v>292</v>
      </c>
      <c r="J13" s="170">
        <f>D22</f>
        <v>216000</v>
      </c>
    </row>
    <row r="14" spans="1:10" ht="28.8">
      <c r="A14" s="13" t="s">
        <v>63</v>
      </c>
      <c r="B14" s="154">
        <v>10</v>
      </c>
      <c r="C14" s="154">
        <v>12</v>
      </c>
      <c r="D14" s="154">
        <v>12</v>
      </c>
      <c r="E14" s="163">
        <v>100</v>
      </c>
      <c r="F14" s="13"/>
      <c r="I14" s="169" t="s">
        <v>261</v>
      </c>
      <c r="J14" s="170">
        <f>F19</f>
        <v>54115000</v>
      </c>
    </row>
    <row r="15" spans="1:10" ht="43.2">
      <c r="A15" s="13" t="s">
        <v>64</v>
      </c>
      <c r="B15" s="154">
        <v>40</v>
      </c>
      <c r="C15" s="154">
        <v>30</v>
      </c>
      <c r="D15" s="154">
        <v>60</v>
      </c>
      <c r="E15" s="163">
        <v>150</v>
      </c>
      <c r="F15" s="13"/>
      <c r="I15" s="171" t="s">
        <v>293</v>
      </c>
      <c r="J15" s="170">
        <f>D26</f>
        <v>600000</v>
      </c>
    </row>
    <row r="16" spans="1:10">
      <c r="A16" s="13" t="s">
        <v>65</v>
      </c>
      <c r="B16" s="154">
        <v>0</v>
      </c>
      <c r="C16" s="154">
        <v>20</v>
      </c>
      <c r="D16" s="154">
        <f>0</f>
        <v>0</v>
      </c>
      <c r="E16" s="163">
        <v>125</v>
      </c>
      <c r="F16" s="13"/>
      <c r="I16" s="172" t="s">
        <v>125</v>
      </c>
      <c r="J16" s="173">
        <f>SUM(J13:J15)</f>
        <v>54931000</v>
      </c>
    </row>
    <row r="17" spans="1:10">
      <c r="A17" s="13" t="s">
        <v>66</v>
      </c>
      <c r="B17" s="154">
        <v>0</v>
      </c>
      <c r="C17" s="154">
        <v>0</v>
      </c>
      <c r="D17" s="154">
        <v>30</v>
      </c>
      <c r="E17" s="163">
        <v>50</v>
      </c>
      <c r="F17" s="13"/>
      <c r="I17" s="175"/>
      <c r="J17" s="175"/>
    </row>
    <row r="18" spans="1:10">
      <c r="A18" s="13" t="s">
        <v>67</v>
      </c>
      <c r="B18" s="154">
        <v>4</v>
      </c>
      <c r="C18" s="154">
        <v>0</v>
      </c>
      <c r="D18" s="154">
        <f>0</f>
        <v>0</v>
      </c>
      <c r="E18" s="163">
        <v>100</v>
      </c>
      <c r="F18" s="13"/>
      <c r="I18" s="175"/>
      <c r="J18" s="175"/>
    </row>
    <row r="19" spans="1:10">
      <c r="A19" s="160" t="s">
        <v>277</v>
      </c>
      <c r="B19" s="13">
        <v>3200</v>
      </c>
      <c r="C19" s="13">
        <v>1800</v>
      </c>
      <c r="D19" s="13">
        <v>1000</v>
      </c>
      <c r="E19" s="13"/>
      <c r="F19" s="164">
        <f>SUMPRODUCT(B13:B18*E13:E18*B19+C13:C18*E13:E18*C19+D13:D18*E13:E18*D19)</f>
        <v>54115000</v>
      </c>
      <c r="I19" s="175"/>
      <c r="J19" s="175"/>
    </row>
    <row r="20" spans="1:10">
      <c r="A20" s="230" t="s">
        <v>281</v>
      </c>
      <c r="B20" s="231"/>
      <c r="C20" s="231"/>
      <c r="D20" s="231"/>
    </row>
    <row r="21" spans="1:10" ht="28.8">
      <c r="A21" s="13" t="s">
        <v>280</v>
      </c>
      <c r="B21" s="60" t="s">
        <v>73</v>
      </c>
      <c r="C21" s="159" t="s">
        <v>74</v>
      </c>
      <c r="D21" s="148" t="s">
        <v>279</v>
      </c>
    </row>
    <row r="22" spans="1:10">
      <c r="A22" s="13" t="s">
        <v>75</v>
      </c>
      <c r="B22" s="154">
        <v>300</v>
      </c>
      <c r="C22" s="154">
        <v>60</v>
      </c>
      <c r="D22" s="167">
        <f>B22*C22*12</f>
        <v>216000</v>
      </c>
    </row>
    <row r="23" spans="1:10">
      <c r="A23" s="13" t="s">
        <v>76</v>
      </c>
      <c r="B23" s="154">
        <v>100</v>
      </c>
      <c r="C23" s="154">
        <v>100</v>
      </c>
      <c r="D23" s="165">
        <f>B23*C23*12</f>
        <v>120000</v>
      </c>
    </row>
    <row r="24" spans="1:10">
      <c r="A24" s="232" t="s">
        <v>282</v>
      </c>
      <c r="B24" s="233"/>
      <c r="C24" s="233"/>
      <c r="D24" s="233"/>
    </row>
    <row r="25" spans="1:10">
      <c r="A25" s="13" t="s">
        <v>283</v>
      </c>
      <c r="B25" s="148" t="s">
        <v>287</v>
      </c>
      <c r="C25" s="148" t="s">
        <v>288</v>
      </c>
      <c r="D25" s="13" t="s">
        <v>289</v>
      </c>
    </row>
    <row r="26" spans="1:10">
      <c r="A26" s="13" t="s">
        <v>284</v>
      </c>
      <c r="B26" s="13">
        <v>10</v>
      </c>
      <c r="C26" s="144">
        <v>5000</v>
      </c>
      <c r="D26" s="168">
        <f>B26*C26*12</f>
        <v>600000</v>
      </c>
    </row>
    <row r="27" spans="1:10">
      <c r="A27" s="13" t="s">
        <v>285</v>
      </c>
      <c r="B27" s="13">
        <f>9</f>
        <v>9</v>
      </c>
      <c r="C27" s="144">
        <v>7000</v>
      </c>
      <c r="D27" s="166">
        <f>B27*C27*12</f>
        <v>756000</v>
      </c>
    </row>
    <row r="28" spans="1:10">
      <c r="A28" s="13" t="s">
        <v>286</v>
      </c>
      <c r="B28" s="13">
        <f>1</f>
        <v>1</v>
      </c>
      <c r="C28" s="144">
        <v>12000</v>
      </c>
      <c r="D28" s="166">
        <f>B28*C28*12</f>
        <v>144000</v>
      </c>
    </row>
    <row r="30" spans="1:10" s="225" customFormat="1">
      <c r="A30" s="225" t="s">
        <v>294</v>
      </c>
    </row>
    <row r="31" spans="1:10">
      <c r="A31" s="176">
        <f>D8-J16</f>
        <v>38669000</v>
      </c>
    </row>
    <row r="32" spans="1:10" s="225" customFormat="1">
      <c r="A32" s="225" t="s">
        <v>295</v>
      </c>
    </row>
    <row r="33" spans="1:2">
      <c r="A33" s="83"/>
    </row>
    <row r="34" spans="1:2">
      <c r="A34" s="148" t="s">
        <v>315</v>
      </c>
      <c r="B34" s="174" t="s">
        <v>291</v>
      </c>
    </row>
    <row r="35" spans="1:2">
      <c r="A35" s="169" t="s">
        <v>296</v>
      </c>
      <c r="B35" s="177">
        <f>D23</f>
        <v>120000</v>
      </c>
    </row>
    <row r="36" spans="1:2" ht="14.4" customHeight="1">
      <c r="A36" s="169" t="s">
        <v>297</v>
      </c>
      <c r="B36" s="177">
        <f>0.05*A31</f>
        <v>1933450</v>
      </c>
    </row>
    <row r="37" spans="1:2">
      <c r="A37" s="171" t="s">
        <v>250</v>
      </c>
      <c r="B37" s="177">
        <f>15000000</f>
        <v>15000000</v>
      </c>
    </row>
    <row r="38" spans="1:2">
      <c r="A38" s="148" t="s">
        <v>298</v>
      </c>
      <c r="B38" s="178">
        <f>D28</f>
        <v>144000</v>
      </c>
    </row>
    <row r="39" spans="1:2" ht="28.8">
      <c r="A39" s="148" t="s">
        <v>299</v>
      </c>
      <c r="B39" s="178">
        <f>D27</f>
        <v>756000</v>
      </c>
    </row>
    <row r="40" spans="1:2">
      <c r="A40" s="13" t="s">
        <v>300</v>
      </c>
      <c r="B40" s="178">
        <f>0.01*D8</f>
        <v>936000</v>
      </c>
    </row>
    <row r="41" spans="1:2">
      <c r="A41" s="179" t="s">
        <v>301</v>
      </c>
      <c r="B41" s="178">
        <f>1200000</f>
        <v>1200000</v>
      </c>
    </row>
    <row r="42" spans="1:2">
      <c r="A42" s="180" t="s">
        <v>302</v>
      </c>
      <c r="B42" s="181">
        <f>SUM(B35:B41)</f>
        <v>20089450</v>
      </c>
    </row>
    <row r="43" spans="1:2">
      <c r="A43" s="9"/>
      <c r="B43" s="9"/>
    </row>
    <row r="44" spans="1:2" s="226" customFormat="1">
      <c r="A44" s="227" t="s">
        <v>303</v>
      </c>
    </row>
    <row r="45" spans="1:2">
      <c r="A45" s="92">
        <f>A31-B42</f>
        <v>18579550</v>
      </c>
      <c r="B45" s="9"/>
    </row>
    <row r="46" spans="1:2">
      <c r="A46" s="9"/>
      <c r="B46" s="9"/>
    </row>
    <row r="47" spans="1:2" s="205" customFormat="1">
      <c r="A47" s="228" t="s">
        <v>310</v>
      </c>
    </row>
    <row r="49" spans="1:7" ht="43.2">
      <c r="A49" s="13"/>
      <c r="B49" s="55" t="s">
        <v>77</v>
      </c>
      <c r="C49" s="55" t="s">
        <v>78</v>
      </c>
      <c r="D49" s="55" t="s">
        <v>79</v>
      </c>
      <c r="E49" s="55" t="s">
        <v>222</v>
      </c>
      <c r="F49" s="183" t="s">
        <v>254</v>
      </c>
      <c r="G49" s="140" t="s">
        <v>258</v>
      </c>
    </row>
    <row r="50" spans="1:7">
      <c r="A50" s="22" t="s">
        <v>81</v>
      </c>
      <c r="B50" s="56">
        <v>2500000</v>
      </c>
      <c r="C50" s="56">
        <v>5</v>
      </c>
      <c r="D50" s="56">
        <v>2017</v>
      </c>
      <c r="E50" s="57">
        <v>1500000</v>
      </c>
      <c r="F50" s="184">
        <f>(B50-E50)/5</f>
        <v>200000</v>
      </c>
      <c r="G50" s="182">
        <f>F50*3</f>
        <v>600000</v>
      </c>
    </row>
    <row r="51" spans="1:7">
      <c r="A51" s="16" t="s">
        <v>82</v>
      </c>
      <c r="B51" s="57">
        <v>2000000</v>
      </c>
      <c r="C51" s="57">
        <v>5</v>
      </c>
      <c r="D51" s="57">
        <v>2018</v>
      </c>
      <c r="E51" s="57">
        <v>1000000</v>
      </c>
      <c r="F51" s="184">
        <f t="shared" ref="F51:F52" si="0">(B51-E51)/5</f>
        <v>200000</v>
      </c>
      <c r="G51" s="141">
        <f>F51*2</f>
        <v>400000</v>
      </c>
    </row>
    <row r="52" spans="1:7">
      <c r="A52" s="16" t="s">
        <v>83</v>
      </c>
      <c r="B52" s="57">
        <v>5000000</v>
      </c>
      <c r="C52" s="57">
        <v>5</v>
      </c>
      <c r="D52" s="57">
        <v>2016</v>
      </c>
      <c r="E52" s="57">
        <v>2000000</v>
      </c>
      <c r="F52" s="184">
        <f t="shared" si="0"/>
        <v>600000</v>
      </c>
      <c r="G52" s="141">
        <f>F52*4</f>
        <v>2400000</v>
      </c>
    </row>
    <row r="53" spans="1:7">
      <c r="A53" s="18" t="s">
        <v>84</v>
      </c>
      <c r="B53" s="58">
        <v>3000000</v>
      </c>
      <c r="C53" s="58">
        <v>4</v>
      </c>
      <c r="D53" s="58">
        <v>2017</v>
      </c>
      <c r="E53" s="58">
        <v>0</v>
      </c>
      <c r="F53" s="184">
        <f>(B53-E53)/4</f>
        <v>750000</v>
      </c>
      <c r="G53" s="141">
        <f>F53*3</f>
        <v>2250000</v>
      </c>
    </row>
    <row r="54" spans="1:7">
      <c r="A54" s="18" t="s">
        <v>304</v>
      </c>
      <c r="B54" s="58">
        <v>500000</v>
      </c>
      <c r="C54" s="58">
        <v>4</v>
      </c>
      <c r="D54" s="58">
        <v>2019</v>
      </c>
      <c r="E54" s="58">
        <f>B54*0.4</f>
        <v>200000</v>
      </c>
      <c r="F54" s="184">
        <f>(B54-B54*0.6)/4</f>
        <v>50000</v>
      </c>
      <c r="G54" s="141">
        <f>F54*1</f>
        <v>50000</v>
      </c>
    </row>
    <row r="55" spans="1:7">
      <c r="A55" s="18" t="s">
        <v>3</v>
      </c>
      <c r="B55" s="58">
        <f>SUM(B50:B54)</f>
        <v>13000000</v>
      </c>
      <c r="C55" s="59"/>
      <c r="D55" s="59"/>
      <c r="E55" s="59"/>
      <c r="F55" s="185">
        <f>SUM(F50:F54)</f>
        <v>1800000</v>
      </c>
      <c r="G55" s="185">
        <f>SUM(G50:G54)</f>
        <v>5700000</v>
      </c>
    </row>
    <row r="57" spans="1:7">
      <c r="A57" s="83" t="s">
        <v>305</v>
      </c>
    </row>
    <row r="58" spans="1:7">
      <c r="A58" s="191">
        <f>A45-F55</f>
        <v>16779550</v>
      </c>
    </row>
    <row r="60" spans="1:7" s="226" customFormat="1">
      <c r="A60" s="225" t="s">
        <v>306</v>
      </c>
    </row>
    <row r="62" spans="1:7" ht="43.2">
      <c r="A62" s="186" t="s">
        <v>256</v>
      </c>
      <c r="B62" s="148" t="s">
        <v>307</v>
      </c>
      <c r="C62" s="188" t="s">
        <v>308</v>
      </c>
      <c r="D62" s="162" t="s">
        <v>291</v>
      </c>
    </row>
    <row r="63" spans="1:7">
      <c r="A63" s="187">
        <f>500000*0.05/2</f>
        <v>12500</v>
      </c>
      <c r="B63" s="145">
        <f>0.04*300000</f>
        <v>12000</v>
      </c>
      <c r="C63" s="187">
        <f>0.06*5000000</f>
        <v>300000</v>
      </c>
      <c r="D63" s="189">
        <f>A63+B63+C63</f>
        <v>324500</v>
      </c>
    </row>
    <row r="65" spans="1:2">
      <c r="A65" s="83" t="s">
        <v>309</v>
      </c>
    </row>
    <row r="66" spans="1:2">
      <c r="A66" s="190">
        <f>A58-D63</f>
        <v>16455050</v>
      </c>
    </row>
    <row r="67" spans="1:2" ht="13.8" customHeight="1"/>
    <row r="68" spans="1:2" s="229" customFormat="1">
      <c r="A68" s="229" t="s">
        <v>311</v>
      </c>
    </row>
    <row r="69" spans="1:2">
      <c r="A69" s="190">
        <f>A66*0.195</f>
        <v>3208734.75</v>
      </c>
    </row>
    <row r="71" spans="1:2" s="83" customFormat="1">
      <c r="A71" s="83" t="s">
        <v>312</v>
      </c>
    </row>
    <row r="72" spans="1:2">
      <c r="A72" s="190">
        <f>A66-A69</f>
        <v>13246315.25</v>
      </c>
    </row>
    <row r="74" spans="1:2">
      <c r="A74" s="83" t="s">
        <v>313</v>
      </c>
    </row>
    <row r="75" spans="1:2">
      <c r="A75" s="190">
        <f>A72*0.75</f>
        <v>9934736.4375</v>
      </c>
    </row>
    <row r="77" spans="1:2">
      <c r="A77" s="83" t="s">
        <v>314</v>
      </c>
      <c r="B77" s="83"/>
    </row>
    <row r="78" spans="1:2">
      <c r="A78" s="190">
        <f>A72-A75</f>
        <v>3311578.8125</v>
      </c>
    </row>
    <row r="80" spans="1:2" s="228" customFormat="1">
      <c r="A80" s="228" t="s">
        <v>316</v>
      </c>
    </row>
    <row r="82" spans="1:9" s="205" customFormat="1">
      <c r="A82" s="228" t="s">
        <v>318</v>
      </c>
    </row>
    <row r="83" spans="1:9">
      <c r="A83" t="s">
        <v>317</v>
      </c>
      <c r="B83" s="193">
        <f>C8*0.005</f>
        <v>468000</v>
      </c>
    </row>
    <row r="84" spans="1:9" s="205" customFormat="1">
      <c r="A84" s="205" t="s">
        <v>319</v>
      </c>
    </row>
    <row r="85" spans="1:9">
      <c r="A85" s="146">
        <f>F19*1.02-F19</f>
        <v>1082300</v>
      </c>
    </row>
    <row r="86" spans="1:9">
      <c r="A86" t="s">
        <v>320</v>
      </c>
      <c r="E86" s="193">
        <f>A85+415000</f>
        <v>1497300</v>
      </c>
    </row>
    <row r="88" spans="1:9" s="224" customFormat="1">
      <c r="A88" s="224" t="s">
        <v>321</v>
      </c>
    </row>
    <row r="90" spans="1:9" s="192" customFormat="1">
      <c r="A90" s="192" t="s">
        <v>322</v>
      </c>
      <c r="B90" s="194">
        <f>12500000+500000</f>
        <v>13000000</v>
      </c>
    </row>
    <row r="91" spans="1:9" s="83" customFormat="1">
      <c r="A91" s="83" t="s">
        <v>100</v>
      </c>
      <c r="B91" s="195">
        <f>G55</f>
        <v>5700000</v>
      </c>
    </row>
    <row r="93" spans="1:9">
      <c r="A93" s="83" t="s">
        <v>325</v>
      </c>
      <c r="B93" s="197">
        <f>0.03*F19*1.02</f>
        <v>1655919</v>
      </c>
      <c r="C93" s="205" t="s">
        <v>323</v>
      </c>
      <c r="D93" s="205"/>
      <c r="E93" s="205"/>
      <c r="F93" s="205"/>
      <c r="G93" s="205"/>
      <c r="H93" s="205"/>
      <c r="I93" s="205"/>
    </row>
    <row r="94" spans="1:9" s="83" customFormat="1">
      <c r="A94" s="83" t="s">
        <v>324</v>
      </c>
    </row>
    <row r="95" spans="1:9">
      <c r="A95" s="83" t="s">
        <v>327</v>
      </c>
    </row>
    <row r="96" spans="1:9">
      <c r="A96" s="83" t="s">
        <v>326</v>
      </c>
      <c r="B96" s="191">
        <f>4234666.67+A78</f>
        <v>7546245.4824999999</v>
      </c>
    </row>
    <row r="98" spans="1:11" s="226" customFormat="1">
      <c r="A98" s="225" t="s">
        <v>328</v>
      </c>
    </row>
    <row r="100" spans="1:11">
      <c r="A100" s="3" t="s">
        <v>265</v>
      </c>
    </row>
    <row r="101" spans="1:11">
      <c r="A101" s="13"/>
      <c r="B101" s="151" t="s">
        <v>266</v>
      </c>
      <c r="C101" s="151" t="s">
        <v>267</v>
      </c>
      <c r="D101" s="152" t="s">
        <v>268</v>
      </c>
    </row>
    <row r="102" spans="1:11">
      <c r="A102" s="153" t="s">
        <v>269</v>
      </c>
      <c r="B102" s="154">
        <f>B111</f>
        <v>350000</v>
      </c>
      <c r="C102" s="154">
        <f>B83</f>
        <v>468000</v>
      </c>
      <c r="D102" s="154">
        <f>C102-B102</f>
        <v>118000</v>
      </c>
    </row>
    <row r="103" spans="1:11">
      <c r="A103" s="155" t="s">
        <v>92</v>
      </c>
      <c r="B103" s="154">
        <f>B112</f>
        <v>415000</v>
      </c>
      <c r="C103" s="154">
        <f>E86</f>
        <v>1497300</v>
      </c>
      <c r="D103" s="154">
        <f>C103-B103</f>
        <v>1082300</v>
      </c>
    </row>
    <row r="104" spans="1:11">
      <c r="A104" s="155" t="s">
        <v>270</v>
      </c>
      <c r="B104" s="154">
        <f>E110</f>
        <v>300000</v>
      </c>
      <c r="C104" s="154">
        <f>B93</f>
        <v>1655919</v>
      </c>
      <c r="D104" s="154">
        <f>C104-B104</f>
        <v>1355919</v>
      </c>
      <c r="K104" t="s">
        <v>331</v>
      </c>
    </row>
    <row r="108" spans="1:11">
      <c r="A108" s="31"/>
      <c r="B108" s="15"/>
      <c r="C108" s="14"/>
      <c r="D108" s="14"/>
      <c r="E108" s="15"/>
    </row>
    <row r="109" spans="1:11">
      <c r="A109" s="31" t="s">
        <v>329</v>
      </c>
      <c r="B109" s="15"/>
      <c r="C109" s="14"/>
      <c r="D109" s="14" t="s">
        <v>330</v>
      </c>
      <c r="E109" s="15"/>
    </row>
    <row r="110" spans="1:11">
      <c r="A110" s="27" t="s">
        <v>88</v>
      </c>
      <c r="B110" s="28">
        <f>841666.66666667+50000</f>
        <v>891666.66666667</v>
      </c>
      <c r="C110" s="9"/>
      <c r="D110" s="9" t="s">
        <v>89</v>
      </c>
      <c r="E110" s="28">
        <v>300000</v>
      </c>
    </row>
    <row r="111" spans="1:11">
      <c r="A111" s="27" t="s">
        <v>90</v>
      </c>
      <c r="B111" s="28">
        <v>350000</v>
      </c>
      <c r="C111" s="9"/>
      <c r="D111" s="9" t="s">
        <v>91</v>
      </c>
      <c r="E111" s="28">
        <v>300000</v>
      </c>
    </row>
    <row r="112" spans="1:11">
      <c r="A112" s="27" t="s">
        <v>92</v>
      </c>
      <c r="B112" s="28">
        <v>415000</v>
      </c>
      <c r="C112" s="9"/>
      <c r="D112" s="2" t="s">
        <v>93</v>
      </c>
      <c r="E112" s="30">
        <f>E110+E111</f>
        <v>600000</v>
      </c>
    </row>
    <row r="113" spans="1:5" ht="15" thickBot="1">
      <c r="A113" s="29" t="s">
        <v>94</v>
      </c>
      <c r="B113" s="30">
        <f>SUMPRODUCT(B77:B78,C77:C78)</f>
        <v>0</v>
      </c>
      <c r="C113" s="33"/>
      <c r="D113" s="35" t="s">
        <v>95</v>
      </c>
      <c r="E113" s="36">
        <v>5000000</v>
      </c>
    </row>
    <row r="114" spans="1:5" ht="15" thickTop="1">
      <c r="A114" s="29" t="s">
        <v>96</v>
      </c>
      <c r="B114" s="30">
        <f>SUM(B110:B113)</f>
        <v>1656666.66666667</v>
      </c>
      <c r="C114" s="2"/>
      <c r="D114" s="2" t="s">
        <v>97</v>
      </c>
      <c r="E114" s="30">
        <f>E112+E113</f>
        <v>5600000</v>
      </c>
    </row>
    <row r="115" spans="1:5">
      <c r="A115" s="9"/>
      <c r="B115" s="198"/>
      <c r="C115" s="9"/>
      <c r="D115" s="9"/>
      <c r="E115" s="198"/>
    </row>
    <row r="116" spans="1:5">
      <c r="A116" s="199" t="s">
        <v>332</v>
      </c>
      <c r="B116" s="200"/>
      <c r="C116" s="69"/>
      <c r="D116" s="69"/>
      <c r="E116" s="198"/>
    </row>
    <row r="117" spans="1:5">
      <c r="A117" s="9"/>
      <c r="B117" s="198"/>
      <c r="C117" s="9"/>
      <c r="D117" s="9"/>
      <c r="E117" s="198"/>
    </row>
    <row r="118" spans="1:5">
      <c r="A118" s="9"/>
      <c r="B118" s="198"/>
      <c r="C118" s="9"/>
      <c r="D118" s="9"/>
      <c r="E118" s="198"/>
    </row>
    <row r="119" spans="1:5">
      <c r="A119" s="9"/>
      <c r="B119" s="9"/>
      <c r="C119" s="9"/>
      <c r="D119" s="9"/>
      <c r="E119" s="198"/>
    </row>
    <row r="120" spans="1:5">
      <c r="A120" s="9"/>
      <c r="B120" s="198"/>
      <c r="C120" s="9"/>
      <c r="D120" s="9"/>
      <c r="E120" s="198"/>
    </row>
  </sheetData>
  <mergeCells count="15">
    <mergeCell ref="A10:XFD10"/>
    <mergeCell ref="A20:D20"/>
    <mergeCell ref="A24:D24"/>
    <mergeCell ref="A30:XFD30"/>
    <mergeCell ref="A32:XFD32"/>
    <mergeCell ref="A84:XFD84"/>
    <mergeCell ref="A88:XFD88"/>
    <mergeCell ref="C93:I93"/>
    <mergeCell ref="A98:XFD98"/>
    <mergeCell ref="A44:XFD44"/>
    <mergeCell ref="A47:XFD47"/>
    <mergeCell ref="A60:XFD60"/>
    <mergeCell ref="A68:XFD68"/>
    <mergeCell ref="A80:XFD80"/>
    <mergeCell ref="A82:XFD8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65A75-0610-204E-B02B-1008B3F403D4}">
  <dimension ref="A1:A63"/>
  <sheetViews>
    <sheetView workbookViewId="0">
      <selection sqref="A1:A1048576"/>
    </sheetView>
  </sheetViews>
  <sheetFormatPr defaultColWidth="11.5546875" defaultRowHeight="14.4"/>
  <cols>
    <col min="1" max="1" width="10.77734375" style="85"/>
  </cols>
  <sheetData>
    <row r="1" spans="1:1">
      <c r="A1" s="85" t="s">
        <v>122</v>
      </c>
    </row>
    <row r="2" spans="1:1">
      <c r="A2" s="85">
        <f>'Case - Answers'!E2</f>
        <v>93600000</v>
      </c>
    </row>
    <row r="3" spans="1:1">
      <c r="A3" s="85">
        <f>'Case - Answers'!E3</f>
        <v>54931000</v>
      </c>
    </row>
    <row r="4" spans="1:1">
      <c r="A4" s="85">
        <f>'Case - Answers'!E4</f>
        <v>38669000</v>
      </c>
    </row>
    <row r="5" spans="1:1">
      <c r="A5" s="85">
        <f>'Case - Answers'!E5</f>
        <v>20089450</v>
      </c>
    </row>
    <row r="6" spans="1:1">
      <c r="A6" s="85">
        <f>'Case - Answers'!E6</f>
        <v>18579550</v>
      </c>
    </row>
    <row r="7" spans="1:1">
      <c r="A7" s="85">
        <f>'Case - Answers'!E7</f>
        <v>1800000</v>
      </c>
    </row>
    <row r="8" spans="1:1">
      <c r="A8" s="85">
        <f>'Case - Answers'!E8</f>
        <v>16779550</v>
      </c>
    </row>
    <row r="9" spans="1:1">
      <c r="A9" s="85">
        <f>'Case - Answers'!E9</f>
        <v>324500</v>
      </c>
    </row>
    <row r="10" spans="1:1">
      <c r="A10" s="85">
        <f>'Case - Answers'!E10</f>
        <v>16455050</v>
      </c>
    </row>
    <row r="11" spans="1:1">
      <c r="A11" s="85">
        <f>'Case - Answers'!E11</f>
        <v>3208734.75</v>
      </c>
    </row>
    <row r="12" spans="1:1">
      <c r="A12" s="85">
        <f>'Case - Answers'!E12</f>
        <v>13246315.25</v>
      </c>
    </row>
    <row r="13" spans="1:1">
      <c r="A13" s="85">
        <f>'Case - Answers'!E13</f>
        <v>9934736.4375</v>
      </c>
    </row>
    <row r="14" spans="1:1">
      <c r="A14" s="85">
        <f>'Case - Answers'!E14</f>
        <v>3311578.8125</v>
      </c>
    </row>
    <row r="15" spans="1:1">
      <c r="A15" s="85" t="s">
        <v>85</v>
      </c>
    </row>
    <row r="16" spans="1:1">
      <c r="A16" s="85">
        <f>'Case - Answers'!H4</f>
        <v>5858864.4800000004</v>
      </c>
    </row>
    <row r="17" spans="1:1">
      <c r="A17" s="85">
        <f>'Case - Answers'!H5</f>
        <v>468000</v>
      </c>
    </row>
    <row r="18" spans="1:1">
      <c r="A18" s="85">
        <f>'Case - Answers'!H6</f>
        <v>1497300</v>
      </c>
    </row>
    <row r="19" spans="1:1">
      <c r="A19" s="85">
        <f>'Case - Answers'!H7</f>
        <v>28000</v>
      </c>
    </row>
    <row r="20" spans="1:1">
      <c r="A20" s="85">
        <f>'Case - Answers'!H8</f>
        <v>7852164.4800000004</v>
      </c>
    </row>
    <row r="21" spans="1:1">
      <c r="A21" s="85">
        <f>'Case - Answers'!H10</f>
        <v>13000000</v>
      </c>
    </row>
    <row r="22" spans="1:1">
      <c r="A22" s="85">
        <f>'Case - Answers'!H11</f>
        <v>5700000</v>
      </c>
    </row>
    <row r="23" spans="1:1">
      <c r="A23" s="85">
        <f>'Case - Answers'!H12</f>
        <v>50000</v>
      </c>
    </row>
    <row r="24" spans="1:1">
      <c r="A24" s="85">
        <f>'Case - Answers'!$H$14</f>
        <v>15202164.48</v>
      </c>
    </row>
    <row r="25" spans="1:1">
      <c r="A25" s="85">
        <f>'Case - Answers'!K4</f>
        <v>1655919</v>
      </c>
    </row>
    <row r="26" spans="1:1">
      <c r="A26" s="85">
        <f>'Case - Answers'!K5</f>
        <v>0</v>
      </c>
    </row>
    <row r="27" spans="1:1">
      <c r="A27" s="85">
        <f>'Case - Answers'!K6</f>
        <v>1655919</v>
      </c>
    </row>
    <row r="28" spans="1:1">
      <c r="A28" s="85">
        <f>'Case - Answers'!K7</f>
        <v>5500000</v>
      </c>
    </row>
    <row r="29" spans="1:1">
      <c r="A29" s="85">
        <f>'Case - Answers'!K8</f>
        <v>7155919</v>
      </c>
    </row>
    <row r="30" spans="1:1">
      <c r="A30" s="85">
        <f>'Case - Answers'!K11</f>
        <v>500000</v>
      </c>
    </row>
    <row r="31" spans="1:1">
      <c r="A31" s="85">
        <f>'Case - Answers'!K12</f>
        <v>7546245.4824999999</v>
      </c>
    </row>
    <row r="32" spans="1:1">
      <c r="A32" s="85">
        <f>'Case - Answers'!K13</f>
        <v>8046245.4824999999</v>
      </c>
    </row>
    <row r="33" spans="1:1">
      <c r="A33" s="85">
        <f>'Case - Answers'!K14</f>
        <v>15202164.4825</v>
      </c>
    </row>
    <row r="34" spans="1:1">
      <c r="A34" s="85" t="s">
        <v>123</v>
      </c>
    </row>
    <row r="35" spans="1:1">
      <c r="A35" s="85">
        <f>'Case - Answers'!O4</f>
        <v>13246315.25</v>
      </c>
    </row>
    <row r="36" spans="1:1">
      <c r="A36" s="85">
        <f>'Case - Answers'!O5</f>
        <v>1800000</v>
      </c>
    </row>
    <row r="37" spans="1:1">
      <c r="A37" s="85">
        <f>'Case - Answers'!O6</f>
        <v>-155619</v>
      </c>
    </row>
    <row r="38" spans="1:1">
      <c r="A38" s="85">
        <f>'Case - Answers'!O7</f>
        <v>14890696.25</v>
      </c>
    </row>
    <row r="39" spans="1:1">
      <c r="A39" s="85">
        <f>'Case - Answers'!O10</f>
        <v>2300000</v>
      </c>
    </row>
    <row r="40" spans="1:1">
      <c r="A40" s="85">
        <f>'Case - Answers'!O11</f>
        <v>0</v>
      </c>
    </row>
    <row r="41" spans="1:1">
      <c r="A41" s="85">
        <f>'Case - Answers'!O12</f>
        <v>0</v>
      </c>
    </row>
    <row r="42" spans="1:1">
      <c r="A42" s="85">
        <f>'Case - Answers'!O13</f>
        <v>2300000</v>
      </c>
    </row>
    <row r="43" spans="1:1">
      <c r="A43" s="85">
        <f>'Case - Answers'!O16</f>
        <v>200000</v>
      </c>
    </row>
    <row r="44" spans="1:1">
      <c r="A44" s="85">
        <f>'Case - Answers'!O17</f>
        <v>-9934736.4375</v>
      </c>
    </row>
    <row r="45" spans="1:1">
      <c r="A45" s="85">
        <f>'Case - Answers'!O18</f>
        <v>-9734736.4375</v>
      </c>
    </row>
    <row r="46" spans="1:1">
      <c r="A46" s="85">
        <f>'Case - Answers'!$O$20</f>
        <v>7455959.8125</v>
      </c>
    </row>
    <row r="47" spans="1:1">
      <c r="A47" s="85" t="s">
        <v>151</v>
      </c>
    </row>
    <row r="48" spans="1:1">
      <c r="A48" s="85">
        <f>'Case - Answers'!S4</f>
        <v>4.741877157034855</v>
      </c>
    </row>
    <row r="49" spans="1:1">
      <c r="A49" s="85">
        <f>'Case - Answers'!S5</f>
        <v>3.8376662626613984</v>
      </c>
    </row>
    <row r="50" spans="1:1">
      <c r="A50" s="85">
        <f>'Case - Answers'!S6</f>
        <v>3.5381347034486592</v>
      </c>
    </row>
    <row r="51" spans="1:1">
      <c r="A51" s="85">
        <f>'Case - Answers'!S8</f>
        <v>1.8326471178515358</v>
      </c>
    </row>
    <row r="52" spans="1:1">
      <c r="A52" s="85">
        <f>'Case - Answers'!S9</f>
        <v>100</v>
      </c>
    </row>
    <row r="53" spans="1:1">
      <c r="A53" s="85">
        <f>'Case - Answers'!S10</f>
        <v>3.65</v>
      </c>
    </row>
    <row r="54" spans="1:1">
      <c r="A54" s="85">
        <f>'Case - Answers'!S11</f>
        <v>18.343351365791758</v>
      </c>
    </row>
    <row r="55" spans="1:1">
      <c r="A55" s="85">
        <f>'Case - Answers'!S12</f>
        <v>19.898217764104057</v>
      </c>
    </row>
    <row r="56" spans="1:1">
      <c r="A56" s="85">
        <f>'Case - Answers'!S14</f>
        <v>0.14152046207264957</v>
      </c>
    </row>
    <row r="57" spans="1:1">
      <c r="A57" s="85">
        <f>'Case - Answers'!S15</f>
        <v>0.19849946581196581</v>
      </c>
    </row>
    <row r="58" spans="1:1">
      <c r="A58" s="85">
        <f>'Case - Answers'!S16</f>
        <v>0.41313034188034187</v>
      </c>
    </row>
    <row r="59" spans="1:1">
      <c r="A59" s="85">
        <f>'Case - Answers'!S17</f>
        <v>0.25935706693445881</v>
      </c>
    </row>
    <row r="60" spans="1:1">
      <c r="A60" s="85">
        <f>'Case - Answers'!S18</f>
        <v>6.6231576250000002</v>
      </c>
    </row>
    <row r="61" spans="1:1">
      <c r="A61" s="85">
        <f>'Case - Answers'!S20</f>
        <v>0.47071711461972027</v>
      </c>
    </row>
    <row r="62" spans="1:1">
      <c r="A62" s="85">
        <f>'Case - Answers'!S21</f>
        <v>0.88934882928486392</v>
      </c>
    </row>
    <row r="63" spans="1:1">
      <c r="A63" s="85">
        <f>'Case - Answers'!S22</f>
        <v>51.708936825885978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7</vt:i4>
      </vt:variant>
    </vt:vector>
  </HeadingPairs>
  <TitlesOfParts>
    <vt:vector size="7" baseType="lpstr">
      <vt:lpstr>Instructions --&gt;</vt:lpstr>
      <vt:lpstr>Questions --&gt;</vt:lpstr>
      <vt:lpstr>Case 1--&gt; (2)</vt:lpstr>
      <vt:lpstr>Case 1--&gt;</vt:lpstr>
      <vt:lpstr>Case - Answers</vt:lpstr>
      <vt:lpstr>Case - Solving&amp;Explanation</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2020-03-29T12:48:37Z</dcterms:modified>
</cp:coreProperties>
</file>