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CHESTER\Git\fsmp\"/>
    </mc:Choice>
  </mc:AlternateContent>
  <bookViews>
    <workbookView xWindow="0" yWindow="0" windowWidth="23040" windowHeight="8796"/>
  </bookViews>
  <sheets>
    <sheet name="Data model (Market)" sheetId="6" r:id="rId1"/>
    <sheet name="Data model (Simple)" sheetId="5" r:id="rId2"/>
    <sheet name="Income calculation" sheetId="4" r:id="rId3"/>
    <sheet name="General" sheetId="1"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6" l="1"/>
  <c r="F6" i="6" l="1"/>
  <c r="F5" i="6"/>
  <c r="I4" i="5"/>
  <c r="G21" i="6"/>
  <c r="G20" i="6"/>
  <c r="G19" i="6"/>
  <c r="G17" i="6"/>
  <c r="G16" i="6"/>
  <c r="H16" i="6" s="1"/>
  <c r="G15" i="6"/>
  <c r="G14" i="6"/>
  <c r="G12" i="6"/>
  <c r="J21" i="6"/>
  <c r="I21" i="6"/>
  <c r="J20" i="6"/>
  <c r="I20" i="6"/>
  <c r="J19" i="6"/>
  <c r="I19" i="6"/>
  <c r="J18" i="6"/>
  <c r="I18" i="6"/>
  <c r="J17" i="6"/>
  <c r="I17" i="6"/>
  <c r="J16" i="6"/>
  <c r="I16" i="6"/>
  <c r="J15" i="6"/>
  <c r="I15" i="6"/>
  <c r="J14" i="6"/>
  <c r="I14" i="6"/>
  <c r="J13" i="6"/>
  <c r="I13" i="6"/>
  <c r="J12" i="6"/>
  <c r="I12" i="6"/>
  <c r="G6" i="6" l="1"/>
  <c r="E6" i="6"/>
  <c r="J6" i="6"/>
  <c r="G5" i="6"/>
  <c r="E5" i="6"/>
  <c r="H5" i="5"/>
  <c r="H4" i="5"/>
  <c r="J19" i="5"/>
  <c r="J18" i="5"/>
  <c r="J17" i="5"/>
  <c r="J16" i="5"/>
  <c r="J15" i="5"/>
  <c r="J14" i="5"/>
  <c r="J13" i="5"/>
  <c r="J12" i="5"/>
  <c r="J11" i="5"/>
  <c r="J10" i="5"/>
  <c r="N25" i="5"/>
  <c r="I19" i="5"/>
  <c r="G19" i="5"/>
  <c r="I18" i="5"/>
  <c r="G18" i="5"/>
  <c r="I17" i="5"/>
  <c r="G17" i="5"/>
  <c r="I16" i="5"/>
  <c r="I15" i="5"/>
  <c r="G15" i="5"/>
  <c r="I14" i="5"/>
  <c r="G14" i="5"/>
  <c r="H14" i="5" s="1"/>
  <c r="I13" i="5"/>
  <c r="G13" i="5"/>
  <c r="I12" i="5"/>
  <c r="G12" i="5"/>
  <c r="I11" i="5"/>
  <c r="I10" i="5"/>
  <c r="G10" i="5"/>
  <c r="I5" i="5"/>
  <c r="J5" i="5" s="1"/>
  <c r="F5" i="5"/>
  <c r="H19" i="5" s="1"/>
  <c r="J4" i="5"/>
  <c r="F4" i="5"/>
  <c r="H10" i="5" l="1"/>
  <c r="H12" i="5"/>
  <c r="H12" i="6"/>
  <c r="H15" i="6"/>
  <c r="G13" i="6"/>
  <c r="H13" i="6" s="1"/>
  <c r="H14" i="6"/>
  <c r="H21" i="6"/>
  <c r="H17" i="6"/>
  <c r="I6" i="6" s="1"/>
  <c r="G18" i="6"/>
  <c r="H18" i="6" s="1"/>
  <c r="H20" i="6"/>
  <c r="H19" i="6"/>
  <c r="H18" i="5"/>
  <c r="G11" i="5"/>
  <c r="H13" i="5"/>
  <c r="G16" i="5"/>
  <c r="H16" i="5" s="1"/>
  <c r="H17" i="5"/>
  <c r="H11" i="5"/>
  <c r="H15" i="5"/>
  <c r="B16" i="4"/>
  <c r="B15" i="4"/>
  <c r="B14" i="4"/>
  <c r="B13" i="4"/>
  <c r="B12" i="4"/>
  <c r="B11" i="4"/>
  <c r="C11" i="4" s="1"/>
  <c r="B10" i="4"/>
  <c r="B23" i="4"/>
  <c r="B24" i="4" s="1"/>
  <c r="B20" i="4"/>
  <c r="B21" i="4" s="1"/>
  <c r="B6" i="4"/>
  <c r="D16" i="4"/>
  <c r="D15" i="4"/>
  <c r="D14" i="4"/>
  <c r="D13" i="4"/>
  <c r="D12" i="4"/>
  <c r="D11" i="4"/>
  <c r="D10" i="4"/>
  <c r="I5" i="6" l="1"/>
  <c r="E4" i="5"/>
  <c r="K4" i="5" s="1"/>
  <c r="E5" i="5"/>
  <c r="K5" i="5" s="1"/>
  <c r="C14" i="4"/>
  <c r="B25" i="4"/>
  <c r="B22" i="4"/>
  <c r="C10" i="4"/>
  <c r="C15" i="4"/>
  <c r="C13" i="4"/>
  <c r="C12" i="4"/>
  <c r="C16" i="4"/>
  <c r="B13" i="1"/>
  <c r="B15" i="1" s="1"/>
  <c r="B17" i="1" s="1"/>
  <c r="B19" i="1" s="1"/>
</calcChain>
</file>

<file path=xl/sharedStrings.xml><?xml version="1.0" encoding="utf-8"?>
<sst xmlns="http://schemas.openxmlformats.org/spreadsheetml/2006/main" count="189" uniqueCount="105">
  <si>
    <t>Average Peers Quantity</t>
  </si>
  <si>
    <t>Average Data Volume, TB</t>
  </si>
  <si>
    <t>Founders Interest Rate</t>
  </si>
  <si>
    <t>Users quantity</t>
  </si>
  <si>
    <t>Turnover</t>
  </si>
  <si>
    <t>create storage contract + withdraw money</t>
  </si>
  <si>
    <t>Average operation cost</t>
  </si>
  <si>
    <t>input money once per month (create request + approve + stop) per peer with DS turover probability per month</t>
  </si>
  <si>
    <t>DO operational cost</t>
  </si>
  <si>
    <t>DS operational cost</t>
  </si>
  <si>
    <t>*In both cases income distribution can be controlled by Smart Contract</t>
  </si>
  <si>
    <t>1. Smart contracts security risks (The DAO similar risks)</t>
  </si>
  <si>
    <t>2. Reimplementing SC and clients with more attractive prices</t>
  </si>
  <si>
    <t>3. Ether price volatiltity risks</t>
  </si>
  <si>
    <t>4. Ethereum protocol risks: uncovered bugs, consensus rules changes (from PoW to PoS, etc)</t>
  </si>
  <si>
    <t>5. Internal cryptocurrency fraud risks</t>
  </si>
  <si>
    <t>2. One of major tasks is to find essential quantity of buyers. Option:gift prepayed storage requests with small ETH amout inside</t>
  </si>
  <si>
    <t>2. Traditional investors</t>
  </si>
  <si>
    <t>2. Data sharding</t>
  </si>
  <si>
    <t>1. Symmetric trading flow</t>
  </si>
  <si>
    <t>3. Automatic geographical distribution</t>
  </si>
  <si>
    <t>1. DO creates Data Storage Request with Smart Contract function and provides some amount of Ether attached to the request at will</t>
  </si>
  <si>
    <t>1. Crowd sale. Ether-based tokens?</t>
  </si>
  <si>
    <t>4. Law issues investigation</t>
  </si>
  <si>
    <t>5. Torrent-style data distribution between DS.</t>
  </si>
  <si>
    <t>6. Fiat-ETH convertation and additional income on it</t>
  </si>
  <si>
    <t>2. DS creates Storage Contract for the Request he comfortobale to work with and waits for approval</t>
  </si>
  <si>
    <t>3. DO approves the Contract if he agrees the cooperation (he will likely upload to DS and checks his data availability before that). Otherwise he does nothing with the contract. The current date is put as the Contract start date at the moment of approval.</t>
  </si>
  <si>
    <t>4. Now it's mainly DO responsibility to check for data availability and stop the contract at will by any reason.</t>
  </si>
  <si>
    <t>5. DS responsibility is to check if the contract has enough amount to pay for data storing. DS can stop contract as well but he has no incentive to do that.</t>
  </si>
  <si>
    <t>6. DO should send additional ETH to the contract to avoid DS from stopping the contract</t>
  </si>
  <si>
    <t>7. DS can withdraw his amount of Ether any time. Smart Contract will calculate the amount automatically based on Contract days quantity.</t>
  </si>
  <si>
    <t>Disk Space, TB</t>
  </si>
  <si>
    <t>TB</t>
  </si>
  <si>
    <t>1. Work with corporations, other big clients</t>
  </si>
  <si>
    <t>3. Amouncing, white paper, up-to-date community channels from the very start of the project</t>
  </si>
  <si>
    <t>Income</t>
  </si>
  <si>
    <t>Free storage</t>
  </si>
  <si>
    <t>Turnover storage</t>
  </si>
  <si>
    <t>Price per TB per year</t>
  </si>
  <si>
    <t>1. Blockchain-based escrow and routing</t>
  </si>
  <si>
    <t>2. Open-source ensures that everyting is encrypted</t>
  </si>
  <si>
    <t>Динамика роста - в два раза в полтора года</t>
  </si>
  <si>
    <t>World's disk space</t>
  </si>
  <si>
    <t>3. Price should be lower than that of cloud-based storages.</t>
  </si>
  <si>
    <t>FSMP main advangates</t>
  </si>
  <si>
    <t>FSMP income calculation</t>
  </si>
  <si>
    <t>FSMP market storage evaluation</t>
  </si>
  <si>
    <t>FSMP project risks</t>
  </si>
  <si>
    <t>FSMP marketing tasks</t>
  </si>
  <si>
    <t>FSMP funding scenarious</t>
  </si>
  <si>
    <t>FSMP improvement areas</t>
  </si>
  <si>
    <t>FSMP storage contract agreement steps</t>
  </si>
  <si>
    <t>Average Price per TB/month</t>
  </si>
  <si>
    <t>DS turnover per month</t>
  </si>
  <si>
    <t>DS income per TB/month</t>
  </si>
  <si>
    <t>DO operations quantity per month</t>
  </si>
  <si>
    <t>DO operational cost per month</t>
  </si>
  <si>
    <t>DS operations quantity per month</t>
  </si>
  <si>
    <t>Storage request</t>
  </si>
  <si>
    <t>Storage contract</t>
  </si>
  <si>
    <t>Founders/Investors Income per month</t>
  </si>
  <si>
    <t>Redundancy</t>
  </si>
  <si>
    <t>IP/port</t>
  </si>
  <si>
    <t>23.45.115.6/5666</t>
  </si>
  <si>
    <t>Approved Date</t>
  </si>
  <si>
    <t>Withdrawed</t>
  </si>
  <si>
    <t>Price per TB, 30 days</t>
  </si>
  <si>
    <t>Price per peer, 30 days</t>
  </si>
  <si>
    <t>DS Address</t>
  </si>
  <si>
    <t>DO Address</t>
  </si>
  <si>
    <t>Stop Date</t>
  </si>
  <si>
    <t>10.7.44.43/5666</t>
  </si>
  <si>
    <t>83.88.102.22/5666</t>
  </si>
  <si>
    <t>15.9.44.10/5666</t>
  </si>
  <si>
    <t>19.111.249.15/5666</t>
  </si>
  <si>
    <t>Total Amount</t>
  </si>
  <si>
    <t>Current Date</t>
  </si>
  <si>
    <t>Volume, GB</t>
  </si>
  <si>
    <t>Deadline</t>
  </si>
  <si>
    <t>Days to withdraw</t>
  </si>
  <si>
    <t>0xdedb</t>
  </si>
  <si>
    <t>0x2adc</t>
  </si>
  <si>
    <t>0xcd2a</t>
  </si>
  <si>
    <t>0x27be</t>
  </si>
  <si>
    <t>0xa42a</t>
  </si>
  <si>
    <t>0xc2d7</t>
  </si>
  <si>
    <t>0xf844</t>
  </si>
  <si>
    <t>Status</t>
  </si>
  <si>
    <t>Buy storage</t>
  </si>
  <si>
    <t>Sell storage</t>
  </si>
  <si>
    <t>Volume to sell, GB</t>
  </si>
  <si>
    <t>Sold volume, GB</t>
  </si>
  <si>
    <t>Total volume, GB</t>
  </si>
  <si>
    <t>Storage contracts</t>
  </si>
  <si>
    <t>Earned (need to fix)</t>
  </si>
  <si>
    <t>Unspent amount</t>
  </si>
  <si>
    <t>Unspent Amount</t>
  </si>
  <si>
    <t>Earned</t>
  </si>
  <si>
    <t>IP/port (encrypted by DOs public key)</t>
  </si>
  <si>
    <t>$2.50</t>
  </si>
  <si>
    <t>$2.20</t>
  </si>
  <si>
    <t>$2.40</t>
  </si>
  <si>
    <t>Open Date</t>
  </si>
  <si>
    <t>Close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</si>
</sst>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quot;£&quot;* #,##0.00_-;_-&quot;£&quot;* &quot;-&quot;??_-;_-@_-"/>
    <numFmt numFmtId="43" formatCode="_-* #,##0.00_-;\-* #,##0.00_-;_-* &quot;-&quot;??_-;_-@_-"/>
    <numFmt numFmtId="164" formatCode="_-* #,##0_-;\-* #,##0_-;_-* &quot;-&quot;??_-;_-@_-"/>
    <numFmt numFmtId="165" formatCode="_-[$$-409]* #,##0.00_ ;_-[$$-409]* \-#,##0.00\ ;_-[$$-409]* &quot;-&quot;??_ ;_-@_ "/>
    <numFmt numFmtId="166" formatCode="_-[$$-409]* #,##0_ ;_-[$$-409]* \-#,##0\ ;_-[$$-409]* &quot;-&quot;??_ ;_-@_ "/>
    <numFmt numFmtId="167" formatCode="0.0%"/>
    <numFmt numFmtId="168" formatCode="_-* #,##0.0_-;\-* #,##0.0_-;_-* &quot;-&quot;??_-;_-@_-"/>
    <numFmt numFmtId="169" formatCode="&quot;£&quot;#,##0.00"/>
  </numFmts>
  <fonts count="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6"/>
      <color theme="1"/>
      <name val="Calibri"/>
      <family val="2"/>
      <scheme val="minor"/>
    </font>
    <font>
      <b/>
      <sz val="11"/>
      <color rgb="FFFF0000"/>
      <name val="Calibri"/>
      <family val="2"/>
      <scheme val="minor"/>
    </font>
    <font>
      <b/>
      <sz val="16"/>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1">
    <xf numFmtId="0" fontId="0" fillId="0" borderId="0" xfId="0"/>
    <xf numFmtId="9" fontId="0" fillId="0" borderId="0" xfId="0" applyNumberFormat="1"/>
    <xf numFmtId="164" fontId="0" fillId="0" borderId="0" xfId="0" applyNumberFormat="1"/>
    <xf numFmtId="165" fontId="0" fillId="0" borderId="0" xfId="0" applyNumberFormat="1"/>
    <xf numFmtId="0" fontId="0" fillId="0" borderId="0" xfId="0" applyFill="1"/>
    <xf numFmtId="165" fontId="0" fillId="0" borderId="0" xfId="2" applyNumberFormat="1" applyFont="1" applyFill="1"/>
    <xf numFmtId="0" fontId="4" fillId="0" borderId="0" xfId="0" applyFont="1"/>
    <xf numFmtId="164" fontId="3" fillId="0" borderId="1" xfId="1" applyNumberFormat="1" applyFont="1" applyBorder="1"/>
    <xf numFmtId="166" fontId="3" fillId="0" borderId="1" xfId="0" applyNumberFormat="1" applyFont="1" applyBorder="1"/>
    <xf numFmtId="166" fontId="5" fillId="0" borderId="1" xfId="0" applyNumberFormat="1" applyFont="1" applyBorder="1"/>
    <xf numFmtId="167" fontId="2" fillId="0" borderId="0" xfId="3" applyNumberFormat="1" applyFont="1"/>
    <xf numFmtId="0" fontId="0" fillId="0" borderId="1" xfId="0" applyBorder="1"/>
    <xf numFmtId="164" fontId="0" fillId="0" borderId="1" xfId="1" applyNumberFormat="1" applyFont="1" applyBorder="1"/>
    <xf numFmtId="9" fontId="0" fillId="0" borderId="1" xfId="0" applyNumberFormat="1" applyBorder="1"/>
    <xf numFmtId="164" fontId="0" fillId="0" borderId="1" xfId="0" applyNumberFormat="1" applyBorder="1"/>
    <xf numFmtId="165" fontId="0" fillId="0" borderId="1" xfId="3" applyNumberFormat="1" applyFont="1" applyBorder="1"/>
    <xf numFmtId="166" fontId="0" fillId="0" borderId="1" xfId="2" applyNumberFormat="1" applyFont="1" applyBorder="1"/>
    <xf numFmtId="0" fontId="0" fillId="3" borderId="1" xfId="0" applyFill="1" applyBorder="1"/>
    <xf numFmtId="164" fontId="0" fillId="4" borderId="0" xfId="1" applyNumberFormat="1" applyFont="1" applyFill="1"/>
    <xf numFmtId="165" fontId="0" fillId="4" borderId="0" xfId="2" applyNumberFormat="1" applyFont="1" applyFill="1"/>
    <xf numFmtId="165" fontId="0" fillId="4" borderId="0" xfId="0" applyNumberFormat="1" applyFill="1"/>
    <xf numFmtId="9" fontId="0" fillId="4" borderId="0" xfId="0" applyNumberFormat="1" applyFill="1"/>
    <xf numFmtId="168" fontId="0" fillId="0" borderId="0" xfId="0" applyNumberFormat="1"/>
    <xf numFmtId="165" fontId="0" fillId="0" borderId="1" xfId="0" applyNumberFormat="1" applyFont="1" applyBorder="1"/>
    <xf numFmtId="0" fontId="3" fillId="2" borderId="1" xfId="0" applyFont="1" applyFill="1" applyBorder="1" applyAlignment="1">
      <alignment wrapText="1"/>
    </xf>
    <xf numFmtId="0" fontId="5" fillId="2" borderId="1" xfId="0" applyFont="1" applyFill="1" applyBorder="1" applyAlignment="1">
      <alignment wrapText="1"/>
    </xf>
    <xf numFmtId="0" fontId="0" fillId="0" borderId="0" xfId="0" applyAlignment="1">
      <alignment wrapText="1"/>
    </xf>
    <xf numFmtId="0" fontId="3" fillId="0" borderId="0" xfId="0" applyFont="1"/>
    <xf numFmtId="0" fontId="0" fillId="0" borderId="0" xfId="0" applyBorder="1"/>
    <xf numFmtId="165" fontId="0" fillId="0" borderId="1" xfId="0" applyNumberFormat="1" applyBorder="1"/>
    <xf numFmtId="14" fontId="0" fillId="0" borderId="1" xfId="0" applyNumberFormat="1" applyBorder="1"/>
    <xf numFmtId="2" fontId="0" fillId="0" borderId="1" xfId="0" applyNumberFormat="1" applyBorder="1"/>
    <xf numFmtId="0" fontId="0" fillId="0" borderId="1" xfId="0" applyFill="1" applyBorder="1"/>
    <xf numFmtId="14" fontId="0" fillId="0" borderId="1" xfId="2" applyNumberFormat="1" applyFont="1" applyBorder="1"/>
    <xf numFmtId="169" fontId="3" fillId="5" borderId="1" xfId="0" applyNumberFormat="1" applyFont="1" applyFill="1" applyBorder="1" applyAlignment="1">
      <alignment wrapText="1"/>
    </xf>
    <xf numFmtId="0" fontId="3" fillId="5" borderId="1" xfId="0" applyFont="1" applyFill="1" applyBorder="1" applyAlignment="1">
      <alignment wrapText="1"/>
    </xf>
    <xf numFmtId="0" fontId="6" fillId="0" borderId="0" xfId="0" applyFont="1"/>
    <xf numFmtId="0" fontId="3" fillId="0" borderId="0" xfId="0" applyFont="1" applyBorder="1" applyAlignment="1">
      <alignment wrapText="1"/>
    </xf>
    <xf numFmtId="14" fontId="7" fillId="0" borderId="0" xfId="0" applyNumberFormat="1" applyFont="1" applyBorder="1"/>
    <xf numFmtId="4" fontId="0" fillId="0" borderId="1" xfId="0" applyNumberFormat="1" applyBorder="1" applyAlignment="1">
      <alignment horizontal="right"/>
    </xf>
    <xf numFmtId="165" fontId="0" fillId="0" borderId="1" xfId="0" applyNumberFormat="1" applyBorder="1" applyAlignment="1">
      <alignment horizontal="right"/>
    </xf>
  </cellXfs>
  <cellStyles count="4">
    <cellStyle name="Comma" xfId="1" builtinId="3"/>
    <cellStyle name="Currency" xfId="2" builtinId="4"/>
    <cellStyle name="Normal" xfId="0" builtinId="0"/>
    <cellStyle name="Percent" xfId="3" builtinId="5"/>
  </cellStyles>
  <dxfs count="6">
    <dxf>
      <font>
        <color auto="1"/>
      </font>
      <fill>
        <patternFill>
          <bgColor rgb="FF00B050"/>
        </patternFill>
      </fill>
    </dxf>
    <dxf>
      <font>
        <color auto="1"/>
      </font>
      <fill>
        <patternFill>
          <bgColor rgb="FFFF0000"/>
        </patternFill>
      </fill>
    </dxf>
    <dxf>
      <fill>
        <patternFill>
          <bgColor rgb="FFFFFF00"/>
        </patternFill>
      </fill>
    </dxf>
    <dxf>
      <font>
        <color auto="1"/>
      </font>
      <fill>
        <patternFill>
          <bgColor rgb="FF00B050"/>
        </patternFill>
      </fill>
    </dxf>
    <dxf>
      <font>
        <color auto="1"/>
      </font>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tabSelected="1" zoomScale="90" zoomScaleNormal="90" workbookViewId="0">
      <selection activeCell="A12" sqref="A12"/>
    </sheetView>
  </sheetViews>
  <sheetFormatPr defaultRowHeight="14.4" x14ac:dyDescent="0.3"/>
  <cols>
    <col min="1" max="1" width="11.6640625" customWidth="1"/>
    <col min="2" max="2" width="13.88671875" customWidth="1"/>
    <col min="3" max="3" width="19.21875" bestFit="1" customWidth="1"/>
    <col min="5" max="6" width="11.6640625" bestFit="1" customWidth="1"/>
    <col min="7" max="8" width="10.5546875" customWidth="1"/>
    <col min="10" max="10" width="12.77734375" bestFit="1" customWidth="1"/>
    <col min="11" max="11" width="1.6640625" customWidth="1"/>
    <col min="13" max="13" width="18" bestFit="1" customWidth="1"/>
    <col min="14" max="14" width="19.21875" bestFit="1" customWidth="1"/>
    <col min="15" max="15" width="14.21875" customWidth="1"/>
    <col min="16" max="17" width="11.6640625" bestFit="1" customWidth="1"/>
    <col min="21" max="21" width="10.44140625" bestFit="1" customWidth="1"/>
  </cols>
  <sheetData>
    <row r="1" spans="1:15" x14ac:dyDescent="0.3">
      <c r="A1" s="37" t="s">
        <v>77</v>
      </c>
      <c r="B1" s="38">
        <v>42401</v>
      </c>
    </row>
    <row r="3" spans="1:15" ht="21" x14ac:dyDescent="0.4">
      <c r="A3" s="36" t="s">
        <v>89</v>
      </c>
      <c r="L3" s="36" t="s">
        <v>90</v>
      </c>
    </row>
    <row r="4" spans="1:15" ht="43.2" x14ac:dyDescent="0.3">
      <c r="A4" s="34" t="s">
        <v>70</v>
      </c>
      <c r="B4" s="34" t="s">
        <v>67</v>
      </c>
      <c r="C4" s="34" t="s">
        <v>78</v>
      </c>
      <c r="D4" s="34" t="s">
        <v>62</v>
      </c>
      <c r="E4" s="34" t="s">
        <v>93</v>
      </c>
      <c r="F4" s="34" t="s">
        <v>92</v>
      </c>
      <c r="G4" s="34" t="s">
        <v>91</v>
      </c>
      <c r="H4" s="34" t="s">
        <v>76</v>
      </c>
      <c r="I4" s="34" t="s">
        <v>97</v>
      </c>
      <c r="J4" s="34" t="s">
        <v>68</v>
      </c>
      <c r="L4" s="35" t="s">
        <v>69</v>
      </c>
      <c r="M4" s="35" t="s">
        <v>63</v>
      </c>
      <c r="N4" s="35" t="s">
        <v>78</v>
      </c>
      <c r="O4" s="34" t="s">
        <v>67</v>
      </c>
    </row>
    <row r="5" spans="1:15" x14ac:dyDescent="0.3">
      <c r="A5" s="11" t="s">
        <v>81</v>
      </c>
      <c r="B5" s="23">
        <v>10</v>
      </c>
      <c r="C5" s="11">
        <v>1000</v>
      </c>
      <c r="D5" s="11">
        <v>4</v>
      </c>
      <c r="E5" s="11">
        <f>C5*D5</f>
        <v>4000</v>
      </c>
      <c r="F5" s="11">
        <f>SUMIFS($D$12:$D$21, $A$12:$A$21, $A$5, $F$12:$F$21, "") - SUMIFS($D$12:$D$21, $E$12:$E$21, "")</f>
        <v>3000</v>
      </c>
      <c r="G5" s="11">
        <f>C5*D5-F5</f>
        <v>1000</v>
      </c>
      <c r="H5" s="11">
        <v>30</v>
      </c>
      <c r="I5" s="31">
        <f>H5-SUMIF($A$12:$A$21, $A$5, $H$12:$H$21)</f>
        <v>21.5</v>
      </c>
      <c r="J5" s="40">
        <f>B5/D5</f>
        <v>2.5</v>
      </c>
      <c r="L5" s="11" t="s">
        <v>83</v>
      </c>
      <c r="M5" s="11" t="s">
        <v>64</v>
      </c>
      <c r="N5" s="11">
        <v>1000</v>
      </c>
      <c r="O5" s="39" t="s">
        <v>100</v>
      </c>
    </row>
    <row r="6" spans="1:15" x14ac:dyDescent="0.3">
      <c r="A6" s="11" t="s">
        <v>82</v>
      </c>
      <c r="B6" s="23">
        <v>9</v>
      </c>
      <c r="C6" s="11">
        <v>500</v>
      </c>
      <c r="D6" s="11">
        <v>5</v>
      </c>
      <c r="E6" s="11">
        <f>C6*D6</f>
        <v>2500</v>
      </c>
      <c r="F6" s="11">
        <f>SUMIFS($D$12:$D$21, $A$12:$A$21, $A$6, $F$12:$F$21, "") - SUMIFS($D$12:$D$21, $E$12:$E$21, "")</f>
        <v>1000</v>
      </c>
      <c r="G6" s="11">
        <f>C6*D6-F6</f>
        <v>1500</v>
      </c>
      <c r="H6" s="11">
        <v>10</v>
      </c>
      <c r="I6" s="31">
        <f>H6-SUMIF($A$12:$A$21, $A$6, $H$12:$H$21)</f>
        <v>2.7399999999999993</v>
      </c>
      <c r="J6" s="40">
        <f>B6/D6</f>
        <v>1.8</v>
      </c>
      <c r="L6" s="11" t="s">
        <v>84</v>
      </c>
      <c r="M6" s="11" t="s">
        <v>72</v>
      </c>
      <c r="N6" s="11">
        <v>500</v>
      </c>
      <c r="O6" s="39" t="s">
        <v>101</v>
      </c>
    </row>
    <row r="7" spans="1:15" x14ac:dyDescent="0.3">
      <c r="L7" s="11" t="s">
        <v>85</v>
      </c>
      <c r="M7" s="11" t="s">
        <v>73</v>
      </c>
      <c r="N7" s="11">
        <v>300</v>
      </c>
      <c r="O7" s="39" t="s">
        <v>102</v>
      </c>
    </row>
    <row r="10" spans="1:15" ht="21" x14ac:dyDescent="0.4">
      <c r="A10" s="36" t="s">
        <v>94</v>
      </c>
    </row>
    <row r="11" spans="1:15" ht="43.2" x14ac:dyDescent="0.3">
      <c r="A11" s="35" t="s">
        <v>70</v>
      </c>
      <c r="B11" s="35" t="s">
        <v>69</v>
      </c>
      <c r="C11" s="35" t="s">
        <v>99</v>
      </c>
      <c r="D11" s="35" t="s">
        <v>78</v>
      </c>
      <c r="E11" s="35" t="s">
        <v>103</v>
      </c>
      <c r="F11" s="35" t="s">
        <v>104</v>
      </c>
      <c r="G11" s="35" t="s">
        <v>66</v>
      </c>
      <c r="H11" s="35" t="s">
        <v>95</v>
      </c>
      <c r="I11" s="35" t="s">
        <v>80</v>
      </c>
      <c r="J11" s="35" t="s">
        <v>88</v>
      </c>
    </row>
    <row r="12" spans="1:15" x14ac:dyDescent="0.3">
      <c r="A12" s="11" t="s">
        <v>81</v>
      </c>
      <c r="B12" s="11" t="s">
        <v>83</v>
      </c>
      <c r="C12" s="11" t="s">
        <v>64</v>
      </c>
      <c r="D12" s="32">
        <v>1000</v>
      </c>
      <c r="E12" s="30">
        <v>42370</v>
      </c>
      <c r="F12" s="11"/>
      <c r="G12" s="31" t="str">
        <f>IF(F12&lt;&gt;"", _xlfn.DAYS(F12, E12)*$J$5/30, "")</f>
        <v/>
      </c>
      <c r="H12" s="31">
        <f>IF(AND(F12="", E12&lt;&gt;""),_xlfn.DAYS($B$1,E12)*$J$5/30,G12)</f>
        <v>2.5833333333333335</v>
      </c>
      <c r="I12" s="11">
        <f t="shared" ref="I12:I21" si="0">IF(AND(F12 = "", E12 &lt;&gt;""), _xlfn.DAYS($B$1, E12), 0)</f>
        <v>31</v>
      </c>
      <c r="J12" s="11" t="str">
        <f>IF(AND(E12&lt;&gt;"", F12=""),"Active", IF(E12="", "Pending", "Completed"))</f>
        <v>Active</v>
      </c>
    </row>
    <row r="13" spans="1:15" x14ac:dyDescent="0.3">
      <c r="A13" s="11" t="s">
        <v>81</v>
      </c>
      <c r="B13" s="11" t="s">
        <v>84</v>
      </c>
      <c r="C13" s="11" t="s">
        <v>72</v>
      </c>
      <c r="D13" s="11">
        <v>1000</v>
      </c>
      <c r="E13" s="30">
        <v>42371</v>
      </c>
      <c r="F13" s="30">
        <v>42384</v>
      </c>
      <c r="G13" s="31">
        <f>IF(F13&lt;&gt;"", _xlfn.DAYS(F13, E13)*$J$5/30, "")</f>
        <v>1.0833333333333333</v>
      </c>
      <c r="H13" s="31">
        <f t="shared" ref="H13:H16" si="1">IF(AND(F13="", E13&lt;&gt;""),_xlfn.DAYS($B$1,E13)*$J$5/30,G13)</f>
        <v>1.0833333333333333</v>
      </c>
      <c r="I13" s="11">
        <f t="shared" si="0"/>
        <v>0</v>
      </c>
      <c r="J13" s="11" t="str">
        <f t="shared" ref="J13:J21" si="2">IF(AND(E13&lt;&gt;"", F13=""),"Active", IF(E13="", "Pending", "Completed"))</f>
        <v>Completed</v>
      </c>
    </row>
    <row r="14" spans="1:15" x14ac:dyDescent="0.3">
      <c r="A14" s="11" t="s">
        <v>81</v>
      </c>
      <c r="B14" s="11" t="s">
        <v>85</v>
      </c>
      <c r="C14" s="11" t="s">
        <v>73</v>
      </c>
      <c r="D14" s="11">
        <v>1000</v>
      </c>
      <c r="E14" s="30">
        <v>42372</v>
      </c>
      <c r="F14" s="11"/>
      <c r="G14" s="31" t="str">
        <f t="shared" ref="G14:G16" si="3">IF(F14&lt;&gt;"", _xlfn.DAYS(F14, E14)*$J$5/30, "")</f>
        <v/>
      </c>
      <c r="H14" s="31">
        <f t="shared" si="1"/>
        <v>2.4166666666666665</v>
      </c>
      <c r="I14" s="11">
        <f t="shared" si="0"/>
        <v>29</v>
      </c>
      <c r="J14" s="11" t="str">
        <f t="shared" si="2"/>
        <v>Active</v>
      </c>
    </row>
    <row r="15" spans="1:15" x14ac:dyDescent="0.3">
      <c r="A15" s="11" t="s">
        <v>81</v>
      </c>
      <c r="B15" s="11" t="s">
        <v>86</v>
      </c>
      <c r="C15" s="11" t="s">
        <v>74</v>
      </c>
      <c r="D15" s="11">
        <v>1000</v>
      </c>
      <c r="E15" s="30">
        <v>42372</v>
      </c>
      <c r="F15" s="11"/>
      <c r="G15" s="31" t="str">
        <f t="shared" si="3"/>
        <v/>
      </c>
      <c r="H15" s="31">
        <f t="shared" si="1"/>
        <v>2.4166666666666665</v>
      </c>
      <c r="I15" s="11">
        <f t="shared" si="0"/>
        <v>29</v>
      </c>
      <c r="J15" s="11" t="str">
        <f t="shared" si="2"/>
        <v>Active</v>
      </c>
    </row>
    <row r="16" spans="1:15" x14ac:dyDescent="0.3">
      <c r="A16" s="11" t="s">
        <v>81</v>
      </c>
      <c r="B16" s="11" t="s">
        <v>87</v>
      </c>
      <c r="C16" s="11" t="s">
        <v>75</v>
      </c>
      <c r="D16" s="11">
        <v>1000</v>
      </c>
      <c r="E16" s="30"/>
      <c r="F16" s="11"/>
      <c r="G16" s="31" t="str">
        <f t="shared" si="3"/>
        <v/>
      </c>
      <c r="H16" s="31" t="str">
        <f t="shared" si="1"/>
        <v/>
      </c>
      <c r="I16" s="11">
        <f t="shared" si="0"/>
        <v>0</v>
      </c>
      <c r="J16" s="11" t="str">
        <f t="shared" si="2"/>
        <v>Pending</v>
      </c>
    </row>
    <row r="17" spans="1:10" x14ac:dyDescent="0.3">
      <c r="A17" s="11" t="s">
        <v>82</v>
      </c>
      <c r="B17" s="11" t="s">
        <v>83</v>
      </c>
      <c r="C17" s="11" t="s">
        <v>64</v>
      </c>
      <c r="D17" s="11">
        <v>500</v>
      </c>
      <c r="E17" s="30">
        <v>42370</v>
      </c>
      <c r="F17" s="11"/>
      <c r="G17" s="31" t="str">
        <f>IF(F17&lt;&gt;"", _xlfn.DAYS(F17, E17)*$J$6/30, "")</f>
        <v/>
      </c>
      <c r="H17" s="31">
        <f>IF(AND(F17="", E17&lt;&gt;""),_xlfn.DAYS($B$1,E17)*$J$6/30,G17)</f>
        <v>1.86</v>
      </c>
      <c r="I17" s="11">
        <f t="shared" si="0"/>
        <v>31</v>
      </c>
      <c r="J17" s="11" t="str">
        <f t="shared" si="2"/>
        <v>Active</v>
      </c>
    </row>
    <row r="18" spans="1:10" x14ac:dyDescent="0.3">
      <c r="A18" s="11" t="s">
        <v>82</v>
      </c>
      <c r="B18" s="11" t="s">
        <v>84</v>
      </c>
      <c r="C18" s="11" t="s">
        <v>72</v>
      </c>
      <c r="D18" s="11">
        <v>500</v>
      </c>
      <c r="E18" s="30">
        <v>42371</v>
      </c>
      <c r="F18" s="30">
        <v>42378</v>
      </c>
      <c r="G18" s="31">
        <f t="shared" ref="G18:G21" si="4">IF(F18&lt;&gt;"", _xlfn.DAYS(F18, E18)*$J$6/30, "")</f>
        <v>0.42</v>
      </c>
      <c r="H18" s="31">
        <f t="shared" ref="H18:H21" si="5">IF(AND(F18="", E18&lt;&gt;""),_xlfn.DAYS($B$1,E18)*$J$6/30,G18)</f>
        <v>0.42</v>
      </c>
      <c r="I18" s="11">
        <f t="shared" si="0"/>
        <v>0</v>
      </c>
      <c r="J18" s="11" t="str">
        <f t="shared" si="2"/>
        <v>Completed</v>
      </c>
    </row>
    <row r="19" spans="1:10" x14ac:dyDescent="0.3">
      <c r="A19" s="11" t="s">
        <v>82</v>
      </c>
      <c r="B19" s="11" t="s">
        <v>85</v>
      </c>
      <c r="C19" s="11" t="s">
        <v>73</v>
      </c>
      <c r="D19" s="11">
        <v>500</v>
      </c>
      <c r="E19" s="30">
        <v>42372</v>
      </c>
      <c r="F19" s="11"/>
      <c r="G19" s="31" t="str">
        <f t="shared" si="4"/>
        <v/>
      </c>
      <c r="H19" s="31">
        <f t="shared" si="5"/>
        <v>1.74</v>
      </c>
      <c r="I19" s="11">
        <f t="shared" si="0"/>
        <v>29</v>
      </c>
      <c r="J19" s="11" t="str">
        <f t="shared" si="2"/>
        <v>Active</v>
      </c>
    </row>
    <row r="20" spans="1:10" x14ac:dyDescent="0.3">
      <c r="A20" s="11" t="s">
        <v>82</v>
      </c>
      <c r="B20" s="11" t="s">
        <v>86</v>
      </c>
      <c r="C20" s="11" t="s">
        <v>74</v>
      </c>
      <c r="D20" s="11">
        <v>500</v>
      </c>
      <c r="E20" s="30">
        <v>42372</v>
      </c>
      <c r="F20" s="11"/>
      <c r="G20" s="31" t="str">
        <f t="shared" si="4"/>
        <v/>
      </c>
      <c r="H20" s="31">
        <f t="shared" si="5"/>
        <v>1.74</v>
      </c>
      <c r="I20" s="11">
        <f t="shared" si="0"/>
        <v>29</v>
      </c>
      <c r="J20" s="11" t="str">
        <f t="shared" si="2"/>
        <v>Active</v>
      </c>
    </row>
    <row r="21" spans="1:10" x14ac:dyDescent="0.3">
      <c r="A21" s="11" t="s">
        <v>82</v>
      </c>
      <c r="B21" s="11" t="s">
        <v>87</v>
      </c>
      <c r="C21" s="11" t="s">
        <v>75</v>
      </c>
      <c r="D21" s="11">
        <v>500</v>
      </c>
      <c r="E21" s="30">
        <v>42376</v>
      </c>
      <c r="F21" s="11"/>
      <c r="G21" s="31" t="str">
        <f t="shared" si="4"/>
        <v/>
      </c>
      <c r="H21" s="31">
        <f t="shared" si="5"/>
        <v>1.5</v>
      </c>
      <c r="I21" s="11">
        <f t="shared" si="0"/>
        <v>25</v>
      </c>
      <c r="J21" s="11" t="str">
        <f t="shared" si="2"/>
        <v>Active</v>
      </c>
    </row>
  </sheetData>
  <conditionalFormatting sqref="J12:J21">
    <cfRule type="cellIs" dxfId="5" priority="1" operator="equal">
      <formula>"Pending"</formula>
    </cfRule>
    <cfRule type="cellIs" dxfId="4" priority="2" operator="equal">
      <formula>"Completed"</formula>
    </cfRule>
    <cfRule type="containsText" dxfId="3" priority="3" operator="containsText" text="Active">
      <formula>NOT(ISERROR(SEARCH("Active",J12)))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zoomScaleNormal="100" workbookViewId="0">
      <selection activeCell="M9" sqref="M9"/>
    </sheetView>
  </sheetViews>
  <sheetFormatPr defaultRowHeight="14.4" x14ac:dyDescent="0.3"/>
  <cols>
    <col min="1" max="1" width="8.21875" customWidth="1"/>
    <col min="2" max="2" width="10.5546875" customWidth="1"/>
    <col min="3" max="3" width="8.33203125" customWidth="1"/>
    <col min="4" max="4" width="10.5546875" customWidth="1"/>
    <col min="5" max="6" width="11.6640625" bestFit="1" customWidth="1"/>
    <col min="7" max="7" width="8.5546875" customWidth="1"/>
    <col min="8" max="9" width="7.77734375" customWidth="1"/>
    <col min="10" max="10" width="10.44140625" bestFit="1" customWidth="1"/>
    <col min="11" max="11" width="11.6640625" bestFit="1" customWidth="1"/>
    <col min="12" max="12" width="3" customWidth="1"/>
    <col min="13" max="13" width="8.109375" customWidth="1"/>
    <col min="14" max="14" width="9.6640625" customWidth="1"/>
    <col min="15" max="15" width="19.21875" bestFit="1" customWidth="1"/>
    <col min="16" max="16" width="11.21875" bestFit="1" customWidth="1"/>
    <col min="17" max="17" width="14.21875" bestFit="1" customWidth="1"/>
    <col min="18" max="18" width="11.5546875" bestFit="1" customWidth="1"/>
    <col min="19" max="19" width="12" bestFit="1" customWidth="1"/>
    <col min="20" max="20" width="10.44140625" bestFit="1" customWidth="1"/>
    <col min="21" max="21" width="9" customWidth="1"/>
    <col min="22" max="22" width="9.88671875" bestFit="1" customWidth="1"/>
  </cols>
  <sheetData>
    <row r="1" spans="1:11" ht="36.6" customHeight="1" x14ac:dyDescent="0.3">
      <c r="A1" s="37" t="s">
        <v>77</v>
      </c>
      <c r="B1" s="38">
        <v>42401</v>
      </c>
    </row>
    <row r="2" spans="1:11" ht="21" x14ac:dyDescent="0.4">
      <c r="A2" s="36" t="s">
        <v>59</v>
      </c>
    </row>
    <row r="3" spans="1:11" ht="46.8" customHeight="1" x14ac:dyDescent="0.3">
      <c r="A3" s="34" t="s">
        <v>70</v>
      </c>
      <c r="B3" s="34" t="s">
        <v>78</v>
      </c>
      <c r="C3" s="34" t="s">
        <v>62</v>
      </c>
      <c r="D3" s="34" t="s">
        <v>67</v>
      </c>
      <c r="E3" s="34" t="s">
        <v>96</v>
      </c>
      <c r="F3" s="34" t="s">
        <v>68</v>
      </c>
      <c r="G3" s="34" t="s">
        <v>76</v>
      </c>
      <c r="H3" s="34" t="s">
        <v>93</v>
      </c>
      <c r="I3" s="34" t="s">
        <v>92</v>
      </c>
      <c r="J3" s="34" t="s">
        <v>91</v>
      </c>
      <c r="K3" s="34" t="s">
        <v>79</v>
      </c>
    </row>
    <row r="4" spans="1:11" x14ac:dyDescent="0.3">
      <c r="A4" s="11" t="s">
        <v>81</v>
      </c>
      <c r="B4" s="11">
        <v>1000</v>
      </c>
      <c r="C4" s="11">
        <v>4</v>
      </c>
      <c r="D4" s="23">
        <v>10</v>
      </c>
      <c r="E4" s="11">
        <f>G4-SUMIF(A$10:A$19, A4, H$10:H$19)</f>
        <v>21.5</v>
      </c>
      <c r="F4" s="29">
        <f>D4/C4</f>
        <v>2.5</v>
      </c>
      <c r="G4" s="11">
        <v>30</v>
      </c>
      <c r="H4" s="11">
        <f>B4*C4</f>
        <v>4000</v>
      </c>
      <c r="I4" s="11">
        <f>SUMIFS(D$10:D$19, A$10:A$19, A4, F$10:F$19, "") - SUMIFS(D$10:D$19, A$10:A$19, A4, E$10:E$19, "")</f>
        <v>3000</v>
      </c>
      <c r="J4" s="11">
        <f>B4*C4-I4</f>
        <v>1000</v>
      </c>
      <c r="K4" s="33">
        <f>$B$1 + E4/(I4*D4/1000/30)</f>
        <v>42422.5</v>
      </c>
    </row>
    <row r="5" spans="1:11" x14ac:dyDescent="0.3">
      <c r="A5" s="11" t="s">
        <v>82</v>
      </c>
      <c r="B5" s="11">
        <v>500</v>
      </c>
      <c r="C5" s="11">
        <v>5</v>
      </c>
      <c r="D5" s="23">
        <v>9</v>
      </c>
      <c r="E5" s="11">
        <f>G5-SUMIF(A$10:A$19, A5, H$10:H$19)</f>
        <v>2.7399999999999993</v>
      </c>
      <c r="F5" s="29">
        <f>D5/C5</f>
        <v>1.8</v>
      </c>
      <c r="G5" s="11">
        <v>10</v>
      </c>
      <c r="H5" s="11">
        <f>B5*C5</f>
        <v>2500</v>
      </c>
      <c r="I5" s="11">
        <f>SUMIFS(D$10:D$19, A$10:A$19, A5, F$10:F$19, "") - SUMIFS(D$10:D$19, A$10:A$19, A5, E$10:E$19, "")</f>
        <v>2000</v>
      </c>
      <c r="J5" s="11">
        <f>B5*C5-I5</f>
        <v>500</v>
      </c>
      <c r="K5" s="33">
        <f>$B$1 + E5/(I5*D5/1000/30)</f>
        <v>42405.566666666666</v>
      </c>
    </row>
    <row r="6" spans="1:11" x14ac:dyDescent="0.3">
      <c r="A6" s="28"/>
      <c r="B6" s="28"/>
      <c r="C6" s="28"/>
      <c r="D6" s="28"/>
      <c r="E6" s="28"/>
    </row>
    <row r="7" spans="1:11" x14ac:dyDescent="0.3">
      <c r="A7" s="28"/>
      <c r="E7" s="28"/>
    </row>
    <row r="8" spans="1:11" ht="21" x14ac:dyDescent="0.4">
      <c r="A8" s="36" t="s">
        <v>60</v>
      </c>
    </row>
    <row r="9" spans="1:11" ht="43.2" x14ac:dyDescent="0.3">
      <c r="A9" s="35" t="s">
        <v>70</v>
      </c>
      <c r="B9" s="35" t="s">
        <v>69</v>
      </c>
      <c r="C9" s="35" t="s">
        <v>63</v>
      </c>
      <c r="D9" s="35" t="s">
        <v>78</v>
      </c>
      <c r="E9" s="35" t="s">
        <v>65</v>
      </c>
      <c r="F9" s="35" t="s">
        <v>71</v>
      </c>
      <c r="G9" s="35" t="s">
        <v>66</v>
      </c>
      <c r="H9" s="35" t="s">
        <v>98</v>
      </c>
      <c r="I9" s="35" t="s">
        <v>80</v>
      </c>
      <c r="J9" s="35" t="s">
        <v>88</v>
      </c>
    </row>
    <row r="10" spans="1:11" x14ac:dyDescent="0.3">
      <c r="A10" s="11" t="s">
        <v>81</v>
      </c>
      <c r="B10" s="11" t="s">
        <v>83</v>
      </c>
      <c r="C10" s="11" t="s">
        <v>64</v>
      </c>
      <c r="D10" s="32">
        <v>1000</v>
      </c>
      <c r="E10" s="30">
        <v>42370</v>
      </c>
      <c r="F10" s="11"/>
      <c r="G10" s="31" t="str">
        <f>IF(F10&lt;&gt;"", _xlfn.DAYS(F10, E10)*$F$4/30, "")</f>
        <v/>
      </c>
      <c r="H10" s="31">
        <f>IF(AND(F10="", E10&lt;&gt;""),_xlfn.DAYS($B$1,E10)*$F$4/30,G10)</f>
        <v>2.5833333333333335</v>
      </c>
      <c r="I10" s="11">
        <f t="shared" ref="I10:I19" si="0">IF(AND(F10 = "", E10 &lt;&gt;""), _xlfn.DAYS($B$1, E10), 0)</f>
        <v>31</v>
      </c>
      <c r="J10" s="11" t="str">
        <f>IF(AND(E10&lt;&gt;"", F10=""),"Active", IF(E10="", "Pending", "Completed"))</f>
        <v>Active</v>
      </c>
    </row>
    <row r="11" spans="1:11" x14ac:dyDescent="0.3">
      <c r="A11" s="11" t="s">
        <v>81</v>
      </c>
      <c r="B11" s="11" t="s">
        <v>84</v>
      </c>
      <c r="C11" s="11" t="s">
        <v>72</v>
      </c>
      <c r="D11" s="11">
        <v>1000</v>
      </c>
      <c r="E11" s="30">
        <v>42371</v>
      </c>
      <c r="F11" s="30">
        <v>42384</v>
      </c>
      <c r="G11" s="31">
        <f>IF(F11&lt;&gt;"", _xlfn.DAYS(F11, E11)*$F$4/30, "")</f>
        <v>1.0833333333333333</v>
      </c>
      <c r="H11" s="31">
        <f>IF(AND(F11="", E11&lt;&gt;""),_xlfn.DAYS($B$1,E11)*$F$4/30,G11)</f>
        <v>1.0833333333333333</v>
      </c>
      <c r="I11" s="11">
        <f t="shared" si="0"/>
        <v>0</v>
      </c>
      <c r="J11" s="11" t="str">
        <f t="shared" ref="J11:J19" si="1">IF(AND(E11&lt;&gt;"", F11=""),"Active", IF(E11="", "Pending", "Completed"))</f>
        <v>Completed</v>
      </c>
    </row>
    <row r="12" spans="1:11" x14ac:dyDescent="0.3">
      <c r="A12" s="11" t="s">
        <v>81</v>
      </c>
      <c r="B12" s="11" t="s">
        <v>85</v>
      </c>
      <c r="C12" s="11" t="s">
        <v>73</v>
      </c>
      <c r="D12" s="11">
        <v>1000</v>
      </c>
      <c r="E12" s="30">
        <v>42372</v>
      </c>
      <c r="F12" s="11"/>
      <c r="G12" s="31" t="str">
        <f>IF(F12&lt;&gt;"", _xlfn.DAYS(F12, E12)*$F$4/30, "")</f>
        <v/>
      </c>
      <c r="H12" s="31">
        <f>IF(AND(F12="", E12&lt;&gt;""),_xlfn.DAYS($B$1,E12)*$F$4/30,G12)</f>
        <v>2.4166666666666665</v>
      </c>
      <c r="I12" s="11">
        <f t="shared" si="0"/>
        <v>29</v>
      </c>
      <c r="J12" s="11" t="str">
        <f t="shared" si="1"/>
        <v>Active</v>
      </c>
    </row>
    <row r="13" spans="1:11" x14ac:dyDescent="0.3">
      <c r="A13" s="11" t="s">
        <v>81</v>
      </c>
      <c r="B13" s="11" t="s">
        <v>86</v>
      </c>
      <c r="C13" s="11" t="s">
        <v>74</v>
      </c>
      <c r="D13" s="11">
        <v>1000</v>
      </c>
      <c r="E13" s="30">
        <v>42372</v>
      </c>
      <c r="F13" s="11"/>
      <c r="G13" s="31" t="str">
        <f>IF(F13&lt;&gt;"", _xlfn.DAYS(F13, E13)*$F$4/30, "")</f>
        <v/>
      </c>
      <c r="H13" s="31">
        <f>IF(AND(F13="", E13&lt;&gt;""),_xlfn.DAYS($B$1,E13)*$F$4/30,G13)</f>
        <v>2.4166666666666665</v>
      </c>
      <c r="I13" s="11">
        <f t="shared" si="0"/>
        <v>29</v>
      </c>
      <c r="J13" s="11" t="str">
        <f t="shared" si="1"/>
        <v>Active</v>
      </c>
    </row>
    <row r="14" spans="1:11" x14ac:dyDescent="0.3">
      <c r="A14" s="11" t="s">
        <v>81</v>
      </c>
      <c r="B14" s="11" t="s">
        <v>87</v>
      </c>
      <c r="C14" s="11" t="s">
        <v>75</v>
      </c>
      <c r="D14" s="11">
        <v>1000</v>
      </c>
      <c r="E14" s="30"/>
      <c r="F14" s="11"/>
      <c r="G14" s="31" t="str">
        <f>IF(F14&lt;&gt;"", _xlfn.DAYS(F14, E14)*$F$4/30, "")</f>
        <v/>
      </c>
      <c r="H14" s="31" t="str">
        <f>IF(AND(F14="", E14&lt;&gt;""),_xlfn.DAYS($B$1,E14)*$F$4/30,G14)</f>
        <v/>
      </c>
      <c r="I14" s="11">
        <f t="shared" si="0"/>
        <v>0</v>
      </c>
      <c r="J14" s="11" t="str">
        <f t="shared" si="1"/>
        <v>Pending</v>
      </c>
    </row>
    <row r="15" spans="1:11" x14ac:dyDescent="0.3">
      <c r="A15" s="11" t="s">
        <v>82</v>
      </c>
      <c r="B15" s="11" t="s">
        <v>83</v>
      </c>
      <c r="C15" s="11" t="s">
        <v>64</v>
      </c>
      <c r="D15" s="11">
        <v>500</v>
      </c>
      <c r="E15" s="30">
        <v>42370</v>
      </c>
      <c r="F15" s="11"/>
      <c r="G15" s="31" t="str">
        <f>IF(F15&lt;&gt;"", _xlfn.DAYS(F15, E15)*$F$5/30, "")</f>
        <v/>
      </c>
      <c r="H15" s="31">
        <f>IF(AND(F15="", E15&lt;&gt;""),_xlfn.DAYS($B$1,E15)*$F$5/30,G15)</f>
        <v>1.86</v>
      </c>
      <c r="I15" s="11">
        <f t="shared" si="0"/>
        <v>31</v>
      </c>
      <c r="J15" s="11" t="str">
        <f t="shared" si="1"/>
        <v>Active</v>
      </c>
    </row>
    <row r="16" spans="1:11" x14ac:dyDescent="0.3">
      <c r="A16" s="11" t="s">
        <v>82</v>
      </c>
      <c r="B16" s="11" t="s">
        <v>84</v>
      </c>
      <c r="C16" s="11" t="s">
        <v>72</v>
      </c>
      <c r="D16" s="11">
        <v>500</v>
      </c>
      <c r="E16" s="30">
        <v>42371</v>
      </c>
      <c r="F16" s="30">
        <v>42378</v>
      </c>
      <c r="G16" s="31">
        <f>IF(F16&lt;&gt;"", _xlfn.DAYS(F16, E16)*$F$5/30, "")</f>
        <v>0.42</v>
      </c>
      <c r="H16" s="31">
        <f>IF(AND(F16="", E16&lt;&gt;""),_xlfn.DAYS($B$1,E16)*$F$5/30,G16)</f>
        <v>0.42</v>
      </c>
      <c r="I16" s="11">
        <f t="shared" si="0"/>
        <v>0</v>
      </c>
      <c r="J16" s="11" t="str">
        <f t="shared" si="1"/>
        <v>Completed</v>
      </c>
    </row>
    <row r="17" spans="1:14" x14ac:dyDescent="0.3">
      <c r="A17" s="11" t="s">
        <v>82</v>
      </c>
      <c r="B17" s="11" t="s">
        <v>85</v>
      </c>
      <c r="C17" s="11" t="s">
        <v>73</v>
      </c>
      <c r="D17" s="11">
        <v>500</v>
      </c>
      <c r="E17" s="30">
        <v>42372</v>
      </c>
      <c r="F17" s="11"/>
      <c r="G17" s="31" t="str">
        <f>IF(F17&lt;&gt;"", _xlfn.DAYS(F17, E17)*$F$5/30, "")</f>
        <v/>
      </c>
      <c r="H17" s="31">
        <f>IF(AND(F17="", E17&lt;&gt;""),_xlfn.DAYS($B$1,E17)*$F$5/30,G17)</f>
        <v>1.74</v>
      </c>
      <c r="I17" s="11">
        <f t="shared" si="0"/>
        <v>29</v>
      </c>
      <c r="J17" s="11" t="str">
        <f t="shared" si="1"/>
        <v>Active</v>
      </c>
    </row>
    <row r="18" spans="1:14" x14ac:dyDescent="0.3">
      <c r="A18" s="11" t="s">
        <v>82</v>
      </c>
      <c r="B18" s="11" t="s">
        <v>86</v>
      </c>
      <c r="C18" s="11" t="s">
        <v>74</v>
      </c>
      <c r="D18" s="11">
        <v>500</v>
      </c>
      <c r="E18" s="30">
        <v>42372</v>
      </c>
      <c r="F18" s="11"/>
      <c r="G18" s="31" t="str">
        <f>IF(F18&lt;&gt;"", _xlfn.DAYS(F18, E18)*$F$5/30, "")</f>
        <v/>
      </c>
      <c r="H18" s="31">
        <f>IF(AND(F18="", E18&lt;&gt;""),_xlfn.DAYS($B$1,E18)*$F$5/30,G18)</f>
        <v>1.74</v>
      </c>
      <c r="I18" s="11">
        <f t="shared" si="0"/>
        <v>29</v>
      </c>
      <c r="J18" s="11" t="str">
        <f t="shared" si="1"/>
        <v>Active</v>
      </c>
    </row>
    <row r="19" spans="1:14" x14ac:dyDescent="0.3">
      <c r="A19" s="11" t="s">
        <v>82</v>
      </c>
      <c r="B19" s="11" t="s">
        <v>87</v>
      </c>
      <c r="C19" s="11" t="s">
        <v>75</v>
      </c>
      <c r="D19" s="11">
        <v>500</v>
      </c>
      <c r="E19" s="30">
        <v>42376</v>
      </c>
      <c r="F19" s="11"/>
      <c r="G19" s="31" t="str">
        <f>IF(F19&lt;&gt;"", _xlfn.DAYS(F19, E19)*$F$5/30, "")</f>
        <v/>
      </c>
      <c r="H19" s="31">
        <f>IF(AND(F19="", E19&lt;&gt;""),_xlfn.DAYS($B$1,E19)*$F$5/30,G19)</f>
        <v>1.5</v>
      </c>
      <c r="I19" s="11">
        <f t="shared" si="0"/>
        <v>25</v>
      </c>
      <c r="J19" s="11" t="str">
        <f t="shared" si="1"/>
        <v>Active</v>
      </c>
    </row>
    <row r="25" spans="1:14" x14ac:dyDescent="0.3">
      <c r="N25" t="str">
        <f t="shared" ref="N25" si="2">LEFT(N14, 6)</f>
        <v/>
      </c>
    </row>
  </sheetData>
  <conditionalFormatting sqref="J10:J19">
    <cfRule type="cellIs" dxfId="2" priority="1" operator="equal">
      <formula>"Pending"</formula>
    </cfRule>
    <cfRule type="cellIs" dxfId="1" priority="2" operator="equal">
      <formula>"Completed"</formula>
    </cfRule>
    <cfRule type="containsText" dxfId="0" priority="3" operator="containsText" text="Active">
      <formula>NOT(ISERROR(SEARCH("Active",J10)))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G12" sqref="G12"/>
    </sheetView>
  </sheetViews>
  <sheetFormatPr defaultRowHeight="14.4" x14ac:dyDescent="0.3"/>
  <cols>
    <col min="1" max="1" width="29.88671875" customWidth="1"/>
    <col min="2" max="2" width="15.21875" customWidth="1"/>
    <col min="3" max="3" width="18.5546875" customWidth="1"/>
    <col min="4" max="4" width="15.21875" customWidth="1"/>
    <col min="5" max="5" width="11.77734375" bestFit="1" customWidth="1"/>
    <col min="6" max="6" width="20.109375" bestFit="1" customWidth="1"/>
    <col min="7" max="7" width="15.109375" customWidth="1"/>
    <col min="8" max="8" width="15.6640625" bestFit="1" customWidth="1"/>
    <col min="9" max="9" width="20.44140625" bestFit="1" customWidth="1"/>
    <col min="10" max="10" width="13.33203125" customWidth="1"/>
  </cols>
  <sheetData>
    <row r="1" spans="1:4" ht="21" x14ac:dyDescent="0.4">
      <c r="A1" s="6" t="s">
        <v>46</v>
      </c>
    </row>
    <row r="3" spans="1:4" x14ac:dyDescent="0.3">
      <c r="A3" t="s">
        <v>1</v>
      </c>
      <c r="B3" s="18">
        <v>1</v>
      </c>
    </row>
    <row r="4" spans="1:4" x14ac:dyDescent="0.3">
      <c r="A4" t="s">
        <v>0</v>
      </c>
      <c r="B4" s="18">
        <v>4</v>
      </c>
    </row>
    <row r="5" spans="1:4" x14ac:dyDescent="0.3">
      <c r="A5" t="s">
        <v>53</v>
      </c>
      <c r="B5" s="19">
        <v>10</v>
      </c>
    </row>
    <row r="6" spans="1:4" x14ac:dyDescent="0.3">
      <c r="A6" s="4" t="s">
        <v>55</v>
      </c>
      <c r="B6" s="5">
        <f>B5/B4</f>
        <v>2.5</v>
      </c>
    </row>
    <row r="7" spans="1:4" x14ac:dyDescent="0.3">
      <c r="A7" t="s">
        <v>2</v>
      </c>
      <c r="B7" s="1">
        <v>0.01</v>
      </c>
    </row>
    <row r="9" spans="1:4" s="26" customFormat="1" ht="28.8" x14ac:dyDescent="0.3">
      <c r="A9" s="24" t="s">
        <v>3</v>
      </c>
      <c r="B9" s="24" t="s">
        <v>4</v>
      </c>
      <c r="C9" s="25" t="s">
        <v>61</v>
      </c>
      <c r="D9" s="24" t="s">
        <v>32</v>
      </c>
    </row>
    <row r="10" spans="1:4" x14ac:dyDescent="0.3">
      <c r="A10" s="7">
        <v>10</v>
      </c>
      <c r="B10" s="8">
        <f t="shared" ref="B10:B16" si="0">A10*$B$5</f>
        <v>100</v>
      </c>
      <c r="C10" s="9">
        <f t="shared" ref="C10:C16" si="1">B10*$B$7</f>
        <v>1</v>
      </c>
      <c r="D10" s="7">
        <f t="shared" ref="D10:D16" si="2">A10*$B$3*$B$4</f>
        <v>40</v>
      </c>
    </row>
    <row r="11" spans="1:4" x14ac:dyDescent="0.3">
      <c r="A11" s="7">
        <v>100</v>
      </c>
      <c r="B11" s="8">
        <f t="shared" si="0"/>
        <v>1000</v>
      </c>
      <c r="C11" s="9">
        <f t="shared" si="1"/>
        <v>10</v>
      </c>
      <c r="D11" s="7">
        <f t="shared" si="2"/>
        <v>400</v>
      </c>
    </row>
    <row r="12" spans="1:4" x14ac:dyDescent="0.3">
      <c r="A12" s="7">
        <v>1000</v>
      </c>
      <c r="B12" s="8">
        <f t="shared" si="0"/>
        <v>10000</v>
      </c>
      <c r="C12" s="9">
        <f t="shared" si="1"/>
        <v>100</v>
      </c>
      <c r="D12" s="7">
        <f t="shared" si="2"/>
        <v>4000</v>
      </c>
    </row>
    <row r="13" spans="1:4" x14ac:dyDescent="0.3">
      <c r="A13" s="7">
        <v>10000</v>
      </c>
      <c r="B13" s="8">
        <f t="shared" si="0"/>
        <v>100000</v>
      </c>
      <c r="C13" s="9">
        <f t="shared" si="1"/>
        <v>1000</v>
      </c>
      <c r="D13" s="7">
        <f t="shared" si="2"/>
        <v>40000</v>
      </c>
    </row>
    <row r="14" spans="1:4" x14ac:dyDescent="0.3">
      <c r="A14" s="7">
        <v>100000</v>
      </c>
      <c r="B14" s="8">
        <f t="shared" si="0"/>
        <v>1000000</v>
      </c>
      <c r="C14" s="9">
        <f t="shared" si="1"/>
        <v>10000</v>
      </c>
      <c r="D14" s="7">
        <f t="shared" si="2"/>
        <v>400000</v>
      </c>
    </row>
    <row r="15" spans="1:4" x14ac:dyDescent="0.3">
      <c r="A15" s="7">
        <v>1000000</v>
      </c>
      <c r="B15" s="8">
        <f t="shared" si="0"/>
        <v>10000000</v>
      </c>
      <c r="C15" s="9">
        <f t="shared" si="1"/>
        <v>100000</v>
      </c>
      <c r="D15" s="7">
        <f t="shared" si="2"/>
        <v>4000000</v>
      </c>
    </row>
    <row r="16" spans="1:4" x14ac:dyDescent="0.3">
      <c r="A16" s="7">
        <v>10000000</v>
      </c>
      <c r="B16" s="8">
        <f t="shared" si="0"/>
        <v>100000000</v>
      </c>
      <c r="C16" s="9">
        <f t="shared" si="1"/>
        <v>1000000</v>
      </c>
      <c r="D16" s="7">
        <f t="shared" si="2"/>
        <v>40000000</v>
      </c>
    </row>
    <row r="18" spans="1:3" x14ac:dyDescent="0.3">
      <c r="A18" t="s">
        <v>6</v>
      </c>
      <c r="B18" s="20">
        <v>0.05</v>
      </c>
    </row>
    <row r="19" spans="1:3" x14ac:dyDescent="0.3">
      <c r="A19" t="s">
        <v>54</v>
      </c>
      <c r="B19" s="21">
        <v>0.3</v>
      </c>
    </row>
    <row r="20" spans="1:3" x14ac:dyDescent="0.3">
      <c r="A20" t="s">
        <v>56</v>
      </c>
      <c r="B20" s="22">
        <f>$B$4*$B$19*(1+1+1)+1</f>
        <v>4.5999999999999996</v>
      </c>
      <c r="C20" t="s">
        <v>7</v>
      </c>
    </row>
    <row r="21" spans="1:3" x14ac:dyDescent="0.3">
      <c r="A21" t="s">
        <v>57</v>
      </c>
      <c r="B21" s="3">
        <f>B20*B18</f>
        <v>0.22999999999999998</v>
      </c>
    </row>
    <row r="22" spans="1:3" x14ac:dyDescent="0.3">
      <c r="A22" t="s">
        <v>8</v>
      </c>
      <c r="B22" s="10">
        <f>B21/B6</f>
        <v>9.1999999999999998E-2</v>
      </c>
    </row>
    <row r="23" spans="1:3" x14ac:dyDescent="0.3">
      <c r="A23" t="s">
        <v>58</v>
      </c>
      <c r="B23" s="22">
        <f>$B$19+1</f>
        <v>1.3</v>
      </c>
      <c r="C23" t="s">
        <v>5</v>
      </c>
    </row>
    <row r="24" spans="1:3" x14ac:dyDescent="0.3">
      <c r="A24" t="s">
        <v>58</v>
      </c>
      <c r="B24" s="3">
        <f>B23*B18</f>
        <v>6.5000000000000002E-2</v>
      </c>
    </row>
    <row r="25" spans="1:3" x14ac:dyDescent="0.3">
      <c r="A25" t="s">
        <v>9</v>
      </c>
      <c r="B25" s="10">
        <f>B24/B6</f>
        <v>2.6000000000000002E-2</v>
      </c>
    </row>
    <row r="48" spans="1:1" x14ac:dyDescent="0.3">
      <c r="A48" s="2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zoomScale="85" zoomScaleNormal="85" workbookViewId="0">
      <selection activeCell="A8" sqref="A8:XFD27"/>
    </sheetView>
  </sheetViews>
  <sheetFormatPr defaultRowHeight="14.4" x14ac:dyDescent="0.3"/>
  <cols>
    <col min="1" max="1" width="22.5546875" bestFit="1" customWidth="1"/>
    <col min="2" max="2" width="18.77734375" customWidth="1"/>
    <col min="3" max="3" width="27.44140625" bestFit="1" customWidth="1"/>
    <col min="4" max="4" width="17.6640625" customWidth="1"/>
    <col min="6" max="6" width="11.5546875" bestFit="1" customWidth="1"/>
  </cols>
  <sheetData>
    <row r="1" spans="1:4" ht="21" x14ac:dyDescent="0.4">
      <c r="A1" s="6" t="s">
        <v>45</v>
      </c>
    </row>
    <row r="2" spans="1:4" ht="21" x14ac:dyDescent="0.4">
      <c r="A2" s="6"/>
    </row>
    <row r="3" spans="1:4" x14ac:dyDescent="0.3">
      <c r="A3" t="s">
        <v>40</v>
      </c>
    </row>
    <row r="4" spans="1:4" x14ac:dyDescent="0.3">
      <c r="A4" t="s">
        <v>41</v>
      </c>
    </row>
    <row r="5" spans="1:4" x14ac:dyDescent="0.3">
      <c r="A5" t="s">
        <v>44</v>
      </c>
    </row>
    <row r="9" spans="1:4" ht="21" x14ac:dyDescent="0.4">
      <c r="A9" s="6" t="s">
        <v>47</v>
      </c>
    </row>
    <row r="10" spans="1:4" ht="21" x14ac:dyDescent="0.4">
      <c r="A10" s="6"/>
    </row>
    <row r="11" spans="1:4" x14ac:dyDescent="0.3">
      <c r="A11" s="17" t="s">
        <v>43</v>
      </c>
      <c r="B11" s="12">
        <v>16000000000</v>
      </c>
      <c r="C11" s="11" t="s">
        <v>33</v>
      </c>
      <c r="D11" t="s">
        <v>42</v>
      </c>
    </row>
    <row r="12" spans="1:4" x14ac:dyDescent="0.3">
      <c r="A12" s="17"/>
      <c r="B12" s="13">
        <v>0.2</v>
      </c>
      <c r="C12" s="11"/>
    </row>
    <row r="13" spans="1:4" x14ac:dyDescent="0.3">
      <c r="A13" s="17" t="s">
        <v>37</v>
      </c>
      <c r="B13" s="14">
        <f>B11*B12</f>
        <v>3200000000</v>
      </c>
      <c r="C13" s="11" t="s">
        <v>33</v>
      </c>
    </row>
    <row r="14" spans="1:4" x14ac:dyDescent="0.3">
      <c r="A14" s="17"/>
      <c r="B14" s="13">
        <v>0.01</v>
      </c>
      <c r="C14" s="11"/>
    </row>
    <row r="15" spans="1:4" x14ac:dyDescent="0.3">
      <c r="A15" s="17" t="s">
        <v>38</v>
      </c>
      <c r="B15" s="14">
        <f>B13*B14</f>
        <v>32000000</v>
      </c>
      <c r="C15" s="11" t="s">
        <v>33</v>
      </c>
      <c r="D15" s="2"/>
    </row>
    <row r="16" spans="1:4" x14ac:dyDescent="0.3">
      <c r="A16" s="17" t="s">
        <v>39</v>
      </c>
      <c r="B16" s="15">
        <v>50</v>
      </c>
      <c r="C16" s="11"/>
    </row>
    <row r="17" spans="1:3" x14ac:dyDescent="0.3">
      <c r="A17" s="17" t="s">
        <v>4</v>
      </c>
      <c r="B17" s="16">
        <f>B15*B16</f>
        <v>1600000000</v>
      </c>
      <c r="C17" s="11"/>
    </row>
    <row r="18" spans="1:3" x14ac:dyDescent="0.3">
      <c r="A18" s="17"/>
      <c r="B18" s="13">
        <v>0.01</v>
      </c>
      <c r="C18" s="11"/>
    </row>
    <row r="19" spans="1:3" x14ac:dyDescent="0.3">
      <c r="A19" s="17" t="s">
        <v>36</v>
      </c>
      <c r="B19" s="9">
        <f>B17*B18</f>
        <v>16000000</v>
      </c>
      <c r="C19" s="11"/>
    </row>
    <row r="22" spans="1:3" ht="21" x14ac:dyDescent="0.4">
      <c r="A22" s="6" t="s">
        <v>48</v>
      </c>
    </row>
    <row r="23" spans="1:3" x14ac:dyDescent="0.3">
      <c r="A23" t="s">
        <v>11</v>
      </c>
    </row>
    <row r="24" spans="1:3" x14ac:dyDescent="0.3">
      <c r="A24" t="s">
        <v>12</v>
      </c>
    </row>
    <row r="25" spans="1:3" x14ac:dyDescent="0.3">
      <c r="A25" t="s">
        <v>13</v>
      </c>
    </row>
    <row r="26" spans="1:3" x14ac:dyDescent="0.3">
      <c r="A26" t="s">
        <v>14</v>
      </c>
    </row>
    <row r="27" spans="1:3" x14ac:dyDescent="0.3">
      <c r="A27" t="s">
        <v>15</v>
      </c>
    </row>
    <row r="30" spans="1:3" ht="21" x14ac:dyDescent="0.4">
      <c r="A30" s="6" t="s">
        <v>49</v>
      </c>
    </row>
    <row r="31" spans="1:3" x14ac:dyDescent="0.3">
      <c r="A31" t="s">
        <v>34</v>
      </c>
    </row>
    <row r="32" spans="1:3" x14ac:dyDescent="0.3">
      <c r="A32" t="s">
        <v>16</v>
      </c>
    </row>
    <row r="33" spans="1:1" x14ac:dyDescent="0.3">
      <c r="A33" t="s">
        <v>35</v>
      </c>
    </row>
    <row r="37" spans="1:1" ht="21" x14ac:dyDescent="0.4">
      <c r="A37" s="6" t="s">
        <v>50</v>
      </c>
    </row>
    <row r="38" spans="1:1" x14ac:dyDescent="0.3">
      <c r="A38" t="s">
        <v>22</v>
      </c>
    </row>
    <row r="39" spans="1:1" x14ac:dyDescent="0.3">
      <c r="A39" t="s">
        <v>17</v>
      </c>
    </row>
    <row r="40" spans="1:1" x14ac:dyDescent="0.3">
      <c r="A40" t="s">
        <v>10</v>
      </c>
    </row>
    <row r="43" spans="1:1" ht="21" x14ac:dyDescent="0.4">
      <c r="A43" s="6" t="s">
        <v>51</v>
      </c>
    </row>
    <row r="44" spans="1:1" x14ac:dyDescent="0.3">
      <c r="A44" t="s">
        <v>19</v>
      </c>
    </row>
    <row r="45" spans="1:1" x14ac:dyDescent="0.3">
      <c r="A45" t="s">
        <v>18</v>
      </c>
    </row>
    <row r="46" spans="1:1" x14ac:dyDescent="0.3">
      <c r="A46" t="s">
        <v>20</v>
      </c>
    </row>
    <row r="47" spans="1:1" x14ac:dyDescent="0.3">
      <c r="A47" t="s">
        <v>23</v>
      </c>
    </row>
    <row r="48" spans="1:1" x14ac:dyDescent="0.3">
      <c r="A48" t="s">
        <v>24</v>
      </c>
    </row>
    <row r="49" spans="1:1" x14ac:dyDescent="0.3">
      <c r="A49" t="s">
        <v>25</v>
      </c>
    </row>
    <row r="52" spans="1:1" ht="21" x14ac:dyDescent="0.4">
      <c r="A52" s="6" t="s">
        <v>52</v>
      </c>
    </row>
    <row r="54" spans="1:1" x14ac:dyDescent="0.3">
      <c r="A54" t="s">
        <v>21</v>
      </c>
    </row>
    <row r="55" spans="1:1" x14ac:dyDescent="0.3">
      <c r="A55" t="s">
        <v>26</v>
      </c>
    </row>
    <row r="56" spans="1:1" x14ac:dyDescent="0.3">
      <c r="A56" t="s">
        <v>27</v>
      </c>
    </row>
    <row r="57" spans="1:1" x14ac:dyDescent="0.3">
      <c r="A57" t="s">
        <v>28</v>
      </c>
    </row>
    <row r="58" spans="1:1" x14ac:dyDescent="0.3">
      <c r="A58" t="s">
        <v>29</v>
      </c>
    </row>
    <row r="59" spans="1:1" x14ac:dyDescent="0.3">
      <c r="A59" t="s">
        <v>30</v>
      </c>
    </row>
    <row r="60" spans="1:1" x14ac:dyDescent="0.3">
      <c r="A60" t="s">
        <v>31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model (Market)</vt:lpstr>
      <vt:lpstr>Data model (Simple)</vt:lpstr>
      <vt:lpstr>Income calculation</vt:lpstr>
      <vt:lpstr>General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CHESTER</dc:creator>
  <cp:lastModifiedBy>CHESTER</cp:lastModifiedBy>
  <dcterms:created xsi:type="dcterms:W3CDTF">2016-09-25T01:19:36Z</dcterms:created>
  <dcterms:modified xsi:type="dcterms:W3CDTF">2016-11-08T08:14:53Z</dcterms:modified>
</cp:coreProperties>
</file>