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roject\steve@softerhardware.com\"/>
    </mc:Choice>
  </mc:AlternateContent>
  <bookViews>
    <workbookView xWindow="0" yWindow="0" windowWidth="28800" windowHeight="12210"/>
  </bookViews>
  <sheets>
    <sheet name="Total" sheetId="1" r:id="rId1"/>
    <sheet name="hermeslite2beta3" sheetId="5" r:id="rId2"/>
  </sheets>
  <definedNames>
    <definedName name="_xlnm._FilterDatabase" localSheetId="1" hidden="1">hermeslite2beta3!$A$2:$O$80</definedName>
  </definedNames>
  <calcPr calcId="162913"/>
</workbook>
</file>

<file path=xl/calcChain.xml><?xml version="1.0" encoding="utf-8"?>
<calcChain xmlns="http://schemas.openxmlformats.org/spreadsheetml/2006/main">
  <c r="H50" i="1" l="1"/>
  <c r="B37" i="1"/>
  <c r="B36" i="1"/>
  <c r="J65" i="5"/>
  <c r="J10" i="5" l="1"/>
  <c r="L10" i="5"/>
  <c r="J11" i="5"/>
  <c r="L11" i="5"/>
  <c r="J12" i="5"/>
  <c r="L12" i="5"/>
  <c r="J13" i="5"/>
  <c r="L13" i="5"/>
  <c r="J14" i="5"/>
  <c r="L14" i="5"/>
  <c r="J15" i="5"/>
  <c r="L15" i="5"/>
  <c r="J16" i="5"/>
  <c r="L16" i="5"/>
  <c r="J17" i="5"/>
  <c r="L17" i="5"/>
  <c r="J18" i="5"/>
  <c r="L18" i="5"/>
  <c r="J19" i="5"/>
  <c r="L19" i="5"/>
  <c r="J20" i="5"/>
  <c r="L20" i="5"/>
  <c r="M80" i="5"/>
  <c r="N80" i="5" s="1"/>
  <c r="K80" i="5"/>
  <c r="L80" i="5" s="1"/>
  <c r="I80" i="5"/>
  <c r="L79" i="5"/>
  <c r="K78" i="5"/>
  <c r="L78" i="5" s="1"/>
  <c r="I78" i="5"/>
  <c r="M75" i="5"/>
  <c r="K75" i="5"/>
  <c r="I75" i="5"/>
  <c r="J75" i="5" s="1"/>
  <c r="N74" i="5"/>
  <c r="M73" i="5"/>
  <c r="K73" i="5"/>
  <c r="I73" i="5"/>
  <c r="M70" i="5"/>
  <c r="N70" i="5" s="1"/>
  <c r="K70" i="5"/>
  <c r="I70" i="5"/>
  <c r="N3" i="5"/>
  <c r="N4" i="5"/>
  <c r="N5" i="5"/>
  <c r="N6" i="5"/>
  <c r="N7" i="5"/>
  <c r="N8" i="5"/>
  <c r="N9" i="5"/>
  <c r="N10" i="5"/>
  <c r="N11" i="5"/>
  <c r="N12" i="5"/>
  <c r="N13" i="5"/>
  <c r="N14" i="5"/>
  <c r="N15" i="5"/>
  <c r="N16" i="5"/>
  <c r="N17" i="5"/>
  <c r="N18" i="5"/>
  <c r="N19" i="5"/>
  <c r="N20" i="5"/>
  <c r="N21" i="5"/>
  <c r="N22" i="5"/>
  <c r="N25" i="5"/>
  <c r="N26" i="5"/>
  <c r="N28" i="5"/>
  <c r="N29" i="5"/>
  <c r="N30" i="5"/>
  <c r="N31" i="5"/>
  <c r="N32" i="5"/>
  <c r="N33" i="5"/>
  <c r="N35" i="5"/>
  <c r="N36" i="5"/>
  <c r="N38" i="5"/>
  <c r="N39" i="5"/>
  <c r="N40" i="5"/>
  <c r="N41" i="5"/>
  <c r="N42" i="5"/>
  <c r="N43" i="5"/>
  <c r="N44" i="5"/>
  <c r="N45" i="5"/>
  <c r="N46" i="5"/>
  <c r="N47" i="5"/>
  <c r="N48" i="5"/>
  <c r="N49" i="5"/>
  <c r="N50" i="5"/>
  <c r="N51" i="5"/>
  <c r="N52" i="5"/>
  <c r="N53" i="5"/>
  <c r="N54" i="5"/>
  <c r="N55" i="5"/>
  <c r="N56" i="5"/>
  <c r="N57" i="5"/>
  <c r="N58" i="5"/>
  <c r="N59" i="5"/>
  <c r="N60" i="5"/>
  <c r="N61" i="5"/>
  <c r="N62" i="5"/>
  <c r="N63" i="5"/>
  <c r="N64" i="5"/>
  <c r="N66" i="5"/>
  <c r="N69" i="5"/>
  <c r="N71" i="5"/>
  <c r="N72" i="5"/>
  <c r="N73" i="5"/>
  <c r="N75" i="5"/>
  <c r="N76" i="5"/>
  <c r="N77" i="5"/>
  <c r="N78" i="5"/>
  <c r="N79" i="5"/>
  <c r="L4" i="5"/>
  <c r="L5" i="5"/>
  <c r="L6" i="5"/>
  <c r="L7" i="5"/>
  <c r="L8" i="5"/>
  <c r="L9" i="5"/>
  <c r="L21" i="5"/>
  <c r="L22" i="5"/>
  <c r="L25" i="5"/>
  <c r="L26" i="5"/>
  <c r="L28" i="5"/>
  <c r="L29" i="5"/>
  <c r="L30" i="5"/>
  <c r="L31" i="5"/>
  <c r="L32" i="5"/>
  <c r="L33" i="5"/>
  <c r="L35" i="5"/>
  <c r="L36" i="5"/>
  <c r="L38" i="5"/>
  <c r="L39" i="5"/>
  <c r="L40" i="5"/>
  <c r="L41" i="5"/>
  <c r="L42" i="5"/>
  <c r="L43" i="5"/>
  <c r="L44" i="5"/>
  <c r="L45" i="5"/>
  <c r="L46" i="5"/>
  <c r="L47" i="5"/>
  <c r="L48" i="5"/>
  <c r="L49" i="5"/>
  <c r="L50" i="5"/>
  <c r="L51" i="5"/>
  <c r="L52" i="5"/>
  <c r="L53" i="5"/>
  <c r="L54" i="5"/>
  <c r="L55" i="5"/>
  <c r="L56" i="5"/>
  <c r="L57" i="5"/>
  <c r="L58" i="5"/>
  <c r="L59" i="5"/>
  <c r="L60" i="5"/>
  <c r="L61" i="5"/>
  <c r="L62" i="5"/>
  <c r="L63" i="5"/>
  <c r="L64" i="5"/>
  <c r="L66" i="5"/>
  <c r="L68" i="5"/>
  <c r="L69" i="5"/>
  <c r="L70" i="5"/>
  <c r="L71" i="5"/>
  <c r="L72" i="5"/>
  <c r="L73" i="5"/>
  <c r="L74" i="5"/>
  <c r="L75" i="5"/>
  <c r="L76" i="5"/>
  <c r="L77" i="5"/>
  <c r="L3" i="5"/>
  <c r="J4" i="5"/>
  <c r="J5" i="5"/>
  <c r="J6" i="5"/>
  <c r="J7" i="5"/>
  <c r="J8" i="5"/>
  <c r="J9" i="5"/>
  <c r="J21" i="5"/>
  <c r="J22" i="5"/>
  <c r="J25" i="5"/>
  <c r="J26" i="5"/>
  <c r="J28" i="5"/>
  <c r="J29" i="5"/>
  <c r="J32" i="5"/>
  <c r="J35" i="5"/>
  <c r="J36" i="5"/>
  <c r="J38" i="5"/>
  <c r="J39" i="5"/>
  <c r="J40" i="5"/>
  <c r="J41" i="5"/>
  <c r="J42" i="5"/>
  <c r="J43" i="5"/>
  <c r="J44" i="5"/>
  <c r="J45" i="5"/>
  <c r="J46" i="5"/>
  <c r="J47" i="5"/>
  <c r="J48" i="5"/>
  <c r="J49" i="5"/>
  <c r="J50" i="5"/>
  <c r="J51" i="5"/>
  <c r="J52" i="5"/>
  <c r="J53" i="5"/>
  <c r="J54" i="5"/>
  <c r="J55" i="5"/>
  <c r="J56" i="5"/>
  <c r="J57" i="5"/>
  <c r="J58" i="5"/>
  <c r="J59" i="5"/>
  <c r="J60" i="5"/>
  <c r="J61" i="5"/>
  <c r="J62" i="5"/>
  <c r="J63" i="5"/>
  <c r="J64" i="5"/>
  <c r="J66" i="5"/>
  <c r="J69" i="5"/>
  <c r="J70" i="5"/>
  <c r="J71" i="5"/>
  <c r="J72" i="5"/>
  <c r="J73" i="5"/>
  <c r="J74" i="5"/>
  <c r="J76" i="5"/>
  <c r="J77" i="5"/>
  <c r="J78" i="5"/>
  <c r="J79" i="5"/>
  <c r="J80" i="5"/>
  <c r="J3" i="5"/>
  <c r="M68" i="5"/>
  <c r="N68" i="5" s="1"/>
  <c r="K68" i="5"/>
  <c r="I68" i="5"/>
  <c r="J68" i="5" s="1"/>
  <c r="M67" i="5"/>
  <c r="N67" i="5" s="1"/>
  <c r="K67" i="5"/>
  <c r="L67" i="5" s="1"/>
  <c r="I67" i="5"/>
  <c r="J67" i="5" s="1"/>
  <c r="M65" i="5"/>
  <c r="N65" i="5" s="1"/>
  <c r="K65" i="5"/>
  <c r="L65" i="5" s="1"/>
  <c r="I65" i="5"/>
  <c r="M37" i="5" l="1"/>
  <c r="N37" i="5" s="1"/>
  <c r="K37" i="5"/>
  <c r="L37" i="5" s="1"/>
  <c r="I37" i="5"/>
  <c r="J37" i="5" s="1"/>
  <c r="M34" i="5"/>
  <c r="N34" i="5" s="1"/>
  <c r="K34" i="5"/>
  <c r="L34" i="5" s="1"/>
  <c r="I34" i="5"/>
  <c r="J34" i="5" s="1"/>
  <c r="I33" i="5"/>
  <c r="J33" i="5" s="1"/>
  <c r="I31" i="5"/>
  <c r="J31" i="5" s="1"/>
  <c r="I30" i="5"/>
  <c r="J30" i="5" s="1"/>
  <c r="M27" i="5"/>
  <c r="N27" i="5" s="1"/>
  <c r="K27" i="5"/>
  <c r="L27" i="5" s="1"/>
  <c r="I27" i="5"/>
  <c r="J27" i="5" s="1"/>
  <c r="M24" i="5"/>
  <c r="N24" i="5" s="1"/>
  <c r="K24" i="5"/>
  <c r="L24" i="5" s="1"/>
  <c r="I24" i="5"/>
  <c r="J24" i="5" s="1"/>
  <c r="M23" i="5"/>
  <c r="N23" i="5" s="1"/>
  <c r="N82" i="5" s="1"/>
  <c r="B39" i="1" s="1"/>
  <c r="K23" i="5"/>
  <c r="L23" i="5" s="1"/>
  <c r="L82" i="5" s="1"/>
  <c r="B38" i="1" s="1"/>
  <c r="C22" i="1" l="1"/>
  <c r="C21" i="1"/>
  <c r="I23" i="5" l="1"/>
  <c r="J23" i="5" s="1"/>
  <c r="J82" i="5" s="1"/>
  <c r="I51" i="1" l="1"/>
  <c r="I52" i="1"/>
  <c r="I53" i="1"/>
  <c r="I50" i="1"/>
  <c r="C45" i="1"/>
  <c r="C46" i="1"/>
  <c r="C47" i="1"/>
  <c r="C44" i="1"/>
  <c r="A39" i="1"/>
  <c r="A38" i="1"/>
  <c r="A37" i="1"/>
  <c r="A36" i="1"/>
  <c r="A13" i="1"/>
  <c r="C24" i="1" l="1"/>
  <c r="C26" i="1" s="1"/>
  <c r="C28" i="1" s="1"/>
  <c r="A15" i="1"/>
  <c r="A14" i="1"/>
  <c r="A27" i="1"/>
  <c r="A25" i="1"/>
  <c r="A23" i="1"/>
  <c r="A21" i="1"/>
  <c r="C23" i="1" l="1"/>
  <c r="H51" i="1" l="1"/>
  <c r="C25" i="1"/>
  <c r="C27" i="1" l="1"/>
  <c r="H53" i="1" s="1"/>
  <c r="H52" i="1"/>
</calcChain>
</file>

<file path=xl/sharedStrings.xml><?xml version="1.0" encoding="utf-8"?>
<sst xmlns="http://schemas.openxmlformats.org/spreadsheetml/2006/main" count="581" uniqueCount="415">
  <si>
    <t>Basic info:</t>
  </si>
  <si>
    <r>
      <rPr>
        <b/>
        <sz val="10"/>
        <rFont val="Arial"/>
        <family val="2"/>
      </rPr>
      <t xml:space="preserve">Customer: </t>
    </r>
    <r>
      <rPr>
        <sz val="10"/>
        <rFont val="Arial"/>
        <family val="2"/>
      </rPr>
      <t xml:space="preserve"> </t>
    </r>
  </si>
  <si>
    <r>
      <rPr>
        <b/>
        <sz val="10"/>
        <rFont val="Arial"/>
        <family val="2"/>
      </rPr>
      <t>Contact Person:</t>
    </r>
    <r>
      <rPr>
        <sz val="10"/>
        <rFont val="Arial"/>
        <family val="2"/>
      </rPr>
      <t xml:space="preserve"> </t>
    </r>
  </si>
  <si>
    <r>
      <rPr>
        <b/>
        <sz val="10"/>
        <rFont val="Arial"/>
        <family val="2"/>
      </rPr>
      <t>Tel:</t>
    </r>
    <r>
      <rPr>
        <sz val="10"/>
        <rFont val="Arial"/>
        <family val="2"/>
      </rPr>
      <t xml:space="preserve"> </t>
    </r>
  </si>
  <si>
    <r>
      <rPr>
        <b/>
        <sz val="10"/>
        <rFont val="Arial"/>
        <family val="2"/>
      </rPr>
      <t>Email:</t>
    </r>
    <r>
      <rPr>
        <sz val="10"/>
        <rFont val="Arial"/>
        <family val="2"/>
      </rPr>
      <t xml:space="preserve">
</t>
    </r>
  </si>
  <si>
    <r>
      <rPr>
        <b/>
        <sz val="10"/>
        <rFont val="Arial"/>
        <family val="2"/>
      </rPr>
      <t xml:space="preserve">Shipping method: </t>
    </r>
    <r>
      <rPr>
        <sz val="10"/>
        <rFont val="Arial"/>
        <family val="2"/>
      </rPr>
      <t xml:space="preserve"> DHL </t>
    </r>
  </si>
  <si>
    <t>For PCB fabricate</t>
  </si>
  <si>
    <t>Project Name</t>
  </si>
  <si>
    <t>Layers</t>
  </si>
  <si>
    <t>Dimension</t>
  </si>
  <si>
    <t>Thickness</t>
  </si>
  <si>
    <t>Surface Finished</t>
  </si>
  <si>
    <t>Solder Mask</t>
  </si>
  <si>
    <t>Qty</t>
  </si>
  <si>
    <r>
      <rPr>
        <sz val="11"/>
        <color theme="1"/>
        <rFont val="Arial"/>
        <family val="2"/>
      </rPr>
      <t>Quotation</t>
    </r>
    <r>
      <rPr>
        <sz val="11"/>
        <color theme="1"/>
        <rFont val="宋体"/>
        <family val="3"/>
        <charset val="134"/>
      </rPr>
      <t>（</t>
    </r>
    <r>
      <rPr>
        <sz val="11"/>
        <color theme="1"/>
        <rFont val="Arial"/>
        <family val="2"/>
      </rPr>
      <t>$)</t>
    </r>
  </si>
  <si>
    <t>Weight(kg)</t>
  </si>
  <si>
    <t>Remark</t>
  </si>
  <si>
    <t>Stencil</t>
  </si>
  <si>
    <t>Total:</t>
  </si>
  <si>
    <t>For PCB Assembly</t>
  </si>
  <si>
    <t>Pads</t>
  </si>
  <si>
    <t>Price</t>
  </si>
  <si>
    <t>Qty of Boards</t>
  </si>
  <si>
    <t>Quotation</t>
  </si>
  <si>
    <t>SMT</t>
  </si>
  <si>
    <t>THT</t>
  </si>
  <si>
    <t>Engineer Start</t>
  </si>
  <si>
    <t xml:space="preserve"> </t>
  </si>
  <si>
    <t>Shipping</t>
  </si>
  <si>
    <t>Products</t>
  </si>
  <si>
    <t>Shipping Method</t>
  </si>
  <si>
    <t>PCBAs</t>
  </si>
  <si>
    <t>Total Quatation($):</t>
  </si>
  <si>
    <t>Makerfabs PCBA Quotation</t>
  </si>
  <si>
    <t>Vendor: Makerfabs</t>
  </si>
  <si>
    <r>
      <t>Tel:</t>
    </r>
    <r>
      <rPr>
        <sz val="10"/>
        <rFont val="Arial"/>
        <family val="2"/>
      </rPr>
      <t xml:space="preserve"> +86 189 2520 4600</t>
    </r>
  </si>
  <si>
    <t xml:space="preserve">Date: </t>
  </si>
  <si>
    <t>Components</t>
  </si>
  <si>
    <t xml:space="preserve"> Customer address :</t>
  </si>
  <si>
    <t>Project</t>
  </si>
  <si>
    <t>Footprint</t>
  </si>
  <si>
    <t>Q1</t>
  </si>
  <si>
    <t>DMP3099L-7</t>
  </si>
  <si>
    <t>green</t>
  </si>
  <si>
    <t>hasl lead free</t>
  </si>
  <si>
    <r>
      <t>Contact Person:</t>
    </r>
    <r>
      <rPr>
        <sz val="10"/>
        <rFont val="Arial"/>
        <family val="2"/>
      </rPr>
      <t xml:space="preserve"> Helen</t>
    </r>
    <phoneticPr fontId="17" type="noConversion"/>
  </si>
  <si>
    <t>hermeslite2beta3</t>
    <phoneticPr fontId="17" type="noConversion"/>
  </si>
  <si>
    <t xml:space="preserve">10x10 cm </t>
    <phoneticPr fontId="17" type="noConversion"/>
  </si>
  <si>
    <t>green</t>
    <phoneticPr fontId="17" type="noConversion"/>
  </si>
  <si>
    <t>for 1 pcs</t>
    <phoneticPr fontId="17" type="noConversion"/>
  </si>
  <si>
    <t>for 5 pcs</t>
    <phoneticPr fontId="17" type="noConversion"/>
  </si>
  <si>
    <t>for 10 pcs</t>
    <phoneticPr fontId="17" type="noConversion"/>
  </si>
  <si>
    <t>for 50 pcs</t>
    <phoneticPr fontId="17" type="noConversion"/>
  </si>
  <si>
    <t>SZ DHL</t>
    <phoneticPr fontId="17" type="noConversion"/>
  </si>
  <si>
    <t>for 5 pcs 2-3 shipping day</t>
    <phoneticPr fontId="17" type="noConversion"/>
  </si>
  <si>
    <t>for 50 pcs  2-3 shipping day</t>
    <phoneticPr fontId="17" type="noConversion"/>
  </si>
  <si>
    <t>for 1 pcs 2-3 shipping day</t>
    <phoneticPr fontId="17" type="noConversion"/>
  </si>
  <si>
    <t>for 10 pcs  2-3 shipping day</t>
    <phoneticPr fontId="17" type="noConversion"/>
  </si>
  <si>
    <t>B55 B58 B65 B82 B104 B107 B112 B118 B121 C10 C11 C42 C47 C54 C55 C58 C59 C75 C76 C77 C78 C79 C80 C82 C83 C85 C148 C149 CL1 CL2 CL3 CL4 CN2 CN4 CN5 CN6 CN7 CN8 CN9 CN10 CN11 CN12
D6 D7 D8 D9 D13 D14 DB1 DB2 DB3 DB4 DB5 DB6 DB7 DB8 DB9 DB10 DB11 DB12 DB14 DB16 DB17 DB19 DB20 DB22 DB23 DB24 DB26 DB27 EN1 FB27 FB29 J3 J4 J5 J6 J7 J8 J12 J13 J16 J17 J18 J20 J23
K2 PB1 PG1 Q7 R8 R9 R13 R16 R17 R18 R35 R36 R37 R38 R39 R40 R41 R45 R60 R83 R84 R85 R86 R87 R88 R89 R90 R93 R96 R97 R98 R105 R109 R110 R112 R117 R118 R119 R128 R129 R131 R132 R133 R134 R135
RF1 RF2 RF3 T3 U5 X3</t>
  </si>
  <si>
    <t>Do Not Assemble:</t>
  </si>
  <si>
    <t>Pins TH:</t>
  </si>
  <si>
    <t>Pins SMT:</t>
  </si>
  <si>
    <t>Parts TH:</t>
  </si>
  <si>
    <t>Parts SMT:</t>
  </si>
  <si>
    <t>Line Items TH:</t>
  </si>
  <si>
    <t>Line Items SMT:</t>
  </si>
  <si>
    <t>http://www.octopart.com/search?q=ASTXR-12-38.400MHZ-514054-T</t>
  </si>
  <si>
    <t>2.5x2mm</t>
  </si>
  <si>
    <t>X2</t>
  </si>
  <si>
    <t xml:space="preserve"> N</t>
  </si>
  <si>
    <t>ASTXR-12-38.400MHZ-514054-T</t>
  </si>
  <si>
    <t>38.4MHz Osc 3.3V&lt;=10ppm</t>
  </si>
  <si>
    <t>http://www.aliexpress.com/wholesale?SearchText=25mhz 3.2x2.5 passive</t>
  </si>
  <si>
    <t>3.2x2.5mm</t>
  </si>
  <si>
    <t>X1</t>
  </si>
  <si>
    <t xml:space="preserve"> Y</t>
  </si>
  <si>
    <t>NX3225SA-25.000M-STD-CSR-3</t>
  </si>
  <si>
    <t>25MHz XTAL</t>
  </si>
  <si>
    <t>http://www.octopart.com/search?q=LP2985-10DBVR</t>
  </si>
  <si>
    <t>SOT-23-5</t>
  </si>
  <si>
    <t>U19</t>
  </si>
  <si>
    <t>LP2985-10DBVR</t>
  </si>
  <si>
    <t>LDO 10V 150mA</t>
  </si>
  <si>
    <t>http://www.aliexpress.com/wholesale?SearchText=LMV324IDR</t>
  </si>
  <si>
    <t>14-SOIC (3.90mm)</t>
  </si>
  <si>
    <t>U18</t>
  </si>
  <si>
    <t>LMV324IDR</t>
  </si>
  <si>
    <t>OpAmp</t>
  </si>
  <si>
    <t>http://www.aliexpress.com/wholesale?SearchText=TPS73025DBVR</t>
  </si>
  <si>
    <t>U17</t>
  </si>
  <si>
    <t>TPS73025DBVR</t>
  </si>
  <si>
    <t>LDO Regulator</t>
  </si>
  <si>
    <t>http://www.octopart.com/search?q=MCP4662-502E/UN</t>
  </si>
  <si>
    <t>10-MSOP (3.00mm)</t>
  </si>
  <si>
    <t>U15</t>
  </si>
  <si>
    <t>MCP4662-502E/UN</t>
  </si>
  <si>
    <t>Digital Rheostat 5K</t>
  </si>
  <si>
    <t>http://www.octopart.com/search?q=INA199A1DC</t>
  </si>
  <si>
    <t>SC-70-6</t>
  </si>
  <si>
    <t>U14</t>
  </si>
  <si>
    <t>INA199A1DC</t>
  </si>
  <si>
    <t>Current Sense AMP</t>
  </si>
  <si>
    <t>http://www.octopart.com/search?q=MAX11613EUA</t>
  </si>
  <si>
    <t>8-MSOP (3.00mm)</t>
  </si>
  <si>
    <t>U13</t>
  </si>
  <si>
    <t>Slow ADC</t>
  </si>
  <si>
    <t>http://www.octopart.com/search?q=AP2204MP-ADJTRG1</t>
  </si>
  <si>
    <t>8-SOIC (3.90mm) EP</t>
  </si>
  <si>
    <t>U12</t>
  </si>
  <si>
    <t>AP2204MP-ADJTRG1</t>
  </si>
  <si>
    <t>http://www.aliexpress.com/wholesale?SearchText=pe4259</t>
  </si>
  <si>
    <t>SC70-6</t>
  </si>
  <si>
    <t>U10,U11</t>
  </si>
  <si>
    <t>4259-63</t>
  </si>
  <si>
    <t>RF Switch</t>
  </si>
  <si>
    <t>http://www.aliexpress.com/wholesale?SearchText=OPA2677</t>
  </si>
  <si>
    <t>U9</t>
  </si>
  <si>
    <t>RF Preamp OpAmp</t>
  </si>
  <si>
    <t>http://www.aliexpress.com/wholesale?SearchText=AD9866BCPZ</t>
  </si>
  <si>
    <t>64-VFQFN EP</t>
  </si>
  <si>
    <t>U7</t>
  </si>
  <si>
    <t>RF ADC DAC</t>
  </si>
  <si>
    <t>http://www.octopart.com/search?q=5P49V5923B000NLGI</t>
  </si>
  <si>
    <t>24-VFQFN EP</t>
  </si>
  <si>
    <t>U6</t>
  </si>
  <si>
    <t>Clock Generator</t>
  </si>
  <si>
    <t>http://www.aliexpress.com/wholesale?SearchText=KSZ9031</t>
  </si>
  <si>
    <t>48-VFQFN EP</t>
  </si>
  <si>
    <t>U4</t>
  </si>
  <si>
    <t>Gigabit EthPhy</t>
  </si>
  <si>
    <t>http://www.aliexpress.com/wholesale?SearchText=st1s10</t>
  </si>
  <si>
    <t>U3,U8,U16</t>
  </si>
  <si>
    <t>ST1S10PHR</t>
  </si>
  <si>
    <t>Switching Regulator</t>
  </si>
  <si>
    <t>http://www.aliexpress.com/wholesale?SearchText=EP4CE22E22C8N</t>
  </si>
  <si>
    <t>144-LQFP EP</t>
  </si>
  <si>
    <t>U2</t>
  </si>
  <si>
    <t>EP4CE22E22C8N</t>
  </si>
  <si>
    <t>FPGA</t>
  </si>
  <si>
    <t>http://www.aliexpress.com/wholesale?SearchText=S25FL116K0XMFI041</t>
  </si>
  <si>
    <t>8-SOIC (3.90mm)</t>
  </si>
  <si>
    <t>U1</t>
  </si>
  <si>
    <t>W25Q16JVSNIQ</t>
  </si>
  <si>
    <t>EEPROM 2Mx8bit &gt;40MHz</t>
  </si>
  <si>
    <t>http://www.octopart.com/search?q=MABA-010143-FLUX18</t>
  </si>
  <si>
    <t>SM-22-5 3.81x3.81mm</t>
  </si>
  <si>
    <t>T2</t>
  </si>
  <si>
    <t>8:1 RF Transformer</t>
  </si>
  <si>
    <t>http://www.aliexpress.com/wholesale?SearchText=MABAES0060</t>
  </si>
  <si>
    <t>T1</t>
  </si>
  <si>
    <t>MABAES0060</t>
  </si>
  <si>
    <t>1:1 RF Transformer</t>
  </si>
  <si>
    <t>http://www.octopart.com/search?q=RL1206FR-070R04L</t>
  </si>
  <si>
    <t>R123</t>
  </si>
  <si>
    <t>RL1206FR-070R04L</t>
  </si>
  <si>
    <t>http://www.octopart.com/search?q=RC0603FR-07220KL</t>
  </si>
  <si>
    <t>R113,R116</t>
  </si>
  <si>
    <t>RC0603FR-07220KL</t>
  </si>
  <si>
    <t>220K 0603&lt;=1%&gt;=1/10W</t>
  </si>
  <si>
    <t>http://www.octopart.com/search?q=RC0603FR-07100RL</t>
  </si>
  <si>
    <t>R77,R78,R81,R82,R120,
R121,R122</t>
  </si>
  <si>
    <t>RC0603FR-07100RL</t>
  </si>
  <si>
    <t>100 0603&lt;=1%&gt;=1/10W</t>
  </si>
  <si>
    <t>http://www.octopart.com/search?q=RC0603FR-0727KL</t>
  </si>
  <si>
    <t>R70,R127</t>
  </si>
  <si>
    <t>RC0603FR-0727KL</t>
  </si>
  <si>
    <t>27K 0603&lt;=1%&gt;=1/10W</t>
  </si>
  <si>
    <t>http://www.octopart.com/search?q=RC0603FR-071K6L</t>
  </si>
  <si>
    <t>R69,R102</t>
  </si>
  <si>
    <t>RC0603FR-071K6L</t>
  </si>
  <si>
    <t>http://www.octopart.com/search?q=RC0603FR-07330RL</t>
  </si>
  <si>
    <t>R56,R59</t>
  </si>
  <si>
    <t>RC0603FR-07330RL</t>
  </si>
  <si>
    <t>330 0603&lt;=1%&gt;=1/10W</t>
  </si>
  <si>
    <t>http://www.octopart.com/search?q=RC0603FR-0775RL</t>
  </si>
  <si>
    <t>R55</t>
  </si>
  <si>
    <t>RC0603FR-0775RL</t>
  </si>
  <si>
    <t>75 0603&lt;=5%&gt;=1/10W</t>
  </si>
  <si>
    <t>http://www.octopart.com/search?q=RC0805FR-0712RL</t>
  </si>
  <si>
    <t>R52,R54,R61,R62,R94,
R100</t>
  </si>
  <si>
    <t>RC0805FR-0712RL</t>
  </si>
  <si>
    <t>http://www.octopart.com/search?q=RC0603FR-0722RL</t>
  </si>
  <si>
    <t>R51,R63</t>
  </si>
  <si>
    <t>RC0603FR-0722RL</t>
  </si>
  <si>
    <t>22 0603&lt;=5%&gt;=1/10W</t>
  </si>
  <si>
    <t>http://www.octopart.com/search?q=RC0603FR-079K1L</t>
  </si>
  <si>
    <t>R47,R66</t>
  </si>
  <si>
    <t>RC0603FR-079K1L</t>
  </si>
  <si>
    <t>9.1K 0603&lt;=1%&gt;=1/10W</t>
  </si>
  <si>
    <t>http://www.octopart.com/search?q=RC0603FR-071K8L</t>
  </si>
  <si>
    <t>R46,R104,R115</t>
  </si>
  <si>
    <t>RC0603FR-071K8L</t>
  </si>
  <si>
    <t>http://www.octopart.com/search?q=RC0603FR-074K7L</t>
  </si>
  <si>
    <t>R43,R44,R48,R53,R106,
R107,R124,R125,R126,
R130</t>
  </si>
  <si>
    <t>RC0603FR-074K7L</t>
  </si>
  <si>
    <t>4.7K 0603&lt;=5%&gt;=1/10W</t>
  </si>
  <si>
    <t>http://www.octopart.com/search?q=RC0603FR-0712K1L</t>
  </si>
  <si>
    <t>R34</t>
  </si>
  <si>
    <t>RC0603FR-0712K1L</t>
  </si>
  <si>
    <t>http://www.octopart.com/search?q=RC0603FR-071KL</t>
  </si>
  <si>
    <t>R32,R33,R57,R58,R67,
R68,R71,R72,R73,R74,
R103,R108,R111,R114</t>
  </si>
  <si>
    <t>RC0603FR-071KL</t>
  </si>
  <si>
    <t>1K 0603&lt;=5%&gt;=1/10W</t>
  </si>
  <si>
    <t>http://www.octopart.com/search?q=RC0603FR-07270RL</t>
  </si>
  <si>
    <t>R30,R31,R92,R99</t>
  </si>
  <si>
    <t>RC0603FR-07270RL</t>
  </si>
  <si>
    <t>270 0603&lt;=5%&gt;=1/10W</t>
  </si>
  <si>
    <t>http://www.octopart.com/search?q=RC0603FR-072K2L</t>
  </si>
  <si>
    <t>R20,R26,R49,R65,R75,
R76,R79,R80</t>
  </si>
  <si>
    <t>RC0603FR-072K2L</t>
  </si>
  <si>
    <t>2.2K 0603&lt;=5%&gt;=1/10W</t>
  </si>
  <si>
    <t>http://www.octopart.com/search?q=RC0603FR-0716K2L</t>
  </si>
  <si>
    <t>R19</t>
  </si>
  <si>
    <t>RC0603FR-0716K2L</t>
  </si>
  <si>
    <t>http://www.octopart.com/search?q=RC0603FR-0720KL</t>
  </si>
  <si>
    <t>R15</t>
  </si>
  <si>
    <t>RC0603FR-0720KL</t>
  </si>
  <si>
    <t>20K 0603&lt;=1%&gt;=1/10W</t>
  </si>
  <si>
    <t>http://www.octopart.com/search?q=RC0603FR-0711K5L</t>
  </si>
  <si>
    <t>R12,R91</t>
  </si>
  <si>
    <t>RC0603FR-0711K5L</t>
  </si>
  <si>
    <t>http://www.octopart.com/search?q=RC0603FR-0735K7L</t>
  </si>
  <si>
    <t>R11</t>
  </si>
  <si>
    <t>RC0603FR-0735K7L</t>
  </si>
  <si>
    <t>http://www.octopart.com/search?q=RC0603FR-072R2L</t>
  </si>
  <si>
    <t>R10</t>
  </si>
  <si>
    <t>RC0603FR-072R2L</t>
  </si>
  <si>
    <t>2.2 0603&lt;=5%&gt;=1/10W</t>
  </si>
  <si>
    <t>http://www.octopart.com/search?q=RC0603FR-0710KL</t>
  </si>
  <si>
    <t>R2,R3,R4,R5,R6,R7,
R14,R21,R22,R23,R24,
R25,R27,R28,R29</t>
  </si>
  <si>
    <t>RC0603FR-0710KL</t>
  </si>
  <si>
    <t>10K 0603&lt;=5%&gt;=1/10W</t>
  </si>
  <si>
    <t>http://www.octopart.com/search?q=RC0603FR-0733RL</t>
  </si>
  <si>
    <t>R1,R42,R50,R64</t>
  </si>
  <si>
    <t>RC0603FR-0733RL</t>
  </si>
  <si>
    <t>33 0603&lt;=1%&gt;=1/10W</t>
  </si>
  <si>
    <t>http://www.aliexpress.com/wholesale?SearchText=MCP9700T-E/TT</t>
  </si>
  <si>
    <t>SOT-23-3</t>
  </si>
  <si>
    <t>Q6</t>
  </si>
  <si>
    <t>MCP9700T-E/TT</t>
  </si>
  <si>
    <t>Thermal Sensor</t>
  </si>
  <si>
    <t>http://www.octopart.com/search?q=AFT05MS003NT1</t>
  </si>
  <si>
    <t>SOT-89-3</t>
  </si>
  <si>
    <t>Q3,Q4</t>
  </si>
  <si>
    <t>AFT05MS003NT1</t>
  </si>
  <si>
    <t>RF LDMOS</t>
  </si>
  <si>
    <t>http://www.aliexpress.com/wholesale?SearchText=NUD3124LT1G</t>
  </si>
  <si>
    <t>Q2,Q5</t>
  </si>
  <si>
    <t>NUD3124LT1G</t>
  </si>
  <si>
    <t>Inductive Load Driver</t>
  </si>
  <si>
    <t>http://www.octopart.com/search?q=DMP3099L-7</t>
  </si>
  <si>
    <t>MOSFET P-CH 30V</t>
  </si>
  <si>
    <t>http://www.octopart.com/search?q=LQW2BASR33J00L</t>
  </si>
  <si>
    <t>L10,L11</t>
  </si>
  <si>
    <t>LQW2BASR33J00L</t>
  </si>
  <si>
    <t>330nH</t>
  </si>
  <si>
    <t>http://www.octopart.com/search?q=LQW2BASR27J00L</t>
  </si>
  <si>
    <t>L5,L6,L8,L9</t>
  </si>
  <si>
    <t>LQW2BASR27J00L</t>
  </si>
  <si>
    <t>270nH</t>
  </si>
  <si>
    <t>http://www.octopart.com/search?q=LQW2BASR24J00L</t>
  </si>
  <si>
    <t>L4,L7</t>
  </si>
  <si>
    <t>LQW2BASR24J00L</t>
  </si>
  <si>
    <t>240nH</t>
  </si>
  <si>
    <t>http://www.octopart.com/search?q=SRN5020-2R2Y</t>
  </si>
  <si>
    <t>5x5mm</t>
  </si>
  <si>
    <t>L2</t>
  </si>
  <si>
    <t>SRN5020-2R2Y</t>
  </si>
  <si>
    <t>2.2uH &gt;=2.4A</t>
  </si>
  <si>
    <t>http://www.octopart.com/search?q=SRN5020-3R3M</t>
  </si>
  <si>
    <t>L1,L3</t>
  </si>
  <si>
    <t>SRN5020-3R3M</t>
  </si>
  <si>
    <t>3.3uH &gt;=2.4A</t>
  </si>
  <si>
    <t>http://www.octopart.com/search?q=RC0603JR-070RL</t>
  </si>
  <si>
    <t>J1,J2,J9,J10,J11,
J14,J15,J19,J21,J22,
J28,J30,J31,J32,L33,
L34</t>
  </si>
  <si>
    <t>RC0603JR-070RL</t>
  </si>
  <si>
    <t>0Ohm 0603&lt;=5%&gt;=1/10W</t>
  </si>
  <si>
    <t>http://www.octopart.com/search?q=MPZ1608S601ATA00</t>
  </si>
  <si>
    <t>FB1,FB2,FB3,FB4,FB5,
FB6,FB7,FB8,FB9,FB10,
FB11,FB12,FB13,FB14,
FB15,FB16,FB17,FB18,
FB19,FB20,FB21,FB23,
FB24,FB25,FB26,FB28,
FB30</t>
  </si>
  <si>
    <t>MPZ1608S601ATA00</t>
  </si>
  <si>
    <t>Ferrite Bead 0603
&gt;= 600 Ohms at 100MHz
&lt;= 200 mOhms at DC
1A &lt;=25%</t>
  </si>
  <si>
    <t>http://www.aliexpress.com/wholesale?SearchText=MF-LSMF300/24X-2</t>
  </si>
  <si>
    <t>2920 7.36x5.12mm</t>
  </si>
  <si>
    <t>F1</t>
  </si>
  <si>
    <t>MF-LSMF300/24X-2</t>
  </si>
  <si>
    <t>FUSE PTC 3.0A 24V</t>
  </si>
  <si>
    <t>http://www.aliexpress.com/wholesale?SearchText=SMBJ18CA</t>
  </si>
  <si>
    <t>DO-214AA (SMB)</t>
  </si>
  <si>
    <t>D12</t>
  </si>
  <si>
    <t>SMBJ18CA</t>
  </si>
  <si>
    <t>TVS Diode</t>
  </si>
  <si>
    <t>http://www.octopart.com/search?q=1N5711WS-7-F</t>
  </si>
  <si>
    <t>SC-76, SOD-323</t>
  </si>
  <si>
    <t>D10,D11</t>
  </si>
  <si>
    <t>1N5711WS-7-F</t>
  </si>
  <si>
    <t>Schottky Barrier Diode</t>
  </si>
  <si>
    <t>http://www.octopart.com/search?q=LTST-S220KFKT</t>
  </si>
  <si>
    <t>2.1x1.0mmRightAngle</t>
  </si>
  <si>
    <t>D2,D3,D4,D5</t>
  </si>
  <si>
    <t>LTST-S220KFKT</t>
  </si>
  <si>
    <t>LED RA</t>
  </si>
  <si>
    <t>http://www.octopart.com/search?q=CDSOD323-T05LC</t>
  </si>
  <si>
    <t>D1</t>
  </si>
  <si>
    <t>CDSOD323-T05LC</t>
  </si>
  <si>
    <t>http://www.octopart.com/search?q=L829-1J1T-43</t>
  </si>
  <si>
    <t>Custom</t>
  </si>
  <si>
    <t>CN3</t>
  </si>
  <si>
    <t>L829-1J1T-43</t>
  </si>
  <si>
    <t>Eth MagJack</t>
  </si>
  <si>
    <t>http://www.octopart.com/search?q=67997-410HLF</t>
  </si>
  <si>
    <t>CN1</t>
  </si>
  <si>
    <t>67997-410HLF</t>
  </si>
  <si>
    <t>2x5 M 0.1in</t>
  </si>
  <si>
    <t>http://www.octopart.com/search?q=CL21C8R2DBANNNC</t>
  </si>
  <si>
    <t>C87</t>
  </si>
  <si>
    <t>CL21C8R2DBANNNC</t>
  </si>
  <si>
    <t>8.2pF 0805NP0&gt;=25V&lt;=5%</t>
  </si>
  <si>
    <t>http://www.octopart.com/search?q=CC0805JRNPO0BN271</t>
  </si>
  <si>
    <t>C84</t>
  </si>
  <si>
    <t>CC0805JRNPO0BN271</t>
  </si>
  <si>
    <t>270pF 0805NP0&gt;=50V&lt;=5%</t>
  </si>
  <si>
    <t>http://www.octopart.com/search?q=CC0805JRNPO0BN181</t>
  </si>
  <si>
    <t>C56</t>
  </si>
  <si>
    <t>CC0805JRNPO0BN181</t>
  </si>
  <si>
    <t>180pF 0805NP0&gt;=50V&lt;=5%</t>
  </si>
  <si>
    <t>http://www.octopart.com/search?q=CC0805JRNPO9BN100</t>
  </si>
  <si>
    <t>C53</t>
  </si>
  <si>
    <t>CC0805JRNPO9BN100</t>
  </si>
  <si>
    <t>10pF 0805NP0&gt;=50V&lt;=5%</t>
  </si>
  <si>
    <t>http://www.octopart.com/search?q=CC0805JRNPO0BN101</t>
  </si>
  <si>
    <t>C52,C57,C81</t>
  </si>
  <si>
    <t>CC0805JRNPO0BN101</t>
  </si>
  <si>
    <t>100pF 0805NP0&gt;=50V&lt;=5%</t>
  </si>
  <si>
    <t>http://www.octopart.com/search?q=GRM2165C2A161JA01D</t>
  </si>
  <si>
    <t>C51</t>
  </si>
  <si>
    <t>GRM2165C2A161JA01D</t>
  </si>
  <si>
    <t>160pF 0805NP0&gt;=50V&lt;=5%</t>
  </si>
  <si>
    <t>http://www.octopart.com/search?q=CC0805JRNPO0BN151</t>
  </si>
  <si>
    <t>C50</t>
  </si>
  <si>
    <t>CC0805JRNPO0BN151</t>
  </si>
  <si>
    <t>150pF 0805NP0&gt;=50V&lt;=5%</t>
  </si>
  <si>
    <t>http://www.octopart.com/search?q=C0805C750J1GACTU</t>
  </si>
  <si>
    <t>C49</t>
  </si>
  <si>
    <t>C0805C750J1GACTU</t>
  </si>
  <si>
    <t>75pF 0805NP0&gt;=50V&lt;=5%</t>
  </si>
  <si>
    <t>http://www.octopart.com/search?q=CL21B105KAFNNNE</t>
  </si>
  <si>
    <t>C46,C89,C144,C145,
C146,C147</t>
  </si>
  <si>
    <t>CL21B105KAFNNNE</t>
  </si>
  <si>
    <t>1uF 0805&gt;=X5R&gt;=25V&lt;=20%</t>
  </si>
  <si>
    <t>http://www.octopart.com/search?q=CC0603JRNPO9BN150</t>
  </si>
  <si>
    <t>C36,C37</t>
  </si>
  <si>
    <t>CC0603JRNPO9BN150</t>
  </si>
  <si>
    <t>http://www.octopart.com/search?q=GRM188R61E105KA12D</t>
  </si>
  <si>
    <t>C26,C60,C61,C63,C65,
C67,C68,C69,C71,C72,
C73,C74</t>
  </si>
  <si>
    <t>GRM188R61E105KA12D</t>
  </si>
  <si>
    <t>1uF 0603&gt;=X5R&gt;=6.3V&lt;=20%</t>
  </si>
  <si>
    <t>http://www.octopart.com/search?q=GRM21BR61E475KA12L</t>
  </si>
  <si>
    <t>C18,C24,C34</t>
  </si>
  <si>
    <t>GRM21BR61E475KA12L</t>
  </si>
  <si>
    <t>4.7uF 0805&gt;=X5R&gt;=25V&lt;=20%</t>
  </si>
  <si>
    <t>http://www.octopart.com/search?q=CL31A106KAHNNNE</t>
  </si>
  <si>
    <t>C17,C23,C33,C43,C48,
C86,C88</t>
  </si>
  <si>
    <t>CL31A106KAHNNNE</t>
  </si>
  <si>
    <t>http://www.octopart.com/search?q=GRM21BR61E226ME44L</t>
  </si>
  <si>
    <t>C14,C15,C20,C21,C28,
C29,C30,C31,C32</t>
  </si>
  <si>
    <t>GRM21BR61E226ME44L</t>
  </si>
  <si>
    <t>http://www.octopart.com/search?q=CL10B472KB8NNNC</t>
  </si>
  <si>
    <t>C13,C19,C27</t>
  </si>
  <si>
    <t>CL10B472KB8NNNC</t>
  </si>
  <si>
    <t>4.7nF 0603&gt;=X5R&gt;=25V&lt;=20%</t>
  </si>
  <si>
    <t>http://www.octopart.com/search?q=GRM31CR60J107ME39K</t>
  </si>
  <si>
    <t>C5,C16,C22</t>
  </si>
  <si>
    <t>GRM31CR60J107ME39K</t>
  </si>
  <si>
    <t>http://www.octopart.com/search?q=GRM188R60J106KE47D</t>
  </si>
  <si>
    <t>C1,C2,C3,C4,C6,C7,
C8,C9,C12,C25,C35,
C38,C39,C40,C41,C44,
C45,C62,C64,C66,C70</t>
  </si>
  <si>
    <t>GRM188R60J106KE47D</t>
  </si>
  <si>
    <t>http://www.octopart.com/search?q=C0603C104M5RACTU</t>
  </si>
  <si>
    <t>B1,B2,B3,B4,B5,B6,
B7,B8,B9,B10,B11,
B12,B13,B14,B15,B16,
B17,B18,B19,B20,B21,
B22,B23,B24,B25,B26,
B27,B28,B29,B30,B31,
B32,B33,B34,B35,B36,
B37,B38,B39,B40,B41,
B42,B43,B44,B45,B46,
B47,B48,B49,B50,B51,
B52,B53,B54,B56,B57,
B59,B60,B61,B62,B63,
B64,B66,B67,B68,B69,
B70,B71,B72,B73,B74,
B75,B76,B77,B78,B79,
B80,B81,B83,B84,B85,
B86,B87,B88,B89,B90,
B91,B92,B93,B94,B95,
B96,B97,B98,B99,B100,
B101,B102,B103,B105,
B106,B108,B109,B111,
B113,B114,B115,B116,
B117,B119,B120,B122</t>
  </si>
  <si>
    <t>C0603C104M5RACTU</t>
  </si>
  <si>
    <t>Part Reference Link</t>
  </si>
  <si>
    <t>Quantity</t>
  </si>
  <si>
    <t>Pins</t>
  </si>
  <si>
    <t>Designators</t>
  </si>
  <si>
    <t>Substitution
Okay</t>
  </si>
  <si>
    <t>Part Number</t>
  </si>
  <si>
    <t>Description</t>
  </si>
  <si>
    <t>Part ID</t>
  </si>
  <si>
    <t>1/5pcs</t>
    <phoneticPr fontId="17" type="noConversion"/>
  </si>
  <si>
    <t>Unit Price</t>
    <phoneticPr fontId="17" type="noConversion"/>
  </si>
  <si>
    <t>Total Price</t>
    <phoneticPr fontId="17" type="noConversion"/>
  </si>
  <si>
    <t>0.1uF 0603&gt;=X5R&gt;=50V&lt;=20%</t>
    <phoneticPr fontId="17" type="noConversion"/>
  </si>
  <si>
    <t>10uF 0603&gt;=X5R&gt;=6.3V&lt;=20%</t>
    <phoneticPr fontId="17" type="noConversion"/>
  </si>
  <si>
    <t>100uF 1206&gt;=X5R&gt;=6.3V&lt;=20%</t>
    <phoneticPr fontId="17" type="noConversion"/>
  </si>
  <si>
    <t>22uF 0805&gt;=X5R&gt;=16V&lt;=20%</t>
    <phoneticPr fontId="17" type="noConversion"/>
  </si>
  <si>
    <t>10uF 1206&gt;=X5R&gt;=25V&lt;=20%</t>
    <phoneticPr fontId="17" type="noConversion"/>
  </si>
  <si>
    <t>15pF 0603NP0&gt;=6.3V&lt;=5%</t>
    <phoneticPr fontId="17" type="noConversion"/>
  </si>
  <si>
    <t>16.2K 0603&lt;=1%&gt;=1/10W</t>
    <phoneticPr fontId="17" type="noConversion"/>
  </si>
  <si>
    <t>12.1K 0603&lt;=1%&gt;=1/10W</t>
    <phoneticPr fontId="17" type="noConversion"/>
  </si>
  <si>
    <t>1.8K 0603&lt;=1%&gt;=1/10W</t>
    <phoneticPr fontId="17" type="noConversion"/>
  </si>
  <si>
    <t>35.7K 0603&lt;=1%&gt;=1/10W</t>
    <phoneticPr fontId="17" type="noConversion"/>
  </si>
  <si>
    <t>11.5K 0603&lt;=1%&gt;=1/10W</t>
    <phoneticPr fontId="17" type="noConversion"/>
  </si>
  <si>
    <t>12 0805&lt;=5%&gt;=1/8W</t>
    <phoneticPr fontId="17" type="noConversion"/>
  </si>
  <si>
    <t>1.6K 0603&lt;=5%&gt;=1/10W</t>
    <phoneticPr fontId="17" type="noConversion"/>
  </si>
  <si>
    <t>0.04 1206&lt;=1%&gt;=1/4W</t>
    <phoneticPr fontId="17" type="noConversion"/>
  </si>
  <si>
    <t>5P49V5923B000NLGI</t>
    <phoneticPr fontId="17" type="noConversion"/>
  </si>
  <si>
    <t>OPA2677IDDA</t>
    <phoneticPr fontId="17" type="noConversion"/>
  </si>
  <si>
    <t>AD9866BCPZ</t>
    <phoneticPr fontId="17" type="noConversion"/>
  </si>
  <si>
    <t>MABA-010143-FLUX18</t>
    <phoneticPr fontId="17" type="noConversion"/>
  </si>
  <si>
    <t>KSZ9031RNXCC</t>
    <phoneticPr fontId="17" type="noConversion"/>
  </si>
  <si>
    <t>MAX11613EUA</t>
    <phoneticPr fontId="17" type="noConversion"/>
  </si>
  <si>
    <t>Total:</t>
    <phoneticPr fontId="17" type="noConversion"/>
  </si>
  <si>
    <r>
      <t>Email:</t>
    </r>
    <r>
      <rPr>
        <sz val="10"/>
        <rFont val="Arial"/>
        <family val="2"/>
      </rPr>
      <t xml:space="preserve"> helen@makerfabs.com</t>
    </r>
    <phoneticPr fontId="17" type="noConversion"/>
  </si>
  <si>
    <t>$40 sourcing fee added for the first round of prototyping</t>
    <phoneticPr fontId="17" type="noConversion"/>
  </si>
  <si>
    <t>10pcs</t>
    <phoneticPr fontId="17" type="noConversion"/>
  </si>
  <si>
    <t>50pcs</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</si>
</sst>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26" formatCode="\$#,##0.00_);[Red]\(\$#,##0.00\)"/>
    <numFmt numFmtId="176" formatCode="0.000_);[Red]\(0.000\)"/>
    <numFmt numFmtId="177" formatCode="[$-409]d/mmm;@"/>
    <numFmt numFmtId="178" formatCode="0_);[Red]\(0\)"/>
    <numFmt numFmtId="179" formatCode="0.0_);[Red]\(0.0\)"/>
    <numFmt numFmtId="180" formatCode="0.00_);[Red]\(0.00\)"/>
    <numFmt numFmtId="181" formatCode="\$#,##0.00;[Red]\$#,##0.00"/>
  </numFmts>
  <fonts count="20" x14ac:knownFonts="1">
    <font>
      <sz val="11"/>
      <color theme="1"/>
      <name val="宋体"/>
      <charset val="134"/>
      <scheme val="minor"/>
    </font>
    <font>
      <sz val="11"/>
      <color theme="1"/>
      <name val="Arial"/>
      <family val="2"/>
    </font>
    <font>
      <b/>
      <sz val="14"/>
      <name val="Arial"/>
      <family val="2"/>
    </font>
    <font>
      <b/>
      <i/>
      <sz val="11"/>
      <name val="Arial"/>
      <family val="2"/>
    </font>
    <font>
      <b/>
      <sz val="11"/>
      <name val="Arial"/>
      <family val="2"/>
    </font>
    <font>
      <b/>
      <sz val="10"/>
      <name val="Arial"/>
      <family val="2"/>
    </font>
    <font>
      <i/>
      <sz val="10"/>
      <color rgb="FFFF0000"/>
      <name val="Arial"/>
      <family val="2"/>
    </font>
    <font>
      <sz val="11"/>
      <color theme="1"/>
      <name val="Tahoma"/>
      <family val="2"/>
    </font>
    <font>
      <b/>
      <sz val="11"/>
      <color rgb="FFFF0000"/>
      <name val="Arial"/>
      <family val="2"/>
    </font>
    <font>
      <b/>
      <sz val="11"/>
      <color theme="1"/>
      <name val="Arial"/>
      <family val="2"/>
    </font>
    <font>
      <sz val="11"/>
      <name val="Tahoma"/>
      <family val="2"/>
    </font>
    <font>
      <b/>
      <sz val="14"/>
      <color rgb="FFFF0000"/>
      <name val="Arial"/>
      <family val="2"/>
    </font>
    <font>
      <sz val="11"/>
      <color rgb="FFFF0000"/>
      <name val="Arial"/>
      <family val="2"/>
    </font>
    <font>
      <sz val="11"/>
      <color theme="1"/>
      <name val="宋体"/>
      <family val="2"/>
      <scheme val="minor"/>
    </font>
    <font>
      <sz val="12"/>
      <color theme="1"/>
      <name val="宋体"/>
      <family val="2"/>
      <scheme val="minor"/>
    </font>
    <font>
      <sz val="10"/>
      <name val="Arial"/>
      <family val="2"/>
    </font>
    <font>
      <sz val="11"/>
      <color theme="1"/>
      <name val="宋体"/>
      <family val="3"/>
      <charset val="134"/>
    </font>
    <font>
      <sz val="9"/>
      <name val="宋体"/>
      <family val="3"/>
      <charset val="134"/>
      <scheme val="minor"/>
    </font>
    <font>
      <u/>
      <sz val="10"/>
      <color theme="10"/>
      <name val="Arial"/>
      <family val="2"/>
    </font>
    <font>
      <b/>
      <sz val="12"/>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9.9978637043366805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7">
    <xf numFmtId="177" fontId="0" fillId="0" borderId="0">
      <alignment vertical="center"/>
    </xf>
    <xf numFmtId="177" fontId="13" fillId="0" borderId="0">
      <alignment vertical="center"/>
    </xf>
    <xf numFmtId="177" fontId="14" fillId="0" borderId="0"/>
    <xf numFmtId="177" fontId="13" fillId="0" borderId="0"/>
    <xf numFmtId="177" fontId="15" fillId="0" borderId="0"/>
    <xf numFmtId="177" fontId="15" fillId="0" borderId="0"/>
    <xf numFmtId="177" fontId="18" fillId="0" borderId="0" applyNumberFormat="0" applyFill="0" applyBorder="0" applyAlignment="0" applyProtection="0"/>
  </cellStyleXfs>
  <cellXfs count="108">
    <xf numFmtId="177" fontId="0" fillId="0" borderId="0" xfId="0">
      <alignment vertical="center"/>
    </xf>
    <xf numFmtId="178" fontId="1" fillId="0" borderId="0" xfId="0" applyNumberFormat="1" applyFont="1" applyFill="1">
      <alignment vertical="center"/>
    </xf>
    <xf numFmtId="178" fontId="1" fillId="0" borderId="0" xfId="0" applyNumberFormat="1" applyFont="1" applyFill="1" applyBorder="1">
      <alignment vertical="center"/>
    </xf>
    <xf numFmtId="178" fontId="1" fillId="0" borderId="0" xfId="0" applyNumberFormat="1" applyFont="1" applyAlignment="1"/>
    <xf numFmtId="178" fontId="1" fillId="0" borderId="0" xfId="0" applyNumberFormat="1" applyFont="1" applyAlignment="1">
      <alignment horizontal="center" vertical="center"/>
    </xf>
    <xf numFmtId="178" fontId="1" fillId="0" borderId="0" xfId="0" applyNumberFormat="1" applyFont="1">
      <alignment vertical="center"/>
    </xf>
    <xf numFmtId="178" fontId="1" fillId="0" borderId="1" xfId="0" applyNumberFormat="1" applyFont="1" applyBorder="1" applyAlignment="1">
      <alignment horizontal="center" vertical="center"/>
    </xf>
    <xf numFmtId="178" fontId="6" fillId="0" borderId="0" xfId="0" applyNumberFormat="1" applyFont="1" applyBorder="1" applyAlignment="1">
      <alignment vertical="top" wrapText="1"/>
    </xf>
    <xf numFmtId="178" fontId="1" fillId="0" borderId="0" xfId="0" applyNumberFormat="1" applyFont="1" applyAlignment="1">
      <alignment horizontal="left" vertical="center"/>
    </xf>
    <xf numFmtId="178" fontId="1" fillId="0" borderId="0" xfId="0" applyNumberFormat="1" applyFont="1" applyBorder="1" applyAlignment="1">
      <alignment horizontal="center" vertical="center"/>
    </xf>
    <xf numFmtId="178" fontId="1" fillId="4" borderId="1" xfId="0" applyNumberFormat="1" applyFont="1" applyFill="1" applyBorder="1" applyAlignment="1">
      <alignment horizontal="center" vertical="center"/>
    </xf>
    <xf numFmtId="178" fontId="7" fillId="0" borderId="1" xfId="0" applyNumberFormat="1" applyFont="1" applyBorder="1" applyAlignment="1">
      <alignment horizontal="center" vertical="center"/>
    </xf>
    <xf numFmtId="179" fontId="7" fillId="0" borderId="1" xfId="0" applyNumberFormat="1" applyFont="1" applyBorder="1" applyAlignment="1">
      <alignment horizontal="center" vertical="center"/>
    </xf>
    <xf numFmtId="26"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178" fontId="8" fillId="5" borderId="5" xfId="0" applyNumberFormat="1" applyFont="1" applyFill="1" applyBorder="1" applyAlignment="1">
      <alignment horizontal="center" vertical="center"/>
    </xf>
    <xf numFmtId="26" fontId="9" fillId="0" borderId="5" xfId="0" applyNumberFormat="1" applyFont="1" applyFill="1" applyBorder="1" applyAlignment="1">
      <alignment horizontal="center" vertical="center"/>
    </xf>
    <xf numFmtId="178" fontId="1" fillId="0" borderId="0"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178" fontId="1" fillId="0" borderId="0" xfId="0" applyNumberFormat="1" applyFont="1" applyBorder="1" applyAlignment="1">
      <alignment horizontal="center"/>
    </xf>
    <xf numFmtId="178" fontId="1" fillId="4" borderId="1" xfId="0" applyNumberFormat="1" applyFont="1" applyFill="1" applyBorder="1" applyAlignment="1">
      <alignment horizontal="center"/>
    </xf>
    <xf numFmtId="178" fontId="1" fillId="0" borderId="1" xfId="0"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178" fontId="1" fillId="0" borderId="0" xfId="0" applyNumberFormat="1" applyFont="1" applyFill="1" applyAlignment="1">
      <alignment horizontal="center" vertical="center"/>
    </xf>
    <xf numFmtId="178" fontId="1" fillId="0" borderId="7" xfId="0" applyNumberFormat="1" applyFont="1" applyFill="1" applyBorder="1" applyAlignment="1">
      <alignment horizontal="center" vertical="center"/>
    </xf>
    <xf numFmtId="178" fontId="8" fillId="5" borderId="1" xfId="0" applyNumberFormat="1" applyFont="1" applyFill="1" applyBorder="1" applyAlignment="1">
      <alignment horizontal="center" vertical="center"/>
    </xf>
    <xf numFmtId="26" fontId="9" fillId="0" borderId="1" xfId="0" applyNumberFormat="1" applyFont="1" applyFill="1" applyBorder="1" applyAlignment="1">
      <alignment horizontal="center" vertical="center"/>
    </xf>
    <xf numFmtId="180" fontId="1" fillId="0" borderId="0" xfId="0" applyNumberFormat="1" applyFont="1" applyFill="1" applyBorder="1" applyAlignment="1">
      <alignment horizontal="center" vertical="center"/>
    </xf>
    <xf numFmtId="178" fontId="1" fillId="0" borderId="0" xfId="0" applyNumberFormat="1" applyFont="1" applyFill="1" applyBorder="1" applyAlignment="1">
      <alignment horizontal="center"/>
    </xf>
    <xf numFmtId="180" fontId="1" fillId="0" borderId="0" xfId="0" applyNumberFormat="1" applyFont="1" applyFill="1" applyBorder="1" applyAlignment="1">
      <alignment horizontal="left" vertical="center"/>
    </xf>
    <xf numFmtId="26" fontId="1" fillId="0" borderId="1" xfId="0" applyNumberFormat="1" applyFont="1" applyFill="1" applyBorder="1" applyAlignment="1">
      <alignment horizontal="center" vertical="center"/>
    </xf>
    <xf numFmtId="26" fontId="4" fillId="0" borderId="1" xfId="0" applyNumberFormat="1" applyFont="1" applyFill="1" applyBorder="1" applyAlignment="1">
      <alignment horizontal="center" vertical="center"/>
    </xf>
    <xf numFmtId="178" fontId="1" fillId="0" borderId="1" xfId="0" applyNumberFormat="1" applyFont="1" applyFill="1" applyBorder="1" applyAlignment="1">
      <alignment horizontal="left" vertical="center"/>
    </xf>
    <xf numFmtId="178" fontId="1" fillId="0" borderId="0" xfId="0" applyNumberFormat="1" applyFont="1" applyFill="1" applyBorder="1" applyAlignment="1">
      <alignment horizontal="left"/>
    </xf>
    <xf numFmtId="178" fontId="1" fillId="0" borderId="1" xfId="0" applyNumberFormat="1" applyFont="1" applyFill="1" applyBorder="1" applyAlignment="1">
      <alignment horizontal="left"/>
    </xf>
    <xf numFmtId="26" fontId="4" fillId="0" borderId="0" xfId="0" applyNumberFormat="1" applyFont="1" applyFill="1" applyBorder="1" applyAlignment="1">
      <alignment horizontal="center" vertical="center"/>
    </xf>
    <xf numFmtId="178" fontId="8" fillId="0" borderId="0" xfId="0" applyNumberFormat="1" applyFont="1" applyAlignment="1">
      <alignment vertical="center"/>
    </xf>
    <xf numFmtId="178" fontId="1" fillId="0" borderId="0" xfId="0" applyNumberFormat="1" applyFont="1" applyAlignment="1">
      <alignment vertical="center"/>
    </xf>
    <xf numFmtId="178" fontId="12" fillId="0" borderId="1" xfId="0" applyNumberFormat="1" applyFont="1" applyBorder="1" applyAlignment="1">
      <alignment horizontal="center" vertical="center"/>
    </xf>
    <xf numFmtId="178" fontId="9" fillId="0" borderId="5" xfId="0" applyNumberFormat="1" applyFont="1" applyBorder="1" applyAlignment="1">
      <alignment horizontal="center" vertical="center"/>
    </xf>
    <xf numFmtId="178" fontId="1" fillId="0" borderId="1" xfId="0" applyNumberFormat="1" applyFont="1" applyFill="1" applyBorder="1" applyAlignment="1">
      <alignment horizontal="center" vertical="center"/>
    </xf>
    <xf numFmtId="178" fontId="4" fillId="0" borderId="2" xfId="0" applyNumberFormat="1" applyFont="1" applyBorder="1" applyAlignment="1">
      <alignment vertical="center"/>
    </xf>
    <xf numFmtId="178" fontId="4" fillId="0" borderId="3" xfId="0" applyNumberFormat="1" applyFont="1" applyBorder="1" applyAlignment="1">
      <alignment vertical="center"/>
    </xf>
    <xf numFmtId="178" fontId="4" fillId="0" borderId="4" xfId="0" applyNumberFormat="1" applyFont="1" applyBorder="1" applyAlignment="1">
      <alignment vertical="center"/>
    </xf>
    <xf numFmtId="178" fontId="1" fillId="3" borderId="0" xfId="0" applyNumberFormat="1" applyFont="1" applyFill="1" applyBorder="1" applyAlignment="1">
      <alignment horizontal="left" vertical="center"/>
    </xf>
    <xf numFmtId="26" fontId="9" fillId="0" borderId="0"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178" fontId="12" fillId="0" borderId="1" xfId="0" applyNumberFormat="1" applyFont="1" applyBorder="1" applyAlignment="1">
      <alignment horizontal="left" vertical="center"/>
    </xf>
    <xf numFmtId="178" fontId="1" fillId="0" borderId="1" xfId="0" applyNumberFormat="1" applyFont="1" applyFill="1" applyBorder="1" applyAlignment="1">
      <alignment horizontal="center" vertical="center"/>
    </xf>
    <xf numFmtId="181" fontId="8" fillId="0" borderId="1" xfId="0" applyNumberFormat="1" applyFont="1" applyFill="1" applyBorder="1" applyAlignment="1">
      <alignment vertical="center"/>
    </xf>
    <xf numFmtId="178" fontId="1" fillId="0" borderId="5" xfId="0" applyNumberFormat="1" applyFont="1" applyFill="1" applyBorder="1" applyAlignment="1">
      <alignment horizontal="center" vertical="center"/>
    </xf>
    <xf numFmtId="178" fontId="1" fillId="0" borderId="1" xfId="0" applyNumberFormat="1" applyFont="1" applyBorder="1" applyAlignment="1">
      <alignment horizontal="left" vertical="center"/>
    </xf>
    <xf numFmtId="177" fontId="15" fillId="0" borderId="0" xfId="5"/>
    <xf numFmtId="177" fontId="18" fillId="0" borderId="0" xfId="6" applyAlignment="1">
      <alignment vertical="top"/>
    </xf>
    <xf numFmtId="49" fontId="15" fillId="0" borderId="0" xfId="5" applyNumberFormat="1" applyFont="1" applyAlignment="1">
      <alignment vertical="top" wrapText="1"/>
    </xf>
    <xf numFmtId="177" fontId="19" fillId="0" borderId="0" xfId="5" applyFont="1"/>
    <xf numFmtId="178" fontId="15" fillId="0" borderId="0" xfId="5" applyNumberFormat="1" applyAlignment="1">
      <alignment horizontal="center"/>
    </xf>
    <xf numFmtId="178" fontId="19" fillId="0" borderId="0" xfId="5" applyNumberFormat="1" applyFont="1" applyAlignment="1">
      <alignment horizontal="center"/>
    </xf>
    <xf numFmtId="178" fontId="15" fillId="0" borderId="0" xfId="5" applyNumberFormat="1" applyAlignment="1">
      <alignment horizontal="center" vertical="top"/>
    </xf>
    <xf numFmtId="177" fontId="15" fillId="0" borderId="0" xfId="5" applyNumberFormat="1"/>
    <xf numFmtId="177" fontId="19" fillId="0" borderId="0" xfId="5" applyNumberFormat="1" applyFont="1"/>
    <xf numFmtId="177" fontId="15" fillId="0" borderId="0" xfId="5" applyNumberFormat="1" applyAlignment="1">
      <alignment vertical="top"/>
    </xf>
    <xf numFmtId="177" fontId="5" fillId="0" borderId="0" xfId="5" applyNumberFormat="1" applyFont="1"/>
    <xf numFmtId="49" fontId="15" fillId="0" borderId="0" xfId="5" applyNumberFormat="1" applyFont="1" applyFill="1" applyAlignment="1">
      <alignment vertical="top" wrapText="1"/>
    </xf>
    <xf numFmtId="176" fontId="15" fillId="0" borderId="0" xfId="5" applyNumberFormat="1" applyAlignment="1">
      <alignment horizontal="center"/>
    </xf>
    <xf numFmtId="176" fontId="19" fillId="0" borderId="0" xfId="5" applyNumberFormat="1" applyFont="1" applyAlignment="1">
      <alignment horizontal="center"/>
    </xf>
    <xf numFmtId="176" fontId="15" fillId="0" borderId="0" xfId="5" applyNumberFormat="1" applyAlignment="1">
      <alignment horizontal="center" vertical="top"/>
    </xf>
    <xf numFmtId="178" fontId="5" fillId="0" borderId="0" xfId="5" applyNumberFormat="1" applyFont="1" applyAlignment="1">
      <alignment horizontal="center"/>
    </xf>
    <xf numFmtId="176" fontId="5" fillId="0" borderId="0" xfId="5" applyNumberFormat="1" applyFont="1" applyAlignment="1">
      <alignment horizontal="center"/>
    </xf>
    <xf numFmtId="49" fontId="15" fillId="0" borderId="0" xfId="5" applyNumberFormat="1" applyFill="1"/>
    <xf numFmtId="49" fontId="15" fillId="0" borderId="0" xfId="5" applyNumberFormat="1"/>
    <xf numFmtId="49" fontId="15" fillId="0" borderId="0" xfId="5" applyNumberFormat="1" applyAlignment="1">
      <alignment horizontal="center"/>
    </xf>
    <xf numFmtId="49" fontId="19" fillId="0" borderId="0" xfId="5" applyNumberFormat="1" applyFont="1" applyFill="1"/>
    <xf numFmtId="49" fontId="19" fillId="0" borderId="0" xfId="5" applyNumberFormat="1" applyFont="1" applyAlignment="1">
      <alignment wrapText="1"/>
    </xf>
    <xf numFmtId="49" fontId="19" fillId="0" borderId="0" xfId="5" applyNumberFormat="1" applyFont="1"/>
    <xf numFmtId="49" fontId="19" fillId="0" borderId="0" xfId="5" applyNumberFormat="1" applyFont="1" applyAlignment="1">
      <alignment horizontal="center"/>
    </xf>
    <xf numFmtId="49" fontId="15" fillId="0" borderId="0" xfId="5" applyNumberFormat="1" applyFill="1" applyAlignment="1">
      <alignment vertical="top"/>
    </xf>
    <xf numFmtId="49" fontId="15" fillId="0" borderId="0" xfId="5" applyNumberFormat="1" applyAlignment="1">
      <alignment vertical="top"/>
    </xf>
    <xf numFmtId="49" fontId="15" fillId="0" borderId="0" xfId="5" applyNumberFormat="1" applyAlignment="1">
      <alignment horizontal="center" vertical="top"/>
    </xf>
    <xf numFmtId="49" fontId="5" fillId="0" borderId="0" xfId="5" applyNumberFormat="1" applyFont="1" applyFill="1"/>
    <xf numFmtId="178" fontId="12" fillId="0" borderId="0" xfId="0" applyNumberFormat="1" applyFont="1" applyFill="1" applyBorder="1">
      <alignment vertical="center"/>
    </xf>
    <xf numFmtId="178" fontId="2" fillId="0" borderId="1" xfId="0" applyNumberFormat="1" applyFont="1" applyBorder="1" applyAlignment="1">
      <alignment horizontal="center" vertical="center"/>
    </xf>
    <xf numFmtId="178" fontId="3"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178" fontId="1" fillId="0" borderId="1" xfId="0" applyNumberFormat="1" applyFont="1" applyFill="1" applyBorder="1" applyAlignment="1">
      <alignment horizontal="center" vertical="center"/>
    </xf>
    <xf numFmtId="178" fontId="1" fillId="0" borderId="6" xfId="0" applyNumberFormat="1" applyFont="1" applyFill="1" applyBorder="1" applyAlignment="1">
      <alignment horizontal="center" vertical="center"/>
    </xf>
    <xf numFmtId="178" fontId="1" fillId="0" borderId="5" xfId="0" applyNumberFormat="1" applyFont="1" applyFill="1" applyBorder="1" applyAlignment="1">
      <alignment horizontal="center" vertical="center"/>
    </xf>
    <xf numFmtId="26" fontId="10" fillId="0" borderId="6" xfId="0" applyNumberFormat="1" applyFont="1" applyFill="1" applyBorder="1" applyAlignment="1">
      <alignment horizontal="center" vertical="center"/>
    </xf>
    <xf numFmtId="26" fontId="10" fillId="0" borderId="5" xfId="0" applyNumberFormat="1" applyFont="1" applyFill="1" applyBorder="1" applyAlignment="1">
      <alignment horizontal="center" vertical="center"/>
    </xf>
    <xf numFmtId="26" fontId="12" fillId="0" borderId="6" xfId="0" applyNumberFormat="1" applyFont="1" applyBorder="1" applyAlignment="1">
      <alignment horizontal="center" vertical="center"/>
    </xf>
    <xf numFmtId="26" fontId="12" fillId="0" borderId="5" xfId="0" applyNumberFormat="1" applyFont="1" applyBorder="1" applyAlignment="1">
      <alignment horizontal="center" vertical="center"/>
    </xf>
    <xf numFmtId="178" fontId="1" fillId="3" borderId="2" xfId="0" applyNumberFormat="1" applyFont="1" applyFill="1" applyBorder="1" applyAlignment="1">
      <alignment horizontal="left" vertical="center"/>
    </xf>
    <xf numFmtId="178" fontId="1" fillId="3" borderId="4" xfId="0" applyNumberFormat="1" applyFont="1" applyFill="1" applyBorder="1" applyAlignment="1">
      <alignment horizontal="left" vertical="center"/>
    </xf>
    <xf numFmtId="178" fontId="5" fillId="0" borderId="2" xfId="0" applyNumberFormat="1" applyFont="1" applyBorder="1" applyAlignment="1">
      <alignment horizontal="left" vertical="center"/>
    </xf>
    <xf numFmtId="178" fontId="5" fillId="0" borderId="3" xfId="0" applyNumberFormat="1" applyFont="1" applyBorder="1" applyAlignment="1">
      <alignment horizontal="left" vertical="center"/>
    </xf>
    <xf numFmtId="178" fontId="5" fillId="0" borderId="4" xfId="0" applyNumberFormat="1" applyFont="1" applyBorder="1" applyAlignment="1">
      <alignment horizontal="left" vertical="center"/>
    </xf>
    <xf numFmtId="180" fontId="11" fillId="2" borderId="1" xfId="0" applyNumberFormat="1" applyFont="1" applyFill="1" applyBorder="1" applyAlignment="1">
      <alignment horizontal="center" vertical="center"/>
    </xf>
    <xf numFmtId="178" fontId="1" fillId="0" borderId="9" xfId="0" applyNumberFormat="1" applyFont="1" applyBorder="1" applyAlignment="1">
      <alignment horizontal="center" vertical="top" wrapText="1"/>
    </xf>
    <xf numFmtId="178" fontId="1" fillId="0" borderId="8" xfId="0" applyNumberFormat="1" applyFont="1" applyBorder="1" applyAlignment="1">
      <alignment horizontal="center" vertical="top" wrapText="1"/>
    </xf>
    <xf numFmtId="178" fontId="1" fillId="0" borderId="11" xfId="0" applyNumberFormat="1" applyFont="1" applyBorder="1" applyAlignment="1">
      <alignment horizontal="center" vertical="top" wrapText="1"/>
    </xf>
    <xf numFmtId="178" fontId="1" fillId="0" borderId="7" xfId="0" applyNumberFormat="1" applyFont="1" applyBorder="1" applyAlignment="1">
      <alignment horizontal="center" vertical="top" wrapText="1"/>
    </xf>
    <xf numFmtId="178" fontId="1" fillId="0" borderId="0" xfId="0" applyNumberFormat="1" applyFont="1" applyBorder="1" applyAlignment="1">
      <alignment horizontal="center" vertical="top" wrapText="1"/>
    </xf>
    <xf numFmtId="178" fontId="1" fillId="0" borderId="12" xfId="0" applyNumberFormat="1" applyFont="1" applyBorder="1" applyAlignment="1">
      <alignment horizontal="center" vertical="top" wrapText="1"/>
    </xf>
    <xf numFmtId="178" fontId="1" fillId="0" borderId="10" xfId="0" applyNumberFormat="1" applyFont="1" applyBorder="1" applyAlignment="1">
      <alignment horizontal="center" vertical="top" wrapText="1"/>
    </xf>
    <xf numFmtId="178" fontId="1" fillId="0" borderId="14" xfId="0" applyNumberFormat="1" applyFont="1" applyBorder="1" applyAlignment="1">
      <alignment horizontal="center" vertical="top" wrapText="1"/>
    </xf>
    <xf numFmtId="178" fontId="1" fillId="0" borderId="13" xfId="0" applyNumberFormat="1" applyFont="1" applyBorder="1" applyAlignment="1">
      <alignment horizontal="center" vertical="top" wrapText="1"/>
    </xf>
    <xf numFmtId="177" fontId="15" fillId="0" borderId="0" xfId="5" applyFont="1" applyAlignment="1">
      <alignment wrapText="1"/>
    </xf>
    <xf numFmtId="176" fontId="5" fillId="0" borderId="0" xfId="5" applyNumberFormat="1" applyFont="1" applyAlignment="1">
      <alignment horizontal="center"/>
    </xf>
  </cellXfs>
  <cellStyles count="7">
    <cellStyle name="Normal 2" xfId="4"/>
    <cellStyle name="常规" xfId="0" builtinId="0"/>
    <cellStyle name="常规 2" xfId="1"/>
    <cellStyle name="常规 3" xfId="2"/>
    <cellStyle name="常规 4" xfId="3"/>
    <cellStyle name="常规 5" xfId="5"/>
    <cellStyle name="超链接 2" xfId="6"/>
  </cellStyles>
  <dxfs count="0"/>
  <tableStyles count="0" defaultTableStyle="TableStyleMedium9"/>
  <colors>
    <mruColors>
      <color rgb="FFFFFF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octopart.com/search?q=MPZ1608S601ATA00" TargetMode="External"/><Relationship Id="rId21" Type="http://schemas.openxmlformats.org/officeDocument/2006/relationships/hyperlink" Target="http://www.octopart.com/search?q=CDSOD323-T05LC" TargetMode="External"/><Relationship Id="rId42" Type="http://schemas.openxmlformats.org/officeDocument/2006/relationships/hyperlink" Target="http://www.octopart.com/search?q=RC0603FR-0720KL" TargetMode="External"/><Relationship Id="rId47" Type="http://schemas.openxmlformats.org/officeDocument/2006/relationships/hyperlink" Target="http://www.octopart.com/search?q=RC0603FR-0712K1L" TargetMode="External"/><Relationship Id="rId63" Type="http://schemas.openxmlformats.org/officeDocument/2006/relationships/hyperlink" Target="http://www.aliexpress.com/wholesale?SearchText=EP4CE22E22C8N" TargetMode="External"/><Relationship Id="rId68" Type="http://schemas.openxmlformats.org/officeDocument/2006/relationships/hyperlink" Target="http://www.aliexpress.com/wholesale?SearchText=OPA2677" TargetMode="External"/><Relationship Id="rId16" Type="http://schemas.openxmlformats.org/officeDocument/2006/relationships/hyperlink" Target="http://www.octopart.com/search?q=CC0805JRNPO0BN181" TargetMode="External"/><Relationship Id="rId11" Type="http://schemas.openxmlformats.org/officeDocument/2006/relationships/hyperlink" Target="http://www.octopart.com/search?q=C0805C750J1GACTU" TargetMode="External"/><Relationship Id="rId24" Type="http://schemas.openxmlformats.org/officeDocument/2006/relationships/hyperlink" Target="http://www.aliexpress.com/wholesale?SearchText=SMBJ18CA" TargetMode="External"/><Relationship Id="rId32" Type="http://schemas.openxmlformats.org/officeDocument/2006/relationships/hyperlink" Target="http://www.octopart.com/search?q=LQW2BASR33J00L" TargetMode="External"/><Relationship Id="rId37" Type="http://schemas.openxmlformats.org/officeDocument/2006/relationships/hyperlink" Target="http://www.octopart.com/search?q=RC0603FR-0733RL" TargetMode="External"/><Relationship Id="rId40" Type="http://schemas.openxmlformats.org/officeDocument/2006/relationships/hyperlink" Target="http://www.octopart.com/search?q=RC0603FR-0735K7L" TargetMode="External"/><Relationship Id="rId45" Type="http://schemas.openxmlformats.org/officeDocument/2006/relationships/hyperlink" Target="http://www.octopart.com/search?q=RC0603FR-07270RL" TargetMode="External"/><Relationship Id="rId53" Type="http://schemas.openxmlformats.org/officeDocument/2006/relationships/hyperlink" Target="http://www.octopart.com/search?q=RC0603FR-0775RL" TargetMode="External"/><Relationship Id="rId58" Type="http://schemas.openxmlformats.org/officeDocument/2006/relationships/hyperlink" Target="http://www.octopart.com/search?q=RC0603FR-07220KL" TargetMode="External"/><Relationship Id="rId66" Type="http://schemas.openxmlformats.org/officeDocument/2006/relationships/hyperlink" Target="http://www.octopart.com/search?q=5P49V5923B000NLGI" TargetMode="External"/><Relationship Id="rId74" Type="http://schemas.openxmlformats.org/officeDocument/2006/relationships/hyperlink" Target="http://www.aliexpress.com/wholesale?SearchText=TPS73025DBVR" TargetMode="External"/><Relationship Id="rId79" Type="http://schemas.openxmlformats.org/officeDocument/2006/relationships/printerSettings" Target="../printerSettings/printerSettings2.bin"/><Relationship Id="rId5" Type="http://schemas.openxmlformats.org/officeDocument/2006/relationships/hyperlink" Target="http://www.octopart.com/search?q=GRM21BR61E226ME44L" TargetMode="External"/><Relationship Id="rId61" Type="http://schemas.openxmlformats.org/officeDocument/2006/relationships/hyperlink" Target="http://www.octopart.com/search?q=MABA-010143-FLUX18" TargetMode="External"/><Relationship Id="rId19" Type="http://schemas.openxmlformats.org/officeDocument/2006/relationships/hyperlink" Target="http://www.octopart.com/search?q=67997-410HLF" TargetMode="External"/><Relationship Id="rId14" Type="http://schemas.openxmlformats.org/officeDocument/2006/relationships/hyperlink" Target="http://www.octopart.com/search?q=CC0805JRNPO0BN101" TargetMode="External"/><Relationship Id="rId22" Type="http://schemas.openxmlformats.org/officeDocument/2006/relationships/hyperlink" Target="http://www.octopart.com/search?q=LTST-S220KFKT" TargetMode="External"/><Relationship Id="rId27" Type="http://schemas.openxmlformats.org/officeDocument/2006/relationships/hyperlink" Target="http://www.octopart.com/search?q=RC0603JR-070RL" TargetMode="External"/><Relationship Id="rId30" Type="http://schemas.openxmlformats.org/officeDocument/2006/relationships/hyperlink" Target="http://www.octopart.com/search?q=LQW2BASR24J00L" TargetMode="External"/><Relationship Id="rId35" Type="http://schemas.openxmlformats.org/officeDocument/2006/relationships/hyperlink" Target="http://www.octopart.com/search?q=AFT05MS003NT1" TargetMode="External"/><Relationship Id="rId43" Type="http://schemas.openxmlformats.org/officeDocument/2006/relationships/hyperlink" Target="http://www.octopart.com/search?q=RC0603FR-0716K2L" TargetMode="External"/><Relationship Id="rId48" Type="http://schemas.openxmlformats.org/officeDocument/2006/relationships/hyperlink" Target="http://www.octopart.com/search?q=RC0603FR-074K7L" TargetMode="External"/><Relationship Id="rId56" Type="http://schemas.openxmlformats.org/officeDocument/2006/relationships/hyperlink" Target="http://www.octopart.com/search?q=RC0603FR-0727KL" TargetMode="External"/><Relationship Id="rId64" Type="http://schemas.openxmlformats.org/officeDocument/2006/relationships/hyperlink" Target="http://www.aliexpress.com/wholesale?SearchText=st1s10" TargetMode="External"/><Relationship Id="rId69" Type="http://schemas.openxmlformats.org/officeDocument/2006/relationships/hyperlink" Target="http://www.aliexpress.com/wholesale?SearchText=pe4259" TargetMode="External"/><Relationship Id="rId77" Type="http://schemas.openxmlformats.org/officeDocument/2006/relationships/hyperlink" Target="http://www.aliexpress.com/wholesale?SearchText=25mhz%203.2x2.5%20passive" TargetMode="External"/><Relationship Id="rId8" Type="http://schemas.openxmlformats.org/officeDocument/2006/relationships/hyperlink" Target="http://www.octopart.com/search?q=GRM188R61E105KA12D" TargetMode="External"/><Relationship Id="rId51" Type="http://schemas.openxmlformats.org/officeDocument/2006/relationships/hyperlink" Target="http://www.octopart.com/search?q=RC0603FR-0722RL" TargetMode="External"/><Relationship Id="rId72" Type="http://schemas.openxmlformats.org/officeDocument/2006/relationships/hyperlink" Target="http://www.octopart.com/search?q=INA199A1DC" TargetMode="External"/><Relationship Id="rId3" Type="http://schemas.openxmlformats.org/officeDocument/2006/relationships/hyperlink" Target="http://www.octopart.com/search?q=GRM31CR60J107ME39K" TargetMode="External"/><Relationship Id="rId12" Type="http://schemas.openxmlformats.org/officeDocument/2006/relationships/hyperlink" Target="http://www.octopart.com/search?q=CC0805JRNPO0BN151" TargetMode="External"/><Relationship Id="rId17" Type="http://schemas.openxmlformats.org/officeDocument/2006/relationships/hyperlink" Target="http://www.octopart.com/search?q=CC0805JRNPO0BN271" TargetMode="External"/><Relationship Id="rId25" Type="http://schemas.openxmlformats.org/officeDocument/2006/relationships/hyperlink" Target="http://www.aliexpress.com/wholesale?SearchText=MF-LSMF300/24X-2" TargetMode="External"/><Relationship Id="rId33" Type="http://schemas.openxmlformats.org/officeDocument/2006/relationships/hyperlink" Target="http://www.octopart.com/search?q=DMP3099L-7" TargetMode="External"/><Relationship Id="rId38" Type="http://schemas.openxmlformats.org/officeDocument/2006/relationships/hyperlink" Target="http://www.octopart.com/search?q=RC0603FR-0710KL" TargetMode="External"/><Relationship Id="rId46" Type="http://schemas.openxmlformats.org/officeDocument/2006/relationships/hyperlink" Target="http://www.octopart.com/search?q=RC0603FR-071KL" TargetMode="External"/><Relationship Id="rId59" Type="http://schemas.openxmlformats.org/officeDocument/2006/relationships/hyperlink" Target="http://www.octopart.com/search?q=RL1206FR-070R04L" TargetMode="External"/><Relationship Id="rId67" Type="http://schemas.openxmlformats.org/officeDocument/2006/relationships/hyperlink" Target="http://www.aliexpress.com/wholesale?SearchText=AD9866BCPZ" TargetMode="External"/><Relationship Id="rId20" Type="http://schemas.openxmlformats.org/officeDocument/2006/relationships/hyperlink" Target="http://www.octopart.com/search?q=L829-1J1T-43" TargetMode="External"/><Relationship Id="rId41" Type="http://schemas.openxmlformats.org/officeDocument/2006/relationships/hyperlink" Target="http://www.octopart.com/search?q=RC0603FR-0711K5L" TargetMode="External"/><Relationship Id="rId54" Type="http://schemas.openxmlformats.org/officeDocument/2006/relationships/hyperlink" Target="http://www.octopart.com/search?q=RC0603FR-07330RL" TargetMode="External"/><Relationship Id="rId62" Type="http://schemas.openxmlformats.org/officeDocument/2006/relationships/hyperlink" Target="http://www.aliexpress.com/wholesale?SearchText=S25FL116K0XMFI041" TargetMode="External"/><Relationship Id="rId70" Type="http://schemas.openxmlformats.org/officeDocument/2006/relationships/hyperlink" Target="http://www.octopart.com/search?q=AP2204MP-ADJTRG1" TargetMode="External"/><Relationship Id="rId75" Type="http://schemas.openxmlformats.org/officeDocument/2006/relationships/hyperlink" Target="http://www.aliexpress.com/wholesale?SearchText=LMV324IDR" TargetMode="External"/><Relationship Id="rId1" Type="http://schemas.openxmlformats.org/officeDocument/2006/relationships/hyperlink" Target="http://www.octopart.com/search?q=C0603C104M5RACTU" TargetMode="External"/><Relationship Id="rId6" Type="http://schemas.openxmlformats.org/officeDocument/2006/relationships/hyperlink" Target="http://www.octopart.com/search?q=CL31A106KAHNNNE" TargetMode="External"/><Relationship Id="rId15" Type="http://schemas.openxmlformats.org/officeDocument/2006/relationships/hyperlink" Target="http://www.octopart.com/search?q=CC0805JRNPO9BN100" TargetMode="External"/><Relationship Id="rId23" Type="http://schemas.openxmlformats.org/officeDocument/2006/relationships/hyperlink" Target="http://www.octopart.com/search?q=1N5711WS-7-F" TargetMode="External"/><Relationship Id="rId28" Type="http://schemas.openxmlformats.org/officeDocument/2006/relationships/hyperlink" Target="http://www.octopart.com/search?q=SRN5020-3R3M" TargetMode="External"/><Relationship Id="rId36" Type="http://schemas.openxmlformats.org/officeDocument/2006/relationships/hyperlink" Target="http://www.aliexpress.com/wholesale?SearchText=MCP9700T-E/TT" TargetMode="External"/><Relationship Id="rId49" Type="http://schemas.openxmlformats.org/officeDocument/2006/relationships/hyperlink" Target="http://www.octopart.com/search?q=RC0603FR-071K8L" TargetMode="External"/><Relationship Id="rId57" Type="http://schemas.openxmlformats.org/officeDocument/2006/relationships/hyperlink" Target="http://www.octopart.com/search?q=RC0603FR-07100RL" TargetMode="External"/><Relationship Id="rId10" Type="http://schemas.openxmlformats.org/officeDocument/2006/relationships/hyperlink" Target="http://www.octopart.com/search?q=CL21B105KAFNNNE" TargetMode="External"/><Relationship Id="rId31" Type="http://schemas.openxmlformats.org/officeDocument/2006/relationships/hyperlink" Target="http://www.octopart.com/search?q=LQW2BASR27J00L" TargetMode="External"/><Relationship Id="rId44" Type="http://schemas.openxmlformats.org/officeDocument/2006/relationships/hyperlink" Target="http://www.octopart.com/search?q=RC0603FR-072K2L" TargetMode="External"/><Relationship Id="rId52" Type="http://schemas.openxmlformats.org/officeDocument/2006/relationships/hyperlink" Target="http://www.octopart.com/search?q=RC0805FR-0712RL" TargetMode="External"/><Relationship Id="rId60" Type="http://schemas.openxmlformats.org/officeDocument/2006/relationships/hyperlink" Target="http://www.aliexpress.com/wholesale?SearchText=MABAES0060" TargetMode="External"/><Relationship Id="rId65" Type="http://schemas.openxmlformats.org/officeDocument/2006/relationships/hyperlink" Target="http://www.aliexpress.com/wholesale?SearchText=KSZ9031" TargetMode="External"/><Relationship Id="rId73" Type="http://schemas.openxmlformats.org/officeDocument/2006/relationships/hyperlink" Target="http://www.octopart.com/search?q=MCP4662-502E/UN" TargetMode="External"/><Relationship Id="rId78" Type="http://schemas.openxmlformats.org/officeDocument/2006/relationships/hyperlink" Target="http://www.octopart.com/search?q=ASTXR-12-38.400MHZ-514054-T" TargetMode="External"/><Relationship Id="rId4" Type="http://schemas.openxmlformats.org/officeDocument/2006/relationships/hyperlink" Target="http://www.octopart.com/search?q=CL10B472KB8NNNC" TargetMode="External"/><Relationship Id="rId9" Type="http://schemas.openxmlformats.org/officeDocument/2006/relationships/hyperlink" Target="http://www.octopart.com/search?q=CC0603JRNPO9BN150" TargetMode="External"/><Relationship Id="rId13" Type="http://schemas.openxmlformats.org/officeDocument/2006/relationships/hyperlink" Target="http://www.octopart.com/search?q=GRM2165C2A161JA01D" TargetMode="External"/><Relationship Id="rId18" Type="http://schemas.openxmlformats.org/officeDocument/2006/relationships/hyperlink" Target="http://www.octopart.com/search?q=CL21C8R2DBANNNC" TargetMode="External"/><Relationship Id="rId39" Type="http://schemas.openxmlformats.org/officeDocument/2006/relationships/hyperlink" Target="http://www.octopart.com/search?q=RC0603FR-072R2L" TargetMode="External"/><Relationship Id="rId34" Type="http://schemas.openxmlformats.org/officeDocument/2006/relationships/hyperlink" Target="http://www.aliexpress.com/wholesale?SearchText=NUD3124LT1G" TargetMode="External"/><Relationship Id="rId50" Type="http://schemas.openxmlformats.org/officeDocument/2006/relationships/hyperlink" Target="http://www.octopart.com/search?q=RC0603FR-079K1L" TargetMode="External"/><Relationship Id="rId55" Type="http://schemas.openxmlformats.org/officeDocument/2006/relationships/hyperlink" Target="http://www.octopart.com/search?q=RC0603FR-071K6L" TargetMode="External"/><Relationship Id="rId76" Type="http://schemas.openxmlformats.org/officeDocument/2006/relationships/hyperlink" Target="http://www.octopart.com/search?q=LP2985-10DBVR" TargetMode="External"/><Relationship Id="rId7" Type="http://schemas.openxmlformats.org/officeDocument/2006/relationships/hyperlink" Target="http://www.octopart.com/search?q=GRM21BR61E475KA12L" TargetMode="External"/><Relationship Id="rId71" Type="http://schemas.openxmlformats.org/officeDocument/2006/relationships/hyperlink" Target="http://www.octopart.com/search?q=MAX11613EUA" TargetMode="External"/><Relationship Id="rId2" Type="http://schemas.openxmlformats.org/officeDocument/2006/relationships/hyperlink" Target="http://www.octopart.com/search?q=GRM188R60J106KE47D" TargetMode="External"/><Relationship Id="rId29" Type="http://schemas.openxmlformats.org/officeDocument/2006/relationships/hyperlink" Target="http://www.octopart.com/search?q=SRN5020-2R2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53"/>
  <sheetViews>
    <sheetView tabSelected="1" workbookViewId="0">
      <selection activeCell="B46" sqref="B46"/>
    </sheetView>
  </sheetViews>
  <sheetFormatPr defaultColWidth="9" defaultRowHeight="14.25" x14ac:dyDescent="0.15"/>
  <cols>
    <col min="1" max="1" width="19.25" style="4" customWidth="1"/>
    <col min="2" max="2" width="13.625" style="4" customWidth="1"/>
    <col min="3" max="3" width="16.875" style="4" customWidth="1"/>
    <col min="4" max="4" width="14.875" style="4" customWidth="1"/>
    <col min="5" max="5" width="17.25" style="4" customWidth="1"/>
    <col min="6" max="6" width="14.875" style="4" customWidth="1"/>
    <col min="7" max="7" width="27.625" style="4" customWidth="1"/>
    <col min="8" max="8" width="22.75" style="4" customWidth="1"/>
    <col min="9" max="9" width="13.125" style="4" customWidth="1"/>
    <col min="10" max="10" width="12.875" style="4" customWidth="1"/>
    <col min="11" max="11" width="15.75" style="4" customWidth="1"/>
    <col min="12" max="12" width="9" style="4"/>
    <col min="13" max="16384" width="9" style="5"/>
  </cols>
  <sheetData>
    <row r="1" spans="1:12" ht="33" customHeight="1" x14ac:dyDescent="0.15">
      <c r="A1" s="81" t="s">
        <v>33</v>
      </c>
      <c r="B1" s="81"/>
      <c r="C1" s="81"/>
      <c r="D1" s="81"/>
      <c r="E1" s="81"/>
      <c r="F1" s="81"/>
      <c r="G1" s="81"/>
      <c r="H1" s="81"/>
      <c r="I1" s="81"/>
      <c r="J1" s="81"/>
    </row>
    <row r="2" spans="1:12" ht="21" customHeight="1" x14ac:dyDescent="0.15">
      <c r="A2" s="82" t="s">
        <v>0</v>
      </c>
      <c r="B2" s="82"/>
      <c r="C2" s="82"/>
      <c r="D2" s="82"/>
      <c r="E2" s="82"/>
      <c r="F2" s="82"/>
      <c r="G2" s="41" t="s">
        <v>38</v>
      </c>
      <c r="H2" s="42"/>
      <c r="I2" s="42"/>
      <c r="J2" s="43"/>
    </row>
    <row r="3" spans="1:12" ht="21" customHeight="1" x14ac:dyDescent="0.15">
      <c r="A3" s="93" t="s">
        <v>34</v>
      </c>
      <c r="B3" s="94"/>
      <c r="C3" s="95"/>
      <c r="D3" s="83" t="s">
        <v>1</v>
      </c>
      <c r="E3" s="83"/>
      <c r="F3" s="83"/>
      <c r="G3" s="97"/>
      <c r="H3" s="98"/>
      <c r="I3" s="98"/>
      <c r="J3" s="99"/>
    </row>
    <row r="4" spans="1:12" ht="21" customHeight="1" x14ac:dyDescent="0.15">
      <c r="A4" s="93" t="s">
        <v>45</v>
      </c>
      <c r="B4" s="94"/>
      <c r="C4" s="95"/>
      <c r="D4" s="83" t="s">
        <v>2</v>
      </c>
      <c r="E4" s="83"/>
      <c r="F4" s="83"/>
      <c r="G4" s="100"/>
      <c r="H4" s="101"/>
      <c r="I4" s="101"/>
      <c r="J4" s="102"/>
    </row>
    <row r="5" spans="1:12" ht="21" customHeight="1" x14ac:dyDescent="0.15">
      <c r="A5" s="93" t="s">
        <v>35</v>
      </c>
      <c r="B5" s="94"/>
      <c r="C5" s="95"/>
      <c r="D5" s="83" t="s">
        <v>3</v>
      </c>
      <c r="E5" s="83"/>
      <c r="F5" s="83"/>
      <c r="G5" s="100"/>
      <c r="H5" s="101"/>
      <c r="I5" s="101"/>
      <c r="J5" s="102"/>
    </row>
    <row r="6" spans="1:12" ht="21" customHeight="1" x14ac:dyDescent="0.15">
      <c r="A6" s="93" t="s">
        <v>411</v>
      </c>
      <c r="B6" s="94"/>
      <c r="C6" s="95"/>
      <c r="D6" s="83" t="s">
        <v>4</v>
      </c>
      <c r="E6" s="83"/>
      <c r="F6" s="83"/>
      <c r="G6" s="100"/>
      <c r="H6" s="101"/>
      <c r="I6" s="101"/>
      <c r="J6" s="102"/>
    </row>
    <row r="7" spans="1:12" ht="21" customHeight="1" x14ac:dyDescent="0.15">
      <c r="A7" s="93" t="s">
        <v>5</v>
      </c>
      <c r="B7" s="94"/>
      <c r="C7" s="95"/>
      <c r="D7" s="83" t="s">
        <v>36</v>
      </c>
      <c r="E7" s="83"/>
      <c r="F7" s="83"/>
      <c r="G7" s="103"/>
      <c r="H7" s="104"/>
      <c r="I7" s="104"/>
      <c r="J7" s="105"/>
    </row>
    <row r="8" spans="1:12" x14ac:dyDescent="0.15">
      <c r="A8" s="7"/>
      <c r="B8" s="7"/>
      <c r="C8" s="7"/>
      <c r="D8" s="7"/>
      <c r="E8" s="7"/>
      <c r="F8" s="7"/>
      <c r="G8" s="7"/>
      <c r="H8" s="7"/>
      <c r="I8" s="7"/>
      <c r="J8" s="7"/>
      <c r="L8" s="5"/>
    </row>
    <row r="9" spans="1:12" x14ac:dyDescent="0.15">
      <c r="A9" s="8"/>
      <c r="L9" s="5"/>
    </row>
    <row r="10" spans="1:12" x14ac:dyDescent="0.15">
      <c r="A10" s="91" t="s">
        <v>6</v>
      </c>
      <c r="B10" s="92"/>
      <c r="C10" s="9"/>
      <c r="D10" s="9"/>
      <c r="E10" s="9"/>
      <c r="F10" s="9"/>
      <c r="G10" s="9"/>
      <c r="H10" s="9"/>
      <c r="I10" s="9"/>
      <c r="J10" s="9"/>
      <c r="K10" s="9"/>
      <c r="L10" s="5"/>
    </row>
    <row r="11" spans="1:12" s="1" customFormat="1" x14ac:dyDescent="0.2">
      <c r="A11" s="10" t="s">
        <v>7</v>
      </c>
      <c r="B11" s="10" t="s">
        <v>8</v>
      </c>
      <c r="C11" s="10" t="s">
        <v>9</v>
      </c>
      <c r="D11" s="10" t="s">
        <v>10</v>
      </c>
      <c r="E11" s="10" t="s">
        <v>11</v>
      </c>
      <c r="F11" s="10" t="s">
        <v>12</v>
      </c>
      <c r="G11" s="10" t="s">
        <v>13</v>
      </c>
      <c r="H11" s="10" t="s">
        <v>14</v>
      </c>
      <c r="I11" s="10" t="s">
        <v>15</v>
      </c>
      <c r="J11" s="20" t="s">
        <v>16</v>
      </c>
    </row>
    <row r="12" spans="1:12" x14ac:dyDescent="0.15">
      <c r="A12" s="11" t="s">
        <v>46</v>
      </c>
      <c r="B12" s="11">
        <v>4</v>
      </c>
      <c r="C12" s="11" t="s">
        <v>47</v>
      </c>
      <c r="D12" s="12">
        <v>1.6</v>
      </c>
      <c r="E12" s="11" t="s">
        <v>48</v>
      </c>
      <c r="F12" s="11" t="s">
        <v>44</v>
      </c>
      <c r="G12" s="6">
        <v>1</v>
      </c>
      <c r="H12" s="13">
        <v>49.57</v>
      </c>
      <c r="I12" s="14">
        <v>0.5</v>
      </c>
      <c r="J12" s="47"/>
      <c r="L12" s="5"/>
    </row>
    <row r="13" spans="1:12" x14ac:dyDescent="0.15">
      <c r="A13" s="11" t="str">
        <f>A12</f>
        <v>hermeslite2beta3</v>
      </c>
      <c r="B13" s="11">
        <v>4</v>
      </c>
      <c r="C13" s="11" t="s">
        <v>47</v>
      </c>
      <c r="D13" s="12">
        <v>1.6</v>
      </c>
      <c r="E13" s="11" t="s">
        <v>43</v>
      </c>
      <c r="F13" s="11" t="s">
        <v>44</v>
      </c>
      <c r="G13" s="6">
        <v>5</v>
      </c>
      <c r="H13" s="13">
        <v>49.57</v>
      </c>
      <c r="I13" s="14">
        <v>0.5</v>
      </c>
      <c r="J13" s="47"/>
      <c r="L13" s="5"/>
    </row>
    <row r="14" spans="1:12" x14ac:dyDescent="0.15">
      <c r="A14" s="11" t="str">
        <f>A13</f>
        <v>hermeslite2beta3</v>
      </c>
      <c r="B14" s="11">
        <v>4</v>
      </c>
      <c r="C14" s="11" t="s">
        <v>47</v>
      </c>
      <c r="D14" s="12">
        <v>1.6</v>
      </c>
      <c r="E14" s="11" t="s">
        <v>43</v>
      </c>
      <c r="F14" s="11" t="s">
        <v>44</v>
      </c>
      <c r="G14" s="6">
        <v>10</v>
      </c>
      <c r="H14" s="13">
        <v>49.9</v>
      </c>
      <c r="I14" s="14">
        <v>1</v>
      </c>
      <c r="J14" s="47"/>
      <c r="L14" s="5"/>
    </row>
    <row r="15" spans="1:12" x14ac:dyDescent="0.15">
      <c r="A15" s="11" t="str">
        <f>A13</f>
        <v>hermeslite2beta3</v>
      </c>
      <c r="B15" s="11">
        <v>4</v>
      </c>
      <c r="C15" s="11" t="s">
        <v>47</v>
      </c>
      <c r="D15" s="12">
        <v>1.6</v>
      </c>
      <c r="E15" s="11" t="s">
        <v>43</v>
      </c>
      <c r="F15" s="11" t="s">
        <v>44</v>
      </c>
      <c r="G15" s="6">
        <v>50</v>
      </c>
      <c r="H15" s="13">
        <v>94.69</v>
      </c>
      <c r="I15" s="14">
        <v>5</v>
      </c>
      <c r="J15" s="47"/>
      <c r="L15" s="5"/>
    </row>
    <row r="16" spans="1:12" x14ac:dyDescent="0.15">
      <c r="A16" s="6" t="s">
        <v>17</v>
      </c>
      <c r="B16" s="6"/>
      <c r="C16" s="6"/>
      <c r="D16" s="14"/>
      <c r="E16" s="6"/>
      <c r="F16" s="6"/>
      <c r="G16" s="6">
        <v>1</v>
      </c>
      <c r="H16" s="13">
        <v>18</v>
      </c>
      <c r="I16" s="6"/>
      <c r="J16" s="38"/>
      <c r="L16" s="5"/>
    </row>
    <row r="17" spans="1:12" ht="15" x14ac:dyDescent="0.15">
      <c r="G17" s="15" t="s">
        <v>18</v>
      </c>
      <c r="H17" s="16"/>
      <c r="I17" s="39"/>
      <c r="J17" s="38"/>
      <c r="L17" s="5"/>
    </row>
    <row r="18" spans="1:12" s="2" customFormat="1" ht="15" x14ac:dyDescent="0.15">
      <c r="A18" s="17"/>
      <c r="B18" s="17"/>
      <c r="C18" s="17"/>
      <c r="D18" s="17"/>
      <c r="E18" s="17"/>
      <c r="F18" s="17"/>
      <c r="G18" s="17"/>
      <c r="H18" s="18"/>
      <c r="I18" s="17"/>
      <c r="J18" s="17"/>
      <c r="K18" s="17"/>
    </row>
    <row r="19" spans="1:12" s="3" customFormat="1" x14ac:dyDescent="0.2">
      <c r="A19" s="91" t="s">
        <v>19</v>
      </c>
      <c r="B19" s="92"/>
      <c r="C19" s="19"/>
      <c r="D19" s="19"/>
      <c r="E19" s="19"/>
      <c r="F19" s="19"/>
      <c r="G19" s="19"/>
      <c r="H19" s="19"/>
    </row>
    <row r="20" spans="1:12" s="3" customFormat="1" x14ac:dyDescent="0.2">
      <c r="A20" s="10" t="s">
        <v>7</v>
      </c>
      <c r="B20" s="20" t="s">
        <v>20</v>
      </c>
      <c r="C20" s="20" t="s">
        <v>13</v>
      </c>
      <c r="D20" s="20" t="s">
        <v>21</v>
      </c>
      <c r="E20" s="10" t="s">
        <v>22</v>
      </c>
      <c r="F20" s="20" t="s">
        <v>23</v>
      </c>
      <c r="G20" s="20" t="s">
        <v>16</v>
      </c>
      <c r="J20" s="2"/>
      <c r="K20" s="2"/>
    </row>
    <row r="21" spans="1:12" s="1" customFormat="1" x14ac:dyDescent="0.15">
      <c r="A21" s="84" t="str">
        <f>A13</f>
        <v>hermeslite2beta3</v>
      </c>
      <c r="B21" s="46" t="s">
        <v>24</v>
      </c>
      <c r="C21" s="46">
        <f>hermeslite2beta3!B84</f>
        <v>1110</v>
      </c>
      <c r="D21" s="22">
        <v>0.03</v>
      </c>
      <c r="E21" s="85">
        <v>1</v>
      </c>
      <c r="F21" s="87">
        <v>100</v>
      </c>
      <c r="G21" s="89"/>
      <c r="I21" s="2"/>
      <c r="J21" s="2"/>
      <c r="K21" s="2"/>
    </row>
    <row r="22" spans="1:12" s="1" customFormat="1" x14ac:dyDescent="0.15">
      <c r="A22" s="84"/>
      <c r="B22" s="46" t="s">
        <v>25</v>
      </c>
      <c r="C22" s="46">
        <f>hermeslite2beta3!D84</f>
        <v>28</v>
      </c>
      <c r="D22" s="22">
        <v>0.04</v>
      </c>
      <c r="E22" s="86"/>
      <c r="F22" s="88"/>
      <c r="G22" s="90"/>
      <c r="I22" s="2"/>
      <c r="J22" s="2"/>
      <c r="K22" s="2"/>
    </row>
    <row r="23" spans="1:12" s="1" customFormat="1" x14ac:dyDescent="0.15">
      <c r="A23" s="84" t="str">
        <f>A13</f>
        <v>hermeslite2beta3</v>
      </c>
      <c r="B23" s="46" t="s">
        <v>24</v>
      </c>
      <c r="C23" s="46">
        <f>C21</f>
        <v>1110</v>
      </c>
      <c r="D23" s="22">
        <v>0.03</v>
      </c>
      <c r="E23" s="85">
        <v>5</v>
      </c>
      <c r="F23" s="87">
        <v>250</v>
      </c>
      <c r="G23" s="89"/>
      <c r="I23" s="2"/>
      <c r="J23" s="2"/>
      <c r="K23" s="2"/>
    </row>
    <row r="24" spans="1:12" s="1" customFormat="1" x14ac:dyDescent="0.15">
      <c r="A24" s="84"/>
      <c r="B24" s="46" t="s">
        <v>25</v>
      </c>
      <c r="C24" s="46">
        <f t="shared" ref="C24:C28" si="0">C22</f>
        <v>28</v>
      </c>
      <c r="D24" s="22">
        <v>0.04</v>
      </c>
      <c r="E24" s="86"/>
      <c r="F24" s="88"/>
      <c r="G24" s="90"/>
      <c r="H24" s="17"/>
      <c r="I24" s="2"/>
      <c r="J24" s="2"/>
      <c r="K24" s="2"/>
    </row>
    <row r="25" spans="1:12" s="1" customFormat="1" x14ac:dyDescent="0.15">
      <c r="A25" s="84" t="str">
        <f>A13</f>
        <v>hermeslite2beta3</v>
      </c>
      <c r="B25" s="48" t="s">
        <v>24</v>
      </c>
      <c r="C25" s="48">
        <f t="shared" si="0"/>
        <v>1110</v>
      </c>
      <c r="D25" s="22">
        <v>0.03</v>
      </c>
      <c r="E25" s="85">
        <v>10</v>
      </c>
      <c r="F25" s="87">
        <v>350</v>
      </c>
      <c r="G25" s="89"/>
      <c r="I25" s="2"/>
      <c r="J25" s="2"/>
      <c r="K25" s="2"/>
    </row>
    <row r="26" spans="1:12" s="1" customFormat="1" x14ac:dyDescent="0.15">
      <c r="A26" s="84"/>
      <c r="B26" s="48" t="s">
        <v>25</v>
      </c>
      <c r="C26" s="48">
        <f t="shared" si="0"/>
        <v>28</v>
      </c>
      <c r="D26" s="22">
        <v>0.04</v>
      </c>
      <c r="E26" s="86"/>
      <c r="F26" s="88"/>
      <c r="G26" s="90"/>
      <c r="I26" s="17"/>
      <c r="J26" s="2"/>
      <c r="K26" s="2"/>
    </row>
    <row r="27" spans="1:12" s="1" customFormat="1" x14ac:dyDescent="0.15">
      <c r="A27" s="84" t="str">
        <f>A13</f>
        <v>hermeslite2beta3</v>
      </c>
      <c r="B27" s="48" t="s">
        <v>24</v>
      </c>
      <c r="C27" s="48">
        <f t="shared" si="0"/>
        <v>1110</v>
      </c>
      <c r="D27" s="22">
        <v>0.03</v>
      </c>
      <c r="E27" s="85">
        <v>50</v>
      </c>
      <c r="F27" s="87">
        <v>780</v>
      </c>
      <c r="G27" s="89"/>
      <c r="I27" s="17"/>
      <c r="J27" s="2"/>
      <c r="K27" s="2"/>
    </row>
    <row r="28" spans="1:12" s="1" customFormat="1" x14ac:dyDescent="0.15">
      <c r="A28" s="84"/>
      <c r="B28" s="48" t="s">
        <v>25</v>
      </c>
      <c r="C28" s="48">
        <f t="shared" si="0"/>
        <v>28</v>
      </c>
      <c r="D28" s="22">
        <v>0.04</v>
      </c>
      <c r="E28" s="86"/>
      <c r="F28" s="88"/>
      <c r="G28" s="90"/>
      <c r="I28" s="17"/>
      <c r="J28" s="2"/>
      <c r="K28" s="2"/>
    </row>
    <row r="29" spans="1:12" s="1" customFormat="1" ht="15" x14ac:dyDescent="0.15">
      <c r="A29" s="24"/>
      <c r="B29" s="17"/>
      <c r="C29" s="17"/>
      <c r="D29" s="17"/>
      <c r="E29" s="15" t="s">
        <v>18</v>
      </c>
      <c r="F29" s="16"/>
      <c r="G29" s="50"/>
      <c r="I29" s="23"/>
      <c r="J29" s="23"/>
      <c r="K29" s="23"/>
    </row>
    <row r="30" spans="1:12" s="2" customFormat="1" ht="15" x14ac:dyDescent="0.15">
      <c r="A30" s="17"/>
      <c r="B30" s="17"/>
      <c r="C30" s="17"/>
      <c r="D30" s="17"/>
      <c r="E30" s="18"/>
      <c r="F30" s="27"/>
      <c r="G30" s="17"/>
      <c r="I30" s="17"/>
    </row>
    <row r="31" spans="1:12" s="1" customFormat="1" x14ac:dyDescent="0.15">
      <c r="A31" s="91" t="s">
        <v>26</v>
      </c>
      <c r="B31" s="92"/>
      <c r="C31" s="17"/>
      <c r="D31" s="17"/>
      <c r="E31" s="17"/>
      <c r="F31" s="17"/>
      <c r="I31" s="23"/>
      <c r="J31" s="23"/>
      <c r="K31" s="23"/>
      <c r="L31" s="23"/>
    </row>
    <row r="32" spans="1:12" ht="15" x14ac:dyDescent="0.15">
      <c r="A32" s="25" t="s">
        <v>18</v>
      </c>
      <c r="B32" s="26">
        <v>10</v>
      </c>
      <c r="C32" s="45"/>
    </row>
    <row r="33" spans="1:12" s="2" customFormat="1" ht="15.75" customHeight="1" x14ac:dyDescent="0.15">
      <c r="A33" s="18"/>
      <c r="B33" s="17"/>
      <c r="C33" s="17"/>
      <c r="D33" s="17"/>
      <c r="E33" s="17"/>
      <c r="F33" s="17"/>
      <c r="G33" s="17"/>
      <c r="H33" s="17"/>
      <c r="I33" s="17"/>
      <c r="J33" s="17"/>
      <c r="K33" s="17"/>
      <c r="L33" s="17"/>
    </row>
    <row r="34" spans="1:12" s="2" customFormat="1" x14ac:dyDescent="0.2">
      <c r="A34" s="91" t="s">
        <v>37</v>
      </c>
      <c r="B34" s="92"/>
      <c r="E34" s="17"/>
      <c r="F34" s="28"/>
      <c r="G34" s="29"/>
      <c r="H34" s="17"/>
      <c r="I34" s="17"/>
      <c r="J34" s="17"/>
      <c r="K34" s="17"/>
      <c r="L34" s="17"/>
    </row>
    <row r="35" spans="1:12" s="2" customFormat="1" x14ac:dyDescent="0.2">
      <c r="A35" s="20" t="s">
        <v>39</v>
      </c>
      <c r="B35" s="20" t="s">
        <v>21</v>
      </c>
      <c r="C35" s="20" t="s">
        <v>16</v>
      </c>
      <c r="E35" s="17"/>
      <c r="F35" s="28"/>
      <c r="G35" s="29"/>
      <c r="H35" s="17"/>
      <c r="I35" s="17"/>
      <c r="J35" s="17"/>
      <c r="K35" s="17"/>
      <c r="L35" s="17"/>
    </row>
    <row r="36" spans="1:12" s="2" customFormat="1" x14ac:dyDescent="0.2">
      <c r="A36" s="21" t="str">
        <f>A12</f>
        <v>hermeslite2beta3</v>
      </c>
      <c r="B36" s="30">
        <f>E21*hermeslite2beta3!J82+40</f>
        <v>174.39149999999998</v>
      </c>
      <c r="C36" s="21" t="s">
        <v>49</v>
      </c>
      <c r="D36" s="80" t="s">
        <v>412</v>
      </c>
      <c r="E36" s="17"/>
      <c r="F36" s="28"/>
      <c r="G36" s="29"/>
      <c r="H36" s="17"/>
      <c r="I36" s="17"/>
      <c r="J36" s="17"/>
      <c r="K36" s="17"/>
      <c r="L36" s="17"/>
    </row>
    <row r="37" spans="1:12" s="2" customFormat="1" x14ac:dyDescent="0.2">
      <c r="A37" s="46" t="str">
        <f>A13</f>
        <v>hermeslite2beta3</v>
      </c>
      <c r="B37" s="30">
        <f>E23*hermeslite2beta3!J82</f>
        <v>671.95749999999987</v>
      </c>
      <c r="C37" s="46" t="s">
        <v>50</v>
      </c>
      <c r="E37" s="17"/>
      <c r="F37" s="28"/>
      <c r="G37" s="29"/>
      <c r="H37" s="17"/>
      <c r="I37" s="17"/>
      <c r="J37" s="17"/>
      <c r="K37" s="17"/>
      <c r="L37" s="17"/>
    </row>
    <row r="38" spans="1:12" s="2" customFormat="1" x14ac:dyDescent="0.2">
      <c r="A38" s="48" t="str">
        <f>A14</f>
        <v>hermeslite2beta3</v>
      </c>
      <c r="B38" s="30">
        <f>E25*hermeslite2beta3!L82</f>
        <v>1273.1991999999998</v>
      </c>
      <c r="C38" s="48" t="s">
        <v>51</v>
      </c>
      <c r="E38" s="17"/>
      <c r="F38" s="28"/>
      <c r="G38" s="29"/>
      <c r="H38" s="17"/>
      <c r="I38" s="17"/>
      <c r="J38" s="17"/>
      <c r="K38" s="17"/>
      <c r="L38" s="17"/>
    </row>
    <row r="39" spans="1:12" s="2" customFormat="1" x14ac:dyDescent="0.2">
      <c r="A39" s="48" t="str">
        <f>A15</f>
        <v>hermeslite2beta3</v>
      </c>
      <c r="B39" s="30">
        <f>E27*hermeslite2beta3!N82</f>
        <v>5894.6319999999996</v>
      </c>
      <c r="C39" s="48" t="s">
        <v>52</v>
      </c>
      <c r="E39" s="17"/>
      <c r="F39" s="28"/>
      <c r="G39" s="29"/>
      <c r="H39" s="17"/>
      <c r="I39" s="17"/>
      <c r="J39" s="17"/>
      <c r="K39" s="17"/>
      <c r="L39" s="17"/>
    </row>
    <row r="40" spans="1:12" s="1" customFormat="1" ht="15" x14ac:dyDescent="0.2">
      <c r="A40" s="25" t="s">
        <v>18</v>
      </c>
      <c r="B40" s="31"/>
      <c r="C40" s="32" t="s">
        <v>27</v>
      </c>
      <c r="E40" s="28"/>
      <c r="F40" s="28"/>
      <c r="G40" s="29"/>
      <c r="H40" s="17"/>
      <c r="I40" s="23"/>
      <c r="J40" s="23"/>
      <c r="K40" s="23"/>
      <c r="L40" s="23"/>
    </row>
    <row r="41" spans="1:12" s="1" customFormat="1" ht="15" x14ac:dyDescent="0.2">
      <c r="A41" s="33"/>
      <c r="B41" s="18"/>
      <c r="C41" s="18"/>
      <c r="D41" s="17"/>
      <c r="E41" s="17"/>
      <c r="F41" s="17"/>
      <c r="G41" s="27"/>
      <c r="I41" s="23"/>
      <c r="J41" s="23"/>
      <c r="K41" s="23"/>
      <c r="L41" s="23"/>
    </row>
    <row r="42" spans="1:12" s="1" customFormat="1" x14ac:dyDescent="0.2">
      <c r="A42" s="91" t="s">
        <v>28</v>
      </c>
      <c r="B42" s="92"/>
      <c r="C42" s="44"/>
      <c r="D42" s="23"/>
      <c r="E42" s="28"/>
      <c r="F42" s="28"/>
      <c r="G42" s="29"/>
      <c r="H42" s="17"/>
      <c r="I42" s="23"/>
      <c r="J42" s="23"/>
      <c r="K42" s="23"/>
      <c r="L42" s="23"/>
    </row>
    <row r="43" spans="1:12" s="1" customFormat="1" x14ac:dyDescent="0.2">
      <c r="A43" s="20" t="s">
        <v>29</v>
      </c>
      <c r="B43" s="20" t="s">
        <v>30</v>
      </c>
      <c r="C43" s="20" t="s">
        <v>15</v>
      </c>
      <c r="D43" s="20" t="s">
        <v>23</v>
      </c>
      <c r="E43" s="10" t="s">
        <v>16</v>
      </c>
      <c r="F43" s="28"/>
      <c r="H43" s="17"/>
      <c r="I43" s="23"/>
      <c r="J43" s="23"/>
      <c r="K43" s="23"/>
      <c r="L43" s="23"/>
    </row>
    <row r="44" spans="1:12" x14ac:dyDescent="0.2">
      <c r="A44" s="34" t="s">
        <v>31</v>
      </c>
      <c r="B44" s="21" t="s">
        <v>53</v>
      </c>
      <c r="C44" s="14">
        <f>I12</f>
        <v>0.5</v>
      </c>
      <c r="D44" s="30">
        <v>0</v>
      </c>
      <c r="E44" s="32" t="s">
        <v>56</v>
      </c>
      <c r="F44" s="28"/>
      <c r="G44" s="1"/>
      <c r="H44" s="17"/>
      <c r="I44" s="5"/>
      <c r="J44" s="5"/>
      <c r="K44" s="5"/>
      <c r="L44" s="5"/>
    </row>
    <row r="45" spans="1:12" x14ac:dyDescent="0.2">
      <c r="A45" s="33"/>
      <c r="B45" s="17"/>
      <c r="C45" s="14">
        <f t="shared" ref="C45:C47" si="1">I13</f>
        <v>0.5</v>
      </c>
      <c r="D45" s="30">
        <v>0</v>
      </c>
      <c r="E45" s="32" t="s">
        <v>54</v>
      </c>
      <c r="F45" s="28"/>
      <c r="G45" s="1"/>
      <c r="H45" s="17"/>
      <c r="I45" s="5"/>
      <c r="J45" s="5"/>
      <c r="K45" s="5"/>
      <c r="L45" s="5"/>
    </row>
    <row r="46" spans="1:12" x14ac:dyDescent="0.2">
      <c r="A46" s="33"/>
      <c r="B46" s="17"/>
      <c r="C46" s="14">
        <f t="shared" si="1"/>
        <v>1</v>
      </c>
      <c r="D46" s="30">
        <v>25.56</v>
      </c>
      <c r="E46" s="32" t="s">
        <v>57</v>
      </c>
      <c r="F46" s="28"/>
      <c r="G46" s="1"/>
      <c r="H46" s="17"/>
      <c r="I46" s="5"/>
      <c r="J46" s="5"/>
      <c r="K46" s="5"/>
      <c r="L46" s="5"/>
    </row>
    <row r="47" spans="1:12" x14ac:dyDescent="0.2">
      <c r="A47" s="33"/>
      <c r="B47" s="17"/>
      <c r="C47" s="14">
        <f t="shared" si="1"/>
        <v>5</v>
      </c>
      <c r="D47" s="30">
        <v>45</v>
      </c>
      <c r="E47" s="32" t="s">
        <v>55</v>
      </c>
      <c r="F47" s="28"/>
      <c r="G47" s="1"/>
      <c r="H47" s="5"/>
      <c r="I47" s="5"/>
      <c r="J47" s="5"/>
      <c r="K47" s="5"/>
      <c r="L47" s="5"/>
    </row>
    <row r="48" spans="1:12" ht="15" x14ac:dyDescent="0.2">
      <c r="A48" s="33"/>
      <c r="B48" s="23"/>
      <c r="C48" s="25" t="s">
        <v>18</v>
      </c>
      <c r="D48" s="31"/>
      <c r="E48" s="40"/>
      <c r="F48" s="28"/>
      <c r="G48" s="23"/>
      <c r="H48" s="5"/>
      <c r="I48" s="5"/>
      <c r="J48" s="5"/>
      <c r="K48" s="5"/>
      <c r="L48" s="5"/>
    </row>
    <row r="49" spans="1:12" ht="15" x14ac:dyDescent="0.2">
      <c r="A49" s="33"/>
      <c r="B49" s="23"/>
      <c r="D49" s="35"/>
      <c r="E49" s="17"/>
      <c r="F49" s="17"/>
      <c r="G49" s="23"/>
      <c r="H49" s="5"/>
      <c r="I49" s="5"/>
      <c r="J49" s="5"/>
      <c r="K49" s="5"/>
      <c r="L49" s="5"/>
    </row>
    <row r="50" spans="1:12" ht="15" customHeight="1" x14ac:dyDescent="0.15">
      <c r="A50" s="36"/>
      <c r="B50" s="36"/>
      <c r="C50" s="36"/>
      <c r="D50" s="37"/>
      <c r="E50" s="37"/>
      <c r="G50" s="96" t="s">
        <v>32</v>
      </c>
      <c r="H50" s="49">
        <f>H12+H16+F21+B32+B36+D44</f>
        <v>351.9615</v>
      </c>
      <c r="I50" s="51" t="str">
        <f>C36</f>
        <v>for 1 pcs</v>
      </c>
    </row>
    <row r="51" spans="1:12" ht="14.25" customHeight="1" x14ac:dyDescent="0.15">
      <c r="G51" s="96"/>
      <c r="H51" s="49">
        <f>H13+H16+F23+B32+B37+D45</f>
        <v>999.52749999999992</v>
      </c>
      <c r="I51" s="51" t="str">
        <f t="shared" ref="I51:I53" si="2">C37</f>
        <v>for 5 pcs</v>
      </c>
    </row>
    <row r="52" spans="1:12" ht="15" x14ac:dyDescent="0.15">
      <c r="G52" s="96"/>
      <c r="H52" s="49">
        <f>H14+H16+F25+B32+B38+D46</f>
        <v>1726.6591999999996</v>
      </c>
      <c r="I52" s="51" t="str">
        <f t="shared" si="2"/>
        <v>for 10 pcs</v>
      </c>
    </row>
    <row r="53" spans="1:12" ht="15" x14ac:dyDescent="0.15">
      <c r="G53" s="96"/>
      <c r="H53" s="49">
        <f>H15+H16+F27+B32+B39+D47</f>
        <v>6842.3220000000001</v>
      </c>
      <c r="I53" s="51" t="str">
        <f t="shared" si="2"/>
        <v>for 50 pcs</v>
      </c>
    </row>
  </sheetData>
  <mergeCells count="35">
    <mergeCell ref="G50:G53"/>
    <mergeCell ref="A7:C7"/>
    <mergeCell ref="G3:J7"/>
    <mergeCell ref="A31:B31"/>
    <mergeCell ref="A34:B34"/>
    <mergeCell ref="A42:B42"/>
    <mergeCell ref="D7:F7"/>
    <mergeCell ref="A25:A26"/>
    <mergeCell ref="E25:E26"/>
    <mergeCell ref="F25:F26"/>
    <mergeCell ref="G25:G26"/>
    <mergeCell ref="A27:A28"/>
    <mergeCell ref="E27:E28"/>
    <mergeCell ref="D6:F6"/>
    <mergeCell ref="A5:C5"/>
    <mergeCell ref="A6:C6"/>
    <mergeCell ref="A23:A24"/>
    <mergeCell ref="F27:F28"/>
    <mergeCell ref="G27:G28"/>
    <mergeCell ref="E23:E24"/>
    <mergeCell ref="F23:F24"/>
    <mergeCell ref="G23:G24"/>
    <mergeCell ref="A1:J1"/>
    <mergeCell ref="A2:F2"/>
    <mergeCell ref="D3:F3"/>
    <mergeCell ref="A21:A22"/>
    <mergeCell ref="E21:E22"/>
    <mergeCell ref="F21:F22"/>
    <mergeCell ref="G21:G22"/>
    <mergeCell ref="A10:B10"/>
    <mergeCell ref="A19:B19"/>
    <mergeCell ref="D4:F4"/>
    <mergeCell ref="D5:F5"/>
    <mergeCell ref="A3:C3"/>
    <mergeCell ref="A4:C4"/>
  </mergeCells>
  <phoneticPr fontId="17" type="noConversion"/>
  <pageMargins left="0.70763888888888904" right="0.70763888888888904" top="0.74791666666666701" bottom="0.74791666666666701" header="0.31388888888888899" footer="0.31388888888888899"/>
  <pageSetup paperSize="9" orientation="landscape"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zoomScaleNormal="100" workbookViewId="0">
      <pane ySplit="2" topLeftCell="A3" activePane="bottomLeft" state="frozen"/>
      <selection pane="bottomLeft" activeCell="C57" sqref="C57"/>
    </sheetView>
  </sheetViews>
  <sheetFormatPr defaultRowHeight="12.75" x14ac:dyDescent="0.2"/>
  <cols>
    <col min="1" max="1" width="9" style="59"/>
    <col min="2" max="2" width="33.25" style="69" customWidth="1"/>
    <col min="3" max="3" width="25.875" style="69" customWidth="1"/>
    <col min="4" max="4" width="14.125" style="70" customWidth="1"/>
    <col min="5" max="5" width="19.875" style="70" customWidth="1"/>
    <col min="6" max="6" width="18.75" style="71" customWidth="1"/>
    <col min="7" max="8" width="9" style="56" customWidth="1"/>
    <col min="9" max="9" width="11.5" style="64" customWidth="1"/>
    <col min="10" max="10" width="10.375" style="64" customWidth="1"/>
    <col min="11" max="14" width="11.125" style="64" customWidth="1"/>
    <col min="15" max="15" width="55.625" style="52" customWidth="1"/>
    <col min="16" max="16384" width="9" style="52"/>
  </cols>
  <sheetData>
    <row r="1" spans="1:15" ht="15" customHeight="1" x14ac:dyDescent="0.2">
      <c r="I1" s="107" t="s">
        <v>387</v>
      </c>
      <c r="J1" s="107"/>
      <c r="K1" s="107" t="s">
        <v>413</v>
      </c>
      <c r="L1" s="107"/>
      <c r="M1" s="107" t="s">
        <v>414</v>
      </c>
      <c r="N1" s="107"/>
    </row>
    <row r="2" spans="1:15" ht="31.5" x14ac:dyDescent="0.25">
      <c r="A2" s="60" t="s">
        <v>386</v>
      </c>
      <c r="B2" s="72" t="s">
        <v>385</v>
      </c>
      <c r="C2" s="72" t="s">
        <v>384</v>
      </c>
      <c r="D2" s="73" t="s">
        <v>383</v>
      </c>
      <c r="E2" s="74" t="s">
        <v>382</v>
      </c>
      <c r="F2" s="75" t="s">
        <v>40</v>
      </c>
      <c r="G2" s="57" t="s">
        <v>381</v>
      </c>
      <c r="H2" s="57" t="s">
        <v>380</v>
      </c>
      <c r="I2" s="65" t="s">
        <v>388</v>
      </c>
      <c r="J2" s="65" t="s">
        <v>389</v>
      </c>
      <c r="K2" s="65" t="s">
        <v>388</v>
      </c>
      <c r="L2" s="65" t="s">
        <v>389</v>
      </c>
      <c r="M2" s="65" t="s">
        <v>388</v>
      </c>
      <c r="N2" s="65" t="s">
        <v>389</v>
      </c>
      <c r="O2" s="55" t="s">
        <v>379</v>
      </c>
    </row>
    <row r="3" spans="1:15" ht="297.75" customHeight="1" x14ac:dyDescent="0.2">
      <c r="A3" s="61">
        <v>15331</v>
      </c>
      <c r="B3" s="76" t="s">
        <v>390</v>
      </c>
      <c r="C3" s="76" t="s">
        <v>378</v>
      </c>
      <c r="D3" s="77" t="s">
        <v>75</v>
      </c>
      <c r="E3" s="54" t="s">
        <v>377</v>
      </c>
      <c r="F3" s="78">
        <v>603</v>
      </c>
      <c r="G3" s="58">
        <v>2</v>
      </c>
      <c r="H3" s="58">
        <v>112</v>
      </c>
      <c r="I3" s="66">
        <v>0</v>
      </c>
      <c r="J3" s="66">
        <f t="shared" ref="J3:J34" si="0">I3*H3</f>
        <v>0</v>
      </c>
      <c r="K3" s="66">
        <v>0</v>
      </c>
      <c r="L3" s="66">
        <f t="shared" ref="L3:L34" si="1">K3*H3</f>
        <v>0</v>
      </c>
      <c r="M3" s="66">
        <v>0</v>
      </c>
      <c r="N3" s="66">
        <f t="shared" ref="N3:N34" si="2">M3*H3</f>
        <v>0</v>
      </c>
      <c r="O3" s="53" t="s">
        <v>376</v>
      </c>
    </row>
    <row r="4" spans="1:15" ht="51" x14ac:dyDescent="0.2">
      <c r="A4" s="61">
        <v>20411</v>
      </c>
      <c r="B4" s="76" t="s">
        <v>391</v>
      </c>
      <c r="C4" s="76" t="s">
        <v>375</v>
      </c>
      <c r="D4" s="77" t="s">
        <v>75</v>
      </c>
      <c r="E4" s="54" t="s">
        <v>374</v>
      </c>
      <c r="F4" s="78">
        <v>603</v>
      </c>
      <c r="G4" s="58">
        <v>2</v>
      </c>
      <c r="H4" s="58">
        <v>21</v>
      </c>
      <c r="I4" s="66">
        <v>0</v>
      </c>
      <c r="J4" s="66">
        <f t="shared" si="0"/>
        <v>0</v>
      </c>
      <c r="K4" s="66">
        <v>0</v>
      </c>
      <c r="L4" s="66">
        <f t="shared" si="1"/>
        <v>0</v>
      </c>
      <c r="M4" s="66">
        <v>0</v>
      </c>
      <c r="N4" s="66">
        <f t="shared" si="2"/>
        <v>0</v>
      </c>
      <c r="O4" s="53" t="s">
        <v>373</v>
      </c>
    </row>
    <row r="5" spans="1:15" x14ac:dyDescent="0.2">
      <c r="A5" s="61" t="s">
        <v>27</v>
      </c>
      <c r="B5" s="76" t="s">
        <v>392</v>
      </c>
      <c r="C5" s="76" t="s">
        <v>372</v>
      </c>
      <c r="D5" s="77" t="s">
        <v>75</v>
      </c>
      <c r="E5" s="77" t="s">
        <v>371</v>
      </c>
      <c r="F5" s="78">
        <v>1206</v>
      </c>
      <c r="G5" s="58">
        <v>2</v>
      </c>
      <c r="H5" s="58">
        <v>3</v>
      </c>
      <c r="I5" s="66">
        <v>0.4</v>
      </c>
      <c r="J5" s="66">
        <f t="shared" si="0"/>
        <v>1.2000000000000002</v>
      </c>
      <c r="K5" s="66">
        <v>0.4</v>
      </c>
      <c r="L5" s="66">
        <f t="shared" si="1"/>
        <v>1.2000000000000002</v>
      </c>
      <c r="M5" s="66">
        <v>0.3</v>
      </c>
      <c r="N5" s="66">
        <f t="shared" si="2"/>
        <v>0.89999999999999991</v>
      </c>
      <c r="O5" s="53" t="s">
        <v>370</v>
      </c>
    </row>
    <row r="6" spans="1:15" x14ac:dyDescent="0.2">
      <c r="A6" s="61">
        <v>55004</v>
      </c>
      <c r="B6" s="76" t="s">
        <v>369</v>
      </c>
      <c r="C6" s="76" t="s">
        <v>368</v>
      </c>
      <c r="D6" s="77" t="s">
        <v>75</v>
      </c>
      <c r="E6" s="77" t="s">
        <v>367</v>
      </c>
      <c r="F6" s="78">
        <v>603</v>
      </c>
      <c r="G6" s="58">
        <v>2</v>
      </c>
      <c r="H6" s="58">
        <v>3</v>
      </c>
      <c r="I6" s="66">
        <v>0</v>
      </c>
      <c r="J6" s="66">
        <f t="shared" si="0"/>
        <v>0</v>
      </c>
      <c r="K6" s="66"/>
      <c r="L6" s="66">
        <f t="shared" si="1"/>
        <v>0</v>
      </c>
      <c r="M6" s="66"/>
      <c r="N6" s="66">
        <f t="shared" si="2"/>
        <v>0</v>
      </c>
      <c r="O6" s="53" t="s">
        <v>366</v>
      </c>
    </row>
    <row r="7" spans="1:15" ht="25.5" x14ac:dyDescent="0.2">
      <c r="A7" s="61">
        <v>46786</v>
      </c>
      <c r="B7" s="76" t="s">
        <v>393</v>
      </c>
      <c r="C7" s="76" t="s">
        <v>365</v>
      </c>
      <c r="D7" s="77" t="s">
        <v>75</v>
      </c>
      <c r="E7" s="54" t="s">
        <v>364</v>
      </c>
      <c r="F7" s="78">
        <v>805</v>
      </c>
      <c r="G7" s="58">
        <v>2</v>
      </c>
      <c r="H7" s="58">
        <v>9</v>
      </c>
      <c r="I7" s="66">
        <v>0.2</v>
      </c>
      <c r="J7" s="66">
        <f t="shared" si="0"/>
        <v>1.8</v>
      </c>
      <c r="K7" s="66">
        <v>0.2</v>
      </c>
      <c r="L7" s="66">
        <f t="shared" si="1"/>
        <v>1.8</v>
      </c>
      <c r="M7" s="66">
        <v>0.15</v>
      </c>
      <c r="N7" s="66">
        <f t="shared" si="2"/>
        <v>1.3499999999999999</v>
      </c>
      <c r="O7" s="53" t="s">
        <v>363</v>
      </c>
    </row>
    <row r="8" spans="1:15" ht="25.5" x14ac:dyDescent="0.2">
      <c r="A8" s="61">
        <v>14236</v>
      </c>
      <c r="B8" s="76" t="s">
        <v>394</v>
      </c>
      <c r="C8" s="76" t="s">
        <v>362</v>
      </c>
      <c r="D8" s="77" t="s">
        <v>75</v>
      </c>
      <c r="E8" s="54" t="s">
        <v>361</v>
      </c>
      <c r="F8" s="78">
        <v>1206</v>
      </c>
      <c r="G8" s="58">
        <v>2</v>
      </c>
      <c r="H8" s="58">
        <v>7</v>
      </c>
      <c r="I8" s="66">
        <v>0.05</v>
      </c>
      <c r="J8" s="66">
        <f t="shared" si="0"/>
        <v>0.35000000000000003</v>
      </c>
      <c r="K8" s="66">
        <v>0.05</v>
      </c>
      <c r="L8" s="66">
        <f t="shared" si="1"/>
        <v>0.35000000000000003</v>
      </c>
      <c r="M8" s="66">
        <v>0.04</v>
      </c>
      <c r="N8" s="66">
        <f t="shared" si="2"/>
        <v>0.28000000000000003</v>
      </c>
      <c r="O8" s="53" t="s">
        <v>360</v>
      </c>
    </row>
    <row r="9" spans="1:15" x14ac:dyDescent="0.2">
      <c r="A9" s="61">
        <v>2131</v>
      </c>
      <c r="B9" s="76" t="s">
        <v>359</v>
      </c>
      <c r="C9" s="76" t="s">
        <v>358</v>
      </c>
      <c r="D9" s="77" t="s">
        <v>75</v>
      </c>
      <c r="E9" s="77" t="s">
        <v>357</v>
      </c>
      <c r="F9" s="78">
        <v>805</v>
      </c>
      <c r="G9" s="58">
        <v>2</v>
      </c>
      <c r="H9" s="58">
        <v>3</v>
      </c>
      <c r="I9" s="66">
        <v>0</v>
      </c>
      <c r="J9" s="66">
        <f t="shared" si="0"/>
        <v>0</v>
      </c>
      <c r="K9" s="66">
        <v>0</v>
      </c>
      <c r="L9" s="66">
        <f t="shared" si="1"/>
        <v>0</v>
      </c>
      <c r="M9" s="66">
        <v>0</v>
      </c>
      <c r="N9" s="66">
        <f t="shared" si="2"/>
        <v>0</v>
      </c>
      <c r="O9" s="53" t="s">
        <v>356</v>
      </c>
    </row>
    <row r="10" spans="1:15" ht="38.25" x14ac:dyDescent="0.2">
      <c r="A10" s="61">
        <v>16531</v>
      </c>
      <c r="B10" s="76" t="s">
        <v>355</v>
      </c>
      <c r="C10" s="76" t="s">
        <v>354</v>
      </c>
      <c r="D10" s="77" t="s">
        <v>75</v>
      </c>
      <c r="E10" s="54" t="s">
        <v>353</v>
      </c>
      <c r="F10" s="78">
        <v>603</v>
      </c>
      <c r="G10" s="58">
        <v>2</v>
      </c>
      <c r="H10" s="58">
        <v>12</v>
      </c>
      <c r="I10" s="66">
        <v>0</v>
      </c>
      <c r="J10" s="66">
        <f t="shared" si="0"/>
        <v>0</v>
      </c>
      <c r="K10" s="66">
        <v>0</v>
      </c>
      <c r="L10" s="66">
        <f t="shared" si="1"/>
        <v>0</v>
      </c>
      <c r="M10" s="66">
        <v>0</v>
      </c>
      <c r="N10" s="66">
        <f t="shared" si="2"/>
        <v>0</v>
      </c>
      <c r="O10" s="53" t="s">
        <v>352</v>
      </c>
    </row>
    <row r="11" spans="1:15" x14ac:dyDescent="0.2">
      <c r="A11" s="61">
        <v>1996</v>
      </c>
      <c r="B11" s="76" t="s">
        <v>395</v>
      </c>
      <c r="C11" s="76" t="s">
        <v>351</v>
      </c>
      <c r="D11" s="77" t="s">
        <v>75</v>
      </c>
      <c r="E11" s="77" t="s">
        <v>350</v>
      </c>
      <c r="F11" s="78">
        <v>603</v>
      </c>
      <c r="G11" s="58">
        <v>2</v>
      </c>
      <c r="H11" s="58">
        <v>2</v>
      </c>
      <c r="I11" s="66">
        <v>0</v>
      </c>
      <c r="J11" s="66">
        <f t="shared" si="0"/>
        <v>0</v>
      </c>
      <c r="K11" s="66">
        <v>0</v>
      </c>
      <c r="L11" s="66">
        <f t="shared" si="1"/>
        <v>0</v>
      </c>
      <c r="M11" s="66">
        <v>0</v>
      </c>
      <c r="N11" s="66">
        <f t="shared" si="2"/>
        <v>0</v>
      </c>
      <c r="O11" s="53" t="s">
        <v>349</v>
      </c>
    </row>
    <row r="12" spans="1:15" ht="25.5" x14ac:dyDescent="0.2">
      <c r="A12" s="61">
        <v>29074</v>
      </c>
      <c r="B12" s="76" t="s">
        <v>348</v>
      </c>
      <c r="C12" s="76" t="s">
        <v>347</v>
      </c>
      <c r="D12" s="77" t="s">
        <v>75</v>
      </c>
      <c r="E12" s="54" t="s">
        <v>346</v>
      </c>
      <c r="F12" s="78">
        <v>805</v>
      </c>
      <c r="G12" s="58">
        <v>2</v>
      </c>
      <c r="H12" s="58">
        <v>6</v>
      </c>
      <c r="I12" s="66">
        <v>0</v>
      </c>
      <c r="J12" s="66">
        <f t="shared" si="0"/>
        <v>0</v>
      </c>
      <c r="K12" s="66">
        <v>0</v>
      </c>
      <c r="L12" s="66">
        <f t="shared" si="1"/>
        <v>0</v>
      </c>
      <c r="M12" s="66">
        <v>0</v>
      </c>
      <c r="N12" s="66">
        <f t="shared" si="2"/>
        <v>0</v>
      </c>
      <c r="O12" s="53" t="s">
        <v>345</v>
      </c>
    </row>
    <row r="13" spans="1:15" x14ac:dyDescent="0.2">
      <c r="A13" s="61" t="s">
        <v>27</v>
      </c>
      <c r="B13" s="76" t="s">
        <v>344</v>
      </c>
      <c r="C13" s="76" t="s">
        <v>343</v>
      </c>
      <c r="D13" s="77" t="s">
        <v>75</v>
      </c>
      <c r="E13" s="77" t="s">
        <v>342</v>
      </c>
      <c r="F13" s="78">
        <v>805</v>
      </c>
      <c r="G13" s="58">
        <v>2</v>
      </c>
      <c r="H13" s="58">
        <v>1</v>
      </c>
      <c r="I13" s="66">
        <v>0</v>
      </c>
      <c r="J13" s="66">
        <f t="shared" si="0"/>
        <v>0</v>
      </c>
      <c r="K13" s="66">
        <v>0</v>
      </c>
      <c r="L13" s="66">
        <f t="shared" si="1"/>
        <v>0</v>
      </c>
      <c r="M13" s="66">
        <v>0</v>
      </c>
      <c r="N13" s="66">
        <f t="shared" si="2"/>
        <v>0</v>
      </c>
      <c r="O13" s="53" t="s">
        <v>341</v>
      </c>
    </row>
    <row r="14" spans="1:15" x14ac:dyDescent="0.2">
      <c r="A14" s="61" t="s">
        <v>27</v>
      </c>
      <c r="B14" s="76" t="s">
        <v>340</v>
      </c>
      <c r="C14" s="76" t="s">
        <v>339</v>
      </c>
      <c r="D14" s="77" t="s">
        <v>75</v>
      </c>
      <c r="E14" s="77" t="s">
        <v>338</v>
      </c>
      <c r="F14" s="78">
        <v>805</v>
      </c>
      <c r="G14" s="58">
        <v>2</v>
      </c>
      <c r="H14" s="58">
        <v>1</v>
      </c>
      <c r="I14" s="66">
        <v>0</v>
      </c>
      <c r="J14" s="66">
        <f t="shared" si="0"/>
        <v>0</v>
      </c>
      <c r="K14" s="66">
        <v>0</v>
      </c>
      <c r="L14" s="66">
        <f t="shared" si="1"/>
        <v>0</v>
      </c>
      <c r="M14" s="66">
        <v>0</v>
      </c>
      <c r="N14" s="66">
        <f t="shared" si="2"/>
        <v>0</v>
      </c>
      <c r="O14" s="53" t="s">
        <v>337</v>
      </c>
    </row>
    <row r="15" spans="1:15" x14ac:dyDescent="0.2">
      <c r="A15" s="61" t="s">
        <v>27</v>
      </c>
      <c r="B15" s="76" t="s">
        <v>336</v>
      </c>
      <c r="C15" s="76" t="s">
        <v>335</v>
      </c>
      <c r="D15" s="77" t="s">
        <v>75</v>
      </c>
      <c r="E15" s="77" t="s">
        <v>334</v>
      </c>
      <c r="F15" s="78">
        <v>805</v>
      </c>
      <c r="G15" s="58">
        <v>2</v>
      </c>
      <c r="H15" s="58">
        <v>1</v>
      </c>
      <c r="I15" s="66">
        <v>0</v>
      </c>
      <c r="J15" s="66">
        <f t="shared" si="0"/>
        <v>0</v>
      </c>
      <c r="K15" s="66">
        <v>0</v>
      </c>
      <c r="L15" s="66">
        <f t="shared" si="1"/>
        <v>0</v>
      </c>
      <c r="M15" s="66">
        <v>0</v>
      </c>
      <c r="N15" s="66">
        <f t="shared" si="2"/>
        <v>0</v>
      </c>
      <c r="O15" s="53" t="s">
        <v>333</v>
      </c>
    </row>
    <row r="16" spans="1:15" x14ac:dyDescent="0.2">
      <c r="A16" s="61">
        <v>2142</v>
      </c>
      <c r="B16" s="76" t="s">
        <v>332</v>
      </c>
      <c r="C16" s="76" t="s">
        <v>331</v>
      </c>
      <c r="D16" s="77" t="s">
        <v>75</v>
      </c>
      <c r="E16" s="77" t="s">
        <v>330</v>
      </c>
      <c r="F16" s="78">
        <v>805</v>
      </c>
      <c r="G16" s="58">
        <v>2</v>
      </c>
      <c r="H16" s="58">
        <v>3</v>
      </c>
      <c r="I16" s="66">
        <v>0</v>
      </c>
      <c r="J16" s="66">
        <f t="shared" si="0"/>
        <v>0</v>
      </c>
      <c r="K16" s="66">
        <v>0</v>
      </c>
      <c r="L16" s="66">
        <f t="shared" si="1"/>
        <v>0</v>
      </c>
      <c r="M16" s="66">
        <v>0</v>
      </c>
      <c r="N16" s="66">
        <f t="shared" si="2"/>
        <v>0</v>
      </c>
      <c r="O16" s="53" t="s">
        <v>329</v>
      </c>
    </row>
    <row r="17" spans="1:15" x14ac:dyDescent="0.2">
      <c r="A17" s="61">
        <v>2137</v>
      </c>
      <c r="B17" s="76" t="s">
        <v>328</v>
      </c>
      <c r="C17" s="76" t="s">
        <v>327</v>
      </c>
      <c r="D17" s="77" t="s">
        <v>75</v>
      </c>
      <c r="E17" s="77" t="s">
        <v>326</v>
      </c>
      <c r="F17" s="78">
        <v>805</v>
      </c>
      <c r="G17" s="58">
        <v>2</v>
      </c>
      <c r="H17" s="58">
        <v>1</v>
      </c>
      <c r="I17" s="66">
        <v>0</v>
      </c>
      <c r="J17" s="66">
        <f t="shared" si="0"/>
        <v>0</v>
      </c>
      <c r="K17" s="66">
        <v>0</v>
      </c>
      <c r="L17" s="66">
        <f t="shared" si="1"/>
        <v>0</v>
      </c>
      <c r="M17" s="66">
        <v>0</v>
      </c>
      <c r="N17" s="66">
        <f t="shared" si="2"/>
        <v>0</v>
      </c>
      <c r="O17" s="53" t="s">
        <v>325</v>
      </c>
    </row>
    <row r="18" spans="1:15" x14ac:dyDescent="0.2">
      <c r="A18" s="61" t="s">
        <v>27</v>
      </c>
      <c r="B18" s="76" t="s">
        <v>324</v>
      </c>
      <c r="C18" s="76" t="s">
        <v>323</v>
      </c>
      <c r="D18" s="77" t="s">
        <v>75</v>
      </c>
      <c r="E18" s="77" t="s">
        <v>322</v>
      </c>
      <c r="F18" s="78">
        <v>805</v>
      </c>
      <c r="G18" s="58">
        <v>2</v>
      </c>
      <c r="H18" s="58">
        <v>1</v>
      </c>
      <c r="I18" s="66">
        <v>0</v>
      </c>
      <c r="J18" s="66">
        <f t="shared" si="0"/>
        <v>0</v>
      </c>
      <c r="K18" s="66">
        <v>0</v>
      </c>
      <c r="L18" s="66">
        <f t="shared" si="1"/>
        <v>0</v>
      </c>
      <c r="M18" s="66">
        <v>0</v>
      </c>
      <c r="N18" s="66">
        <f t="shared" si="2"/>
        <v>0</v>
      </c>
      <c r="O18" s="53" t="s">
        <v>321</v>
      </c>
    </row>
    <row r="19" spans="1:15" x14ac:dyDescent="0.2">
      <c r="A19" s="61" t="s">
        <v>27</v>
      </c>
      <c r="B19" s="76" t="s">
        <v>320</v>
      </c>
      <c r="C19" s="76" t="s">
        <v>319</v>
      </c>
      <c r="D19" s="77" t="s">
        <v>75</v>
      </c>
      <c r="E19" s="77" t="s">
        <v>318</v>
      </c>
      <c r="F19" s="78">
        <v>805</v>
      </c>
      <c r="G19" s="58">
        <v>2</v>
      </c>
      <c r="H19" s="58">
        <v>1</v>
      </c>
      <c r="I19" s="66">
        <v>0</v>
      </c>
      <c r="J19" s="66">
        <f t="shared" si="0"/>
        <v>0</v>
      </c>
      <c r="K19" s="66">
        <v>0</v>
      </c>
      <c r="L19" s="66">
        <f t="shared" si="1"/>
        <v>0</v>
      </c>
      <c r="M19" s="66">
        <v>0</v>
      </c>
      <c r="N19" s="66">
        <f t="shared" si="2"/>
        <v>0</v>
      </c>
      <c r="O19" s="53" t="s">
        <v>317</v>
      </c>
    </row>
    <row r="20" spans="1:15" x14ac:dyDescent="0.2">
      <c r="A20" s="61" t="s">
        <v>27</v>
      </c>
      <c r="B20" s="76" t="s">
        <v>316</v>
      </c>
      <c r="C20" s="76" t="s">
        <v>315</v>
      </c>
      <c r="D20" s="77" t="s">
        <v>75</v>
      </c>
      <c r="E20" s="77" t="s">
        <v>314</v>
      </c>
      <c r="F20" s="78">
        <v>805</v>
      </c>
      <c r="G20" s="58">
        <v>2</v>
      </c>
      <c r="H20" s="58">
        <v>1</v>
      </c>
      <c r="I20" s="66">
        <v>0</v>
      </c>
      <c r="J20" s="66">
        <f t="shared" si="0"/>
        <v>0</v>
      </c>
      <c r="K20" s="66">
        <v>0</v>
      </c>
      <c r="L20" s="66">
        <f t="shared" si="1"/>
        <v>0</v>
      </c>
      <c r="M20" s="66">
        <v>0</v>
      </c>
      <c r="N20" s="66">
        <f t="shared" si="2"/>
        <v>0</v>
      </c>
      <c r="O20" s="53" t="s">
        <v>313</v>
      </c>
    </row>
    <row r="21" spans="1:15" x14ac:dyDescent="0.2">
      <c r="A21" s="61" t="s">
        <v>27</v>
      </c>
      <c r="B21" s="76" t="s">
        <v>312</v>
      </c>
      <c r="C21" s="76" t="s">
        <v>311</v>
      </c>
      <c r="D21" s="77" t="s">
        <v>75</v>
      </c>
      <c r="E21" s="77" t="s">
        <v>310</v>
      </c>
      <c r="F21" s="78" t="s">
        <v>305</v>
      </c>
      <c r="G21" s="58">
        <v>10</v>
      </c>
      <c r="H21" s="58">
        <v>1</v>
      </c>
      <c r="I21" s="66">
        <v>0.1</v>
      </c>
      <c r="J21" s="66">
        <f t="shared" si="0"/>
        <v>0.1</v>
      </c>
      <c r="K21" s="66">
        <v>0.1</v>
      </c>
      <c r="L21" s="66">
        <f t="shared" si="1"/>
        <v>0.1</v>
      </c>
      <c r="M21" s="66">
        <v>0.1</v>
      </c>
      <c r="N21" s="66">
        <f t="shared" si="2"/>
        <v>0.1</v>
      </c>
      <c r="O21" s="53" t="s">
        <v>309</v>
      </c>
    </row>
    <row r="22" spans="1:15" x14ac:dyDescent="0.2">
      <c r="A22" s="61"/>
      <c r="B22" s="76" t="s">
        <v>308</v>
      </c>
      <c r="C22" s="76" t="s">
        <v>307</v>
      </c>
      <c r="D22" s="77" t="s">
        <v>69</v>
      </c>
      <c r="E22" s="77" t="s">
        <v>306</v>
      </c>
      <c r="F22" s="78" t="s">
        <v>305</v>
      </c>
      <c r="G22" s="58">
        <v>18</v>
      </c>
      <c r="H22" s="58">
        <v>1</v>
      </c>
      <c r="I22" s="66">
        <v>7.37</v>
      </c>
      <c r="J22" s="66">
        <f t="shared" si="0"/>
        <v>7.37</v>
      </c>
      <c r="K22" s="66">
        <v>7.06</v>
      </c>
      <c r="L22" s="66">
        <f t="shared" si="1"/>
        <v>7.06</v>
      </c>
      <c r="M22" s="66">
        <v>6.18</v>
      </c>
      <c r="N22" s="66">
        <f t="shared" si="2"/>
        <v>6.18</v>
      </c>
      <c r="O22" s="53" t="s">
        <v>304</v>
      </c>
    </row>
    <row r="23" spans="1:15" x14ac:dyDescent="0.2">
      <c r="A23" s="61" t="s">
        <v>27</v>
      </c>
      <c r="B23" s="76" t="s">
        <v>290</v>
      </c>
      <c r="C23" s="76" t="s">
        <v>303</v>
      </c>
      <c r="D23" s="77" t="s">
        <v>69</v>
      </c>
      <c r="E23" s="77" t="s">
        <v>302</v>
      </c>
      <c r="F23" s="78" t="s">
        <v>292</v>
      </c>
      <c r="G23" s="58">
        <v>2</v>
      </c>
      <c r="H23" s="58">
        <v>1</v>
      </c>
      <c r="I23" s="66">
        <f>0.81*1.17</f>
        <v>0.94769999999999999</v>
      </c>
      <c r="J23" s="66">
        <f t="shared" si="0"/>
        <v>0.94769999999999999</v>
      </c>
      <c r="K23" s="66">
        <f>0.702*1.17</f>
        <v>0.82133999999999985</v>
      </c>
      <c r="L23" s="66">
        <f t="shared" si="1"/>
        <v>0.82133999999999985</v>
      </c>
      <c r="M23" s="66">
        <f>0.702*1.17</f>
        <v>0.82133999999999985</v>
      </c>
      <c r="N23" s="66">
        <f t="shared" si="2"/>
        <v>0.82133999999999985</v>
      </c>
      <c r="O23" s="53" t="s">
        <v>301</v>
      </c>
    </row>
    <row r="24" spans="1:15" x14ac:dyDescent="0.2">
      <c r="A24" s="61" t="s">
        <v>27</v>
      </c>
      <c r="B24" s="76" t="s">
        <v>300</v>
      </c>
      <c r="C24" s="76" t="s">
        <v>299</v>
      </c>
      <c r="D24" s="77" t="s">
        <v>69</v>
      </c>
      <c r="E24" s="77" t="s">
        <v>298</v>
      </c>
      <c r="F24" s="78" t="s">
        <v>297</v>
      </c>
      <c r="G24" s="58">
        <v>2</v>
      </c>
      <c r="H24" s="58">
        <v>4</v>
      </c>
      <c r="I24" s="66">
        <f>0.249*1.17</f>
        <v>0.29132999999999998</v>
      </c>
      <c r="J24" s="66">
        <f t="shared" si="0"/>
        <v>1.1653199999999999</v>
      </c>
      <c r="K24" s="66">
        <f>0.194*1.17</f>
        <v>0.22697999999999999</v>
      </c>
      <c r="L24" s="66">
        <f t="shared" si="1"/>
        <v>0.90791999999999995</v>
      </c>
      <c r="M24" s="66">
        <f>0.1*1.17</f>
        <v>0.11699999999999999</v>
      </c>
      <c r="N24" s="66">
        <f t="shared" si="2"/>
        <v>0.46799999999999997</v>
      </c>
      <c r="O24" s="53" t="s">
        <v>296</v>
      </c>
    </row>
    <row r="25" spans="1:15" x14ac:dyDescent="0.2">
      <c r="A25" s="61" t="s">
        <v>27</v>
      </c>
      <c r="B25" s="76" t="s">
        <v>295</v>
      </c>
      <c r="C25" s="76" t="s">
        <v>294</v>
      </c>
      <c r="D25" s="77" t="s">
        <v>69</v>
      </c>
      <c r="E25" s="77" t="s">
        <v>293</v>
      </c>
      <c r="F25" s="78" t="s">
        <v>292</v>
      </c>
      <c r="G25" s="58">
        <v>2</v>
      </c>
      <c r="H25" s="58">
        <v>2</v>
      </c>
      <c r="I25" s="66">
        <v>0.22</v>
      </c>
      <c r="J25" s="66">
        <f t="shared" si="0"/>
        <v>0.44</v>
      </c>
      <c r="K25" s="66">
        <v>0.12</v>
      </c>
      <c r="L25" s="66">
        <f t="shared" si="1"/>
        <v>0.24</v>
      </c>
      <c r="M25" s="66">
        <v>0.08</v>
      </c>
      <c r="N25" s="66">
        <f t="shared" si="2"/>
        <v>0.16</v>
      </c>
      <c r="O25" s="53" t="s">
        <v>291</v>
      </c>
    </row>
    <row r="26" spans="1:15" x14ac:dyDescent="0.2">
      <c r="A26" s="61" t="s">
        <v>27</v>
      </c>
      <c r="B26" s="76" t="s">
        <v>290</v>
      </c>
      <c r="C26" s="76" t="s">
        <v>289</v>
      </c>
      <c r="D26" s="77" t="s">
        <v>69</v>
      </c>
      <c r="E26" s="77" t="s">
        <v>288</v>
      </c>
      <c r="F26" s="78" t="s">
        <v>287</v>
      </c>
      <c r="G26" s="58">
        <v>2</v>
      </c>
      <c r="H26" s="58">
        <v>1</v>
      </c>
      <c r="I26" s="66">
        <v>0.4</v>
      </c>
      <c r="J26" s="66">
        <f t="shared" si="0"/>
        <v>0.4</v>
      </c>
      <c r="K26" s="66">
        <v>0.2</v>
      </c>
      <c r="L26" s="66">
        <f t="shared" si="1"/>
        <v>0.2</v>
      </c>
      <c r="M26" s="66">
        <v>0.15</v>
      </c>
      <c r="N26" s="66">
        <f t="shared" si="2"/>
        <v>0.15</v>
      </c>
      <c r="O26" s="53" t="s">
        <v>286</v>
      </c>
    </row>
    <row r="27" spans="1:15" x14ac:dyDescent="0.2">
      <c r="A27" s="61" t="s">
        <v>27</v>
      </c>
      <c r="B27" s="76" t="s">
        <v>285</v>
      </c>
      <c r="C27" s="76" t="s">
        <v>284</v>
      </c>
      <c r="D27" s="77" t="s">
        <v>69</v>
      </c>
      <c r="E27" s="77" t="s">
        <v>283</v>
      </c>
      <c r="F27" s="78" t="s">
        <v>282</v>
      </c>
      <c r="G27" s="58">
        <v>2</v>
      </c>
      <c r="H27" s="58">
        <v>1</v>
      </c>
      <c r="I27" s="66">
        <f>0.498*1.17</f>
        <v>0.58265999999999996</v>
      </c>
      <c r="J27" s="66">
        <f t="shared" si="0"/>
        <v>0.58265999999999996</v>
      </c>
      <c r="K27" s="66">
        <f>0.468*1.17</f>
        <v>0.54756000000000005</v>
      </c>
      <c r="L27" s="66">
        <f t="shared" si="1"/>
        <v>0.54756000000000005</v>
      </c>
      <c r="M27" s="66">
        <f>0.395*1.17</f>
        <v>0.46215000000000001</v>
      </c>
      <c r="N27" s="66">
        <f t="shared" si="2"/>
        <v>0.46215000000000001</v>
      </c>
      <c r="O27" s="53" t="s">
        <v>281</v>
      </c>
    </row>
    <row r="28" spans="1:15" ht="89.25" x14ac:dyDescent="0.2">
      <c r="A28" s="61" t="s">
        <v>27</v>
      </c>
      <c r="B28" s="63" t="s">
        <v>280</v>
      </c>
      <c r="C28" s="76" t="s">
        <v>279</v>
      </c>
      <c r="D28" s="77" t="s">
        <v>75</v>
      </c>
      <c r="E28" s="54" t="s">
        <v>278</v>
      </c>
      <c r="F28" s="78">
        <v>603</v>
      </c>
      <c r="G28" s="58">
        <v>2</v>
      </c>
      <c r="H28" s="58">
        <v>27</v>
      </c>
      <c r="I28" s="66">
        <v>0.04</v>
      </c>
      <c r="J28" s="66">
        <f t="shared" si="0"/>
        <v>1.08</v>
      </c>
      <c r="K28" s="66">
        <v>0.04</v>
      </c>
      <c r="L28" s="66">
        <f t="shared" si="1"/>
        <v>1.08</v>
      </c>
      <c r="M28" s="66">
        <v>0.03</v>
      </c>
      <c r="N28" s="66">
        <f t="shared" si="2"/>
        <v>0.80999999999999994</v>
      </c>
      <c r="O28" s="53" t="s">
        <v>277</v>
      </c>
    </row>
    <row r="29" spans="1:15" ht="51" x14ac:dyDescent="0.2">
      <c r="A29" s="61">
        <v>21903</v>
      </c>
      <c r="B29" s="76" t="s">
        <v>276</v>
      </c>
      <c r="C29" s="76" t="s">
        <v>275</v>
      </c>
      <c r="D29" s="77" t="s">
        <v>75</v>
      </c>
      <c r="E29" s="54" t="s">
        <v>274</v>
      </c>
      <c r="F29" s="78">
        <v>603</v>
      </c>
      <c r="G29" s="58">
        <v>2</v>
      </c>
      <c r="H29" s="58">
        <v>16</v>
      </c>
      <c r="I29" s="66">
        <v>0</v>
      </c>
      <c r="J29" s="66">
        <f t="shared" si="0"/>
        <v>0</v>
      </c>
      <c r="K29" s="66">
        <v>0</v>
      </c>
      <c r="L29" s="66">
        <f t="shared" si="1"/>
        <v>0</v>
      </c>
      <c r="M29" s="66">
        <v>0</v>
      </c>
      <c r="N29" s="66">
        <f t="shared" si="2"/>
        <v>0</v>
      </c>
      <c r="O29" s="53" t="s">
        <v>273</v>
      </c>
    </row>
    <row r="30" spans="1:15" x14ac:dyDescent="0.2">
      <c r="A30" s="61" t="s">
        <v>27</v>
      </c>
      <c r="B30" s="76" t="s">
        <v>272</v>
      </c>
      <c r="C30" s="76" t="s">
        <v>271</v>
      </c>
      <c r="D30" s="77" t="s">
        <v>69</v>
      </c>
      <c r="E30" s="77" t="s">
        <v>270</v>
      </c>
      <c r="F30" s="78" t="s">
        <v>265</v>
      </c>
      <c r="G30" s="58">
        <v>2</v>
      </c>
      <c r="H30" s="58">
        <v>2</v>
      </c>
      <c r="I30" s="66">
        <f>0.384*1.17</f>
        <v>0.44927999999999996</v>
      </c>
      <c r="J30" s="66">
        <f t="shared" si="0"/>
        <v>0.89855999999999991</v>
      </c>
      <c r="K30" s="66">
        <v>0.33</v>
      </c>
      <c r="L30" s="66">
        <f t="shared" si="1"/>
        <v>0.66</v>
      </c>
      <c r="M30" s="66">
        <v>0.33</v>
      </c>
      <c r="N30" s="66">
        <f t="shared" si="2"/>
        <v>0.66</v>
      </c>
      <c r="O30" s="53" t="s">
        <v>269</v>
      </c>
    </row>
    <row r="31" spans="1:15" x14ac:dyDescent="0.2">
      <c r="A31" s="61" t="s">
        <v>27</v>
      </c>
      <c r="B31" s="76" t="s">
        <v>268</v>
      </c>
      <c r="C31" s="76" t="s">
        <v>267</v>
      </c>
      <c r="D31" s="77" t="s">
        <v>69</v>
      </c>
      <c r="E31" s="77" t="s">
        <v>266</v>
      </c>
      <c r="F31" s="78" t="s">
        <v>265</v>
      </c>
      <c r="G31" s="58">
        <v>2</v>
      </c>
      <c r="H31" s="58">
        <v>1</v>
      </c>
      <c r="I31" s="66">
        <f>0.384*1.17</f>
        <v>0.44927999999999996</v>
      </c>
      <c r="J31" s="66">
        <f t="shared" si="0"/>
        <v>0.44927999999999996</v>
      </c>
      <c r="K31" s="66">
        <v>0.33</v>
      </c>
      <c r="L31" s="66">
        <f t="shared" si="1"/>
        <v>0.33</v>
      </c>
      <c r="M31" s="66">
        <v>0.33</v>
      </c>
      <c r="N31" s="66">
        <f t="shared" si="2"/>
        <v>0.33</v>
      </c>
      <c r="O31" s="53" t="s">
        <v>264</v>
      </c>
    </row>
    <row r="32" spans="1:15" x14ac:dyDescent="0.2">
      <c r="A32" s="61" t="s">
        <v>27</v>
      </c>
      <c r="B32" s="76" t="s">
        <v>263</v>
      </c>
      <c r="C32" s="76" t="s">
        <v>262</v>
      </c>
      <c r="D32" s="77" t="s">
        <v>69</v>
      </c>
      <c r="E32" s="77" t="s">
        <v>261</v>
      </c>
      <c r="F32" s="78">
        <v>805</v>
      </c>
      <c r="G32" s="58">
        <v>2</v>
      </c>
      <c r="H32" s="58">
        <v>2</v>
      </c>
      <c r="I32" s="66">
        <v>0.3</v>
      </c>
      <c r="J32" s="66">
        <f t="shared" si="0"/>
        <v>0.6</v>
      </c>
      <c r="K32" s="66">
        <v>0.3</v>
      </c>
      <c r="L32" s="66">
        <f t="shared" si="1"/>
        <v>0.6</v>
      </c>
      <c r="M32" s="66">
        <v>0.25</v>
      </c>
      <c r="N32" s="66">
        <f t="shared" si="2"/>
        <v>0.5</v>
      </c>
      <c r="O32" s="53" t="s">
        <v>260</v>
      </c>
    </row>
    <row r="33" spans="1:15" x14ac:dyDescent="0.2">
      <c r="A33" s="61" t="s">
        <v>27</v>
      </c>
      <c r="B33" s="76" t="s">
        <v>259</v>
      </c>
      <c r="C33" s="76" t="s">
        <v>258</v>
      </c>
      <c r="D33" s="77" t="s">
        <v>69</v>
      </c>
      <c r="E33" s="77" t="s">
        <v>257</v>
      </c>
      <c r="F33" s="78">
        <v>805</v>
      </c>
      <c r="G33" s="58">
        <v>2</v>
      </c>
      <c r="H33" s="58">
        <v>4</v>
      </c>
      <c r="I33" s="66">
        <f>0.25*1.17</f>
        <v>0.29249999999999998</v>
      </c>
      <c r="J33" s="66">
        <f t="shared" si="0"/>
        <v>1.17</v>
      </c>
      <c r="K33" s="66">
        <v>0.25</v>
      </c>
      <c r="L33" s="66">
        <f t="shared" si="1"/>
        <v>1</v>
      </c>
      <c r="M33" s="66">
        <v>0.25</v>
      </c>
      <c r="N33" s="66">
        <f t="shared" si="2"/>
        <v>1</v>
      </c>
      <c r="O33" s="53" t="s">
        <v>256</v>
      </c>
    </row>
    <row r="34" spans="1:15" x14ac:dyDescent="0.2">
      <c r="A34" s="61" t="s">
        <v>27</v>
      </c>
      <c r="B34" s="76" t="s">
        <v>255</v>
      </c>
      <c r="C34" s="76" t="s">
        <v>254</v>
      </c>
      <c r="D34" s="77" t="s">
        <v>69</v>
      </c>
      <c r="E34" s="77" t="s">
        <v>253</v>
      </c>
      <c r="F34" s="78">
        <v>805</v>
      </c>
      <c r="G34" s="58">
        <v>2</v>
      </c>
      <c r="H34" s="58">
        <v>2</v>
      </c>
      <c r="I34" s="66">
        <f>0.249*1.17</f>
        <v>0.29132999999999998</v>
      </c>
      <c r="J34" s="66">
        <f t="shared" si="0"/>
        <v>0.58265999999999996</v>
      </c>
      <c r="K34" s="66">
        <f>0.22*1.17</f>
        <v>0.25739999999999996</v>
      </c>
      <c r="L34" s="66">
        <f t="shared" si="1"/>
        <v>0.51479999999999992</v>
      </c>
      <c r="M34" s="66">
        <f>0.15*1.17</f>
        <v>0.17549999999999999</v>
      </c>
      <c r="N34" s="66">
        <f t="shared" si="2"/>
        <v>0.35099999999999998</v>
      </c>
      <c r="O34" s="53" t="s">
        <v>252</v>
      </c>
    </row>
    <row r="35" spans="1:15" x14ac:dyDescent="0.2">
      <c r="A35" s="61" t="s">
        <v>27</v>
      </c>
      <c r="B35" s="76" t="s">
        <v>251</v>
      </c>
      <c r="C35" s="76" t="s">
        <v>42</v>
      </c>
      <c r="D35" s="77" t="s">
        <v>69</v>
      </c>
      <c r="E35" s="77" t="s">
        <v>41</v>
      </c>
      <c r="F35" s="78" t="s">
        <v>237</v>
      </c>
      <c r="G35" s="58">
        <v>3</v>
      </c>
      <c r="H35" s="58">
        <v>1</v>
      </c>
      <c r="I35" s="66">
        <v>0.25</v>
      </c>
      <c r="J35" s="66">
        <f t="shared" ref="J35:J66" si="3">I35*H35</f>
        <v>0.25</v>
      </c>
      <c r="K35" s="66">
        <v>0.2</v>
      </c>
      <c r="L35" s="66">
        <f t="shared" ref="L35:L66" si="4">K35*H35</f>
        <v>0.2</v>
      </c>
      <c r="M35" s="66">
        <v>0.1</v>
      </c>
      <c r="N35" s="66">
        <f t="shared" ref="N35:N66" si="5">M35*H35</f>
        <v>0.1</v>
      </c>
      <c r="O35" s="53" t="s">
        <v>250</v>
      </c>
    </row>
    <row r="36" spans="1:15" x14ac:dyDescent="0.2">
      <c r="A36" s="61" t="s">
        <v>27</v>
      </c>
      <c r="B36" s="76" t="s">
        <v>249</v>
      </c>
      <c r="C36" s="76" t="s">
        <v>248</v>
      </c>
      <c r="D36" s="77" t="s">
        <v>69</v>
      </c>
      <c r="E36" s="77" t="s">
        <v>247</v>
      </c>
      <c r="F36" s="78" t="s">
        <v>237</v>
      </c>
      <c r="G36" s="58">
        <v>3</v>
      </c>
      <c r="H36" s="58">
        <v>2</v>
      </c>
      <c r="I36" s="66">
        <v>0.35</v>
      </c>
      <c r="J36" s="66">
        <f t="shared" si="3"/>
        <v>0.7</v>
      </c>
      <c r="K36" s="66">
        <v>0.25</v>
      </c>
      <c r="L36" s="66">
        <f t="shared" si="4"/>
        <v>0.5</v>
      </c>
      <c r="M36" s="66">
        <v>0.2</v>
      </c>
      <c r="N36" s="66">
        <f t="shared" si="5"/>
        <v>0.4</v>
      </c>
      <c r="O36" s="53" t="s">
        <v>246</v>
      </c>
    </row>
    <row r="37" spans="1:15" x14ac:dyDescent="0.2">
      <c r="A37" s="61" t="s">
        <v>27</v>
      </c>
      <c r="B37" s="76" t="s">
        <v>245</v>
      </c>
      <c r="C37" s="76" t="s">
        <v>244</v>
      </c>
      <c r="D37" s="77" t="s">
        <v>69</v>
      </c>
      <c r="E37" s="77" t="s">
        <v>243</v>
      </c>
      <c r="F37" s="78" t="s">
        <v>242</v>
      </c>
      <c r="G37" s="58">
        <v>3</v>
      </c>
      <c r="H37" s="58">
        <v>2</v>
      </c>
      <c r="I37" s="66">
        <f>2.01*1.17</f>
        <v>2.3516999999999997</v>
      </c>
      <c r="J37" s="66">
        <f t="shared" si="3"/>
        <v>4.7033999999999994</v>
      </c>
      <c r="K37" s="66">
        <f>1.8*1.17</f>
        <v>2.1059999999999999</v>
      </c>
      <c r="L37" s="66">
        <f t="shared" si="4"/>
        <v>4.2119999999999997</v>
      </c>
      <c r="M37" s="66">
        <f>1.46*1.17</f>
        <v>1.7081999999999999</v>
      </c>
      <c r="N37" s="66">
        <f t="shared" si="5"/>
        <v>3.4163999999999999</v>
      </c>
      <c r="O37" s="53" t="s">
        <v>241</v>
      </c>
    </row>
    <row r="38" spans="1:15" x14ac:dyDescent="0.2">
      <c r="A38" s="61" t="s">
        <v>27</v>
      </c>
      <c r="B38" s="76" t="s">
        <v>240</v>
      </c>
      <c r="C38" s="76" t="s">
        <v>239</v>
      </c>
      <c r="D38" s="77" t="s">
        <v>69</v>
      </c>
      <c r="E38" s="77" t="s">
        <v>238</v>
      </c>
      <c r="F38" s="78" t="s">
        <v>237</v>
      </c>
      <c r="G38" s="58">
        <v>3</v>
      </c>
      <c r="H38" s="58">
        <v>1</v>
      </c>
      <c r="I38" s="66">
        <v>0.25</v>
      </c>
      <c r="J38" s="66">
        <f t="shared" si="3"/>
        <v>0.25</v>
      </c>
      <c r="K38" s="66">
        <v>0.25</v>
      </c>
      <c r="L38" s="66">
        <f t="shared" si="4"/>
        <v>0.25</v>
      </c>
      <c r="M38" s="66">
        <v>0.21</v>
      </c>
      <c r="N38" s="66">
        <f t="shared" si="5"/>
        <v>0.21</v>
      </c>
      <c r="O38" s="53" t="s">
        <v>236</v>
      </c>
    </row>
    <row r="39" spans="1:15" x14ac:dyDescent="0.2">
      <c r="A39" s="61">
        <v>23867</v>
      </c>
      <c r="B39" s="76" t="s">
        <v>235</v>
      </c>
      <c r="C39" s="76" t="s">
        <v>234</v>
      </c>
      <c r="D39" s="77" t="s">
        <v>75</v>
      </c>
      <c r="E39" s="77" t="s">
        <v>233</v>
      </c>
      <c r="F39" s="78">
        <v>603</v>
      </c>
      <c r="G39" s="58">
        <v>2</v>
      </c>
      <c r="H39" s="58">
        <v>4</v>
      </c>
      <c r="I39" s="66">
        <v>0</v>
      </c>
      <c r="J39" s="66">
        <f t="shared" si="3"/>
        <v>0</v>
      </c>
      <c r="K39" s="66">
        <v>0</v>
      </c>
      <c r="L39" s="66">
        <f t="shared" si="4"/>
        <v>0</v>
      </c>
      <c r="M39" s="66">
        <v>0</v>
      </c>
      <c r="N39" s="66">
        <f t="shared" si="5"/>
        <v>0</v>
      </c>
      <c r="O39" s="53" t="s">
        <v>232</v>
      </c>
    </row>
    <row r="40" spans="1:15" ht="38.25" x14ac:dyDescent="0.2">
      <c r="A40" s="61">
        <v>26547</v>
      </c>
      <c r="B40" s="76" t="s">
        <v>231</v>
      </c>
      <c r="C40" s="76" t="s">
        <v>230</v>
      </c>
      <c r="D40" s="77" t="s">
        <v>75</v>
      </c>
      <c r="E40" s="54" t="s">
        <v>229</v>
      </c>
      <c r="F40" s="78">
        <v>603</v>
      </c>
      <c r="G40" s="58">
        <v>2</v>
      </c>
      <c r="H40" s="58">
        <v>15</v>
      </c>
      <c r="I40" s="66">
        <v>0</v>
      </c>
      <c r="J40" s="66">
        <f t="shared" si="3"/>
        <v>0</v>
      </c>
      <c r="K40" s="66">
        <v>0</v>
      </c>
      <c r="L40" s="66">
        <f t="shared" si="4"/>
        <v>0</v>
      </c>
      <c r="M40" s="66">
        <v>0</v>
      </c>
      <c r="N40" s="66">
        <f t="shared" si="5"/>
        <v>0</v>
      </c>
      <c r="O40" s="53" t="s">
        <v>228</v>
      </c>
    </row>
    <row r="41" spans="1:15" x14ac:dyDescent="0.2">
      <c r="A41" s="61">
        <v>23666</v>
      </c>
      <c r="B41" s="76" t="s">
        <v>227</v>
      </c>
      <c r="C41" s="76" t="s">
        <v>226</v>
      </c>
      <c r="D41" s="77" t="s">
        <v>75</v>
      </c>
      <c r="E41" s="77" t="s">
        <v>225</v>
      </c>
      <c r="F41" s="78">
        <v>603</v>
      </c>
      <c r="G41" s="58">
        <v>2</v>
      </c>
      <c r="H41" s="58">
        <v>1</v>
      </c>
      <c r="I41" s="66">
        <v>0</v>
      </c>
      <c r="J41" s="66">
        <f t="shared" si="3"/>
        <v>0</v>
      </c>
      <c r="K41" s="66">
        <v>0</v>
      </c>
      <c r="L41" s="66">
        <f t="shared" si="4"/>
        <v>0</v>
      </c>
      <c r="M41" s="66">
        <v>0</v>
      </c>
      <c r="N41" s="66">
        <f t="shared" si="5"/>
        <v>0</v>
      </c>
      <c r="O41" s="53" t="s">
        <v>224</v>
      </c>
    </row>
    <row r="42" spans="1:15" x14ac:dyDescent="0.2">
      <c r="A42" s="61" t="s">
        <v>27</v>
      </c>
      <c r="B42" s="76" t="s">
        <v>399</v>
      </c>
      <c r="C42" s="76" t="s">
        <v>223</v>
      </c>
      <c r="D42" s="77" t="s">
        <v>75</v>
      </c>
      <c r="E42" s="77" t="s">
        <v>222</v>
      </c>
      <c r="F42" s="78">
        <v>603</v>
      </c>
      <c r="G42" s="58">
        <v>2</v>
      </c>
      <c r="H42" s="58">
        <v>1</v>
      </c>
      <c r="I42" s="66">
        <v>0</v>
      </c>
      <c r="J42" s="66">
        <f t="shared" si="3"/>
        <v>0</v>
      </c>
      <c r="K42" s="66">
        <v>0</v>
      </c>
      <c r="L42" s="66">
        <f t="shared" si="4"/>
        <v>0</v>
      </c>
      <c r="M42" s="66">
        <v>0</v>
      </c>
      <c r="N42" s="66">
        <f t="shared" si="5"/>
        <v>0</v>
      </c>
      <c r="O42" s="53" t="s">
        <v>221</v>
      </c>
    </row>
    <row r="43" spans="1:15" x14ac:dyDescent="0.2">
      <c r="A43" s="61" t="s">
        <v>27</v>
      </c>
      <c r="B43" s="76" t="s">
        <v>400</v>
      </c>
      <c r="C43" s="76" t="s">
        <v>220</v>
      </c>
      <c r="D43" s="77" t="s">
        <v>75</v>
      </c>
      <c r="E43" s="77" t="s">
        <v>219</v>
      </c>
      <c r="F43" s="78">
        <v>603</v>
      </c>
      <c r="G43" s="58">
        <v>2</v>
      </c>
      <c r="H43" s="58">
        <v>2</v>
      </c>
      <c r="I43" s="66">
        <v>0</v>
      </c>
      <c r="J43" s="66">
        <f t="shared" si="3"/>
        <v>0</v>
      </c>
      <c r="K43" s="66">
        <v>0</v>
      </c>
      <c r="L43" s="66">
        <f t="shared" si="4"/>
        <v>0</v>
      </c>
      <c r="M43" s="66">
        <v>0</v>
      </c>
      <c r="N43" s="66">
        <f t="shared" si="5"/>
        <v>0</v>
      </c>
      <c r="O43" s="53" t="s">
        <v>218</v>
      </c>
    </row>
    <row r="44" spans="1:15" x14ac:dyDescent="0.2">
      <c r="A44" s="61">
        <v>4591</v>
      </c>
      <c r="B44" s="76" t="s">
        <v>217</v>
      </c>
      <c r="C44" s="76" t="s">
        <v>216</v>
      </c>
      <c r="D44" s="77" t="s">
        <v>75</v>
      </c>
      <c r="E44" s="77" t="s">
        <v>215</v>
      </c>
      <c r="F44" s="78">
        <v>603</v>
      </c>
      <c r="G44" s="58">
        <v>2</v>
      </c>
      <c r="H44" s="58">
        <v>1</v>
      </c>
      <c r="I44" s="66">
        <v>0</v>
      </c>
      <c r="J44" s="66">
        <f t="shared" si="3"/>
        <v>0</v>
      </c>
      <c r="K44" s="66">
        <v>0</v>
      </c>
      <c r="L44" s="66">
        <f t="shared" si="4"/>
        <v>0</v>
      </c>
      <c r="M44" s="66">
        <v>0</v>
      </c>
      <c r="N44" s="66">
        <f t="shared" si="5"/>
        <v>0</v>
      </c>
      <c r="O44" s="53" t="s">
        <v>214</v>
      </c>
    </row>
    <row r="45" spans="1:15" x14ac:dyDescent="0.2">
      <c r="A45" s="61" t="s">
        <v>27</v>
      </c>
      <c r="B45" s="76" t="s">
        <v>396</v>
      </c>
      <c r="C45" s="76" t="s">
        <v>213</v>
      </c>
      <c r="D45" s="77" t="s">
        <v>75</v>
      </c>
      <c r="E45" s="77" t="s">
        <v>212</v>
      </c>
      <c r="F45" s="78">
        <v>603</v>
      </c>
      <c r="G45" s="58">
        <v>2</v>
      </c>
      <c r="H45" s="58">
        <v>1</v>
      </c>
      <c r="I45" s="66">
        <v>0</v>
      </c>
      <c r="J45" s="66">
        <f t="shared" si="3"/>
        <v>0</v>
      </c>
      <c r="K45" s="66">
        <v>0</v>
      </c>
      <c r="L45" s="66">
        <f t="shared" si="4"/>
        <v>0</v>
      </c>
      <c r="M45" s="66">
        <v>0</v>
      </c>
      <c r="N45" s="66">
        <f t="shared" si="5"/>
        <v>0</v>
      </c>
      <c r="O45" s="53" t="s">
        <v>211</v>
      </c>
    </row>
    <row r="46" spans="1:15" ht="25.5" x14ac:dyDescent="0.2">
      <c r="A46" s="61">
        <v>4597</v>
      </c>
      <c r="B46" s="76" t="s">
        <v>210</v>
      </c>
      <c r="C46" s="76" t="s">
        <v>209</v>
      </c>
      <c r="D46" s="77" t="s">
        <v>75</v>
      </c>
      <c r="E46" s="54" t="s">
        <v>208</v>
      </c>
      <c r="F46" s="78">
        <v>603</v>
      </c>
      <c r="G46" s="58">
        <v>2</v>
      </c>
      <c r="H46" s="58">
        <v>8</v>
      </c>
      <c r="I46" s="66">
        <v>0</v>
      </c>
      <c r="J46" s="66">
        <f t="shared" si="3"/>
        <v>0</v>
      </c>
      <c r="K46" s="66">
        <v>0</v>
      </c>
      <c r="L46" s="66">
        <f t="shared" si="4"/>
        <v>0</v>
      </c>
      <c r="M46" s="66">
        <v>0</v>
      </c>
      <c r="N46" s="66">
        <f t="shared" si="5"/>
        <v>0</v>
      </c>
      <c r="O46" s="53" t="s">
        <v>207</v>
      </c>
    </row>
    <row r="47" spans="1:15" x14ac:dyDescent="0.2">
      <c r="A47" s="61">
        <v>23693</v>
      </c>
      <c r="B47" s="76" t="s">
        <v>206</v>
      </c>
      <c r="C47" s="76" t="s">
        <v>205</v>
      </c>
      <c r="D47" s="77" t="s">
        <v>75</v>
      </c>
      <c r="E47" s="77" t="s">
        <v>204</v>
      </c>
      <c r="F47" s="78">
        <v>603</v>
      </c>
      <c r="G47" s="58">
        <v>2</v>
      </c>
      <c r="H47" s="58">
        <v>4</v>
      </c>
      <c r="I47" s="66">
        <v>0</v>
      </c>
      <c r="J47" s="66">
        <f t="shared" si="3"/>
        <v>0</v>
      </c>
      <c r="K47" s="66">
        <v>0</v>
      </c>
      <c r="L47" s="66">
        <f t="shared" si="4"/>
        <v>0</v>
      </c>
      <c r="M47" s="66">
        <v>0</v>
      </c>
      <c r="N47" s="66">
        <f t="shared" si="5"/>
        <v>0</v>
      </c>
      <c r="O47" s="53" t="s">
        <v>203</v>
      </c>
    </row>
    <row r="48" spans="1:15" ht="38.25" x14ac:dyDescent="0.2">
      <c r="A48" s="61">
        <v>21904</v>
      </c>
      <c r="B48" s="76" t="s">
        <v>202</v>
      </c>
      <c r="C48" s="76" t="s">
        <v>201</v>
      </c>
      <c r="D48" s="77" t="s">
        <v>75</v>
      </c>
      <c r="E48" s="54" t="s">
        <v>200</v>
      </c>
      <c r="F48" s="78">
        <v>603</v>
      </c>
      <c r="G48" s="58">
        <v>2</v>
      </c>
      <c r="H48" s="58">
        <v>14</v>
      </c>
      <c r="I48" s="66">
        <v>0</v>
      </c>
      <c r="J48" s="66">
        <f t="shared" si="3"/>
        <v>0</v>
      </c>
      <c r="K48" s="66">
        <v>0</v>
      </c>
      <c r="L48" s="66">
        <f t="shared" si="4"/>
        <v>0</v>
      </c>
      <c r="M48" s="66">
        <v>0</v>
      </c>
      <c r="N48" s="66">
        <f t="shared" si="5"/>
        <v>0</v>
      </c>
      <c r="O48" s="53" t="s">
        <v>199</v>
      </c>
    </row>
    <row r="49" spans="1:15" x14ac:dyDescent="0.2">
      <c r="A49" s="61" t="s">
        <v>27</v>
      </c>
      <c r="B49" s="76" t="s">
        <v>397</v>
      </c>
      <c r="C49" s="76" t="s">
        <v>198</v>
      </c>
      <c r="D49" s="77" t="s">
        <v>75</v>
      </c>
      <c r="E49" s="77" t="s">
        <v>197</v>
      </c>
      <c r="F49" s="78">
        <v>603</v>
      </c>
      <c r="G49" s="58">
        <v>2</v>
      </c>
      <c r="H49" s="58">
        <v>1</v>
      </c>
      <c r="I49" s="66">
        <v>0</v>
      </c>
      <c r="J49" s="66">
        <f t="shared" si="3"/>
        <v>0</v>
      </c>
      <c r="K49" s="66">
        <v>0</v>
      </c>
      <c r="L49" s="66">
        <f t="shared" si="4"/>
        <v>0</v>
      </c>
      <c r="M49" s="66">
        <v>0</v>
      </c>
      <c r="N49" s="66">
        <f t="shared" si="5"/>
        <v>0</v>
      </c>
      <c r="O49" s="53" t="s">
        <v>196</v>
      </c>
    </row>
    <row r="50" spans="1:15" ht="38.25" x14ac:dyDescent="0.2">
      <c r="A50" s="61">
        <v>23889</v>
      </c>
      <c r="B50" s="76" t="s">
        <v>195</v>
      </c>
      <c r="C50" s="76" t="s">
        <v>194</v>
      </c>
      <c r="D50" s="77" t="s">
        <v>75</v>
      </c>
      <c r="E50" s="54" t="s">
        <v>193</v>
      </c>
      <c r="F50" s="78">
        <v>603</v>
      </c>
      <c r="G50" s="58">
        <v>2</v>
      </c>
      <c r="H50" s="58">
        <v>10</v>
      </c>
      <c r="I50" s="66">
        <v>0</v>
      </c>
      <c r="J50" s="66">
        <f t="shared" si="3"/>
        <v>0</v>
      </c>
      <c r="K50" s="66">
        <v>0</v>
      </c>
      <c r="L50" s="66">
        <f t="shared" si="4"/>
        <v>0</v>
      </c>
      <c r="M50" s="66">
        <v>0</v>
      </c>
      <c r="N50" s="66">
        <f t="shared" si="5"/>
        <v>0</v>
      </c>
      <c r="O50" s="53" t="s">
        <v>192</v>
      </c>
    </row>
    <row r="51" spans="1:15" x14ac:dyDescent="0.2">
      <c r="A51" s="61">
        <v>4584</v>
      </c>
      <c r="B51" s="76" t="s">
        <v>398</v>
      </c>
      <c r="C51" s="76" t="s">
        <v>191</v>
      </c>
      <c r="D51" s="77" t="s">
        <v>75</v>
      </c>
      <c r="E51" s="77" t="s">
        <v>190</v>
      </c>
      <c r="F51" s="78">
        <v>603</v>
      </c>
      <c r="G51" s="58">
        <v>2</v>
      </c>
      <c r="H51" s="58">
        <v>3</v>
      </c>
      <c r="I51" s="66">
        <v>0</v>
      </c>
      <c r="J51" s="66">
        <f t="shared" si="3"/>
        <v>0</v>
      </c>
      <c r="K51" s="66">
        <v>0</v>
      </c>
      <c r="L51" s="66">
        <f t="shared" si="4"/>
        <v>0</v>
      </c>
      <c r="M51" s="66">
        <v>0</v>
      </c>
      <c r="N51" s="66">
        <f t="shared" si="5"/>
        <v>0</v>
      </c>
      <c r="O51" s="53" t="s">
        <v>189</v>
      </c>
    </row>
    <row r="52" spans="1:15" x14ac:dyDescent="0.2">
      <c r="A52" s="61">
        <v>23987</v>
      </c>
      <c r="B52" s="76" t="s">
        <v>188</v>
      </c>
      <c r="C52" s="76" t="s">
        <v>187</v>
      </c>
      <c r="D52" s="77" t="s">
        <v>75</v>
      </c>
      <c r="E52" s="77" t="s">
        <v>186</v>
      </c>
      <c r="F52" s="78">
        <v>603</v>
      </c>
      <c r="G52" s="58">
        <v>2</v>
      </c>
      <c r="H52" s="58">
        <v>2</v>
      </c>
      <c r="I52" s="66">
        <v>0</v>
      </c>
      <c r="J52" s="66">
        <f t="shared" si="3"/>
        <v>0</v>
      </c>
      <c r="K52" s="66">
        <v>0</v>
      </c>
      <c r="L52" s="66">
        <f t="shared" si="4"/>
        <v>0</v>
      </c>
      <c r="M52" s="66">
        <v>0</v>
      </c>
      <c r="N52" s="66">
        <f t="shared" si="5"/>
        <v>0</v>
      </c>
      <c r="O52" s="53" t="s">
        <v>185</v>
      </c>
    </row>
    <row r="53" spans="1:15" x14ac:dyDescent="0.2">
      <c r="A53" s="61">
        <v>24078</v>
      </c>
      <c r="B53" s="76" t="s">
        <v>184</v>
      </c>
      <c r="C53" s="76" t="s">
        <v>183</v>
      </c>
      <c r="D53" s="77" t="s">
        <v>75</v>
      </c>
      <c r="E53" s="77" t="s">
        <v>182</v>
      </c>
      <c r="F53" s="78">
        <v>603</v>
      </c>
      <c r="G53" s="58">
        <v>2</v>
      </c>
      <c r="H53" s="58">
        <v>2</v>
      </c>
      <c r="I53" s="66">
        <v>0</v>
      </c>
      <c r="J53" s="66">
        <f t="shared" si="3"/>
        <v>0</v>
      </c>
      <c r="K53" s="66">
        <v>0</v>
      </c>
      <c r="L53" s="66">
        <f t="shared" si="4"/>
        <v>0</v>
      </c>
      <c r="M53" s="66">
        <v>0</v>
      </c>
      <c r="N53" s="66">
        <f t="shared" si="5"/>
        <v>0</v>
      </c>
      <c r="O53" s="53" t="s">
        <v>181</v>
      </c>
    </row>
    <row r="54" spans="1:15" ht="25.5" x14ac:dyDescent="0.2">
      <c r="A54" s="61" t="s">
        <v>27</v>
      </c>
      <c r="B54" s="76" t="s">
        <v>401</v>
      </c>
      <c r="C54" s="76" t="s">
        <v>180</v>
      </c>
      <c r="D54" s="77" t="s">
        <v>75</v>
      </c>
      <c r="E54" s="54" t="s">
        <v>179</v>
      </c>
      <c r="F54" s="78">
        <v>805</v>
      </c>
      <c r="G54" s="58">
        <v>2</v>
      </c>
      <c r="H54" s="58">
        <v>6</v>
      </c>
      <c r="I54" s="66">
        <v>0</v>
      </c>
      <c r="J54" s="66">
        <f t="shared" si="3"/>
        <v>0</v>
      </c>
      <c r="K54" s="66">
        <v>0</v>
      </c>
      <c r="L54" s="66">
        <f t="shared" si="4"/>
        <v>0</v>
      </c>
      <c r="M54" s="66">
        <v>0</v>
      </c>
      <c r="N54" s="66">
        <f t="shared" si="5"/>
        <v>0</v>
      </c>
      <c r="O54" s="53" t="s">
        <v>178</v>
      </c>
    </row>
    <row r="55" spans="1:15" x14ac:dyDescent="0.2">
      <c r="A55" s="61">
        <v>4682</v>
      </c>
      <c r="B55" s="76" t="s">
        <v>177</v>
      </c>
      <c r="C55" s="76" t="s">
        <v>176</v>
      </c>
      <c r="D55" s="77" t="s">
        <v>75</v>
      </c>
      <c r="E55" s="77" t="s">
        <v>175</v>
      </c>
      <c r="F55" s="78">
        <v>603</v>
      </c>
      <c r="G55" s="58">
        <v>2</v>
      </c>
      <c r="H55" s="58">
        <v>1</v>
      </c>
      <c r="I55" s="66">
        <v>0</v>
      </c>
      <c r="J55" s="66">
        <f t="shared" si="3"/>
        <v>0</v>
      </c>
      <c r="K55" s="66">
        <v>0</v>
      </c>
      <c r="L55" s="66">
        <f t="shared" si="4"/>
        <v>0</v>
      </c>
      <c r="M55" s="66">
        <v>0</v>
      </c>
      <c r="N55" s="66">
        <f t="shared" si="5"/>
        <v>0</v>
      </c>
      <c r="O55" s="53" t="s">
        <v>174</v>
      </c>
    </row>
    <row r="56" spans="1:15" x14ac:dyDescent="0.2">
      <c r="A56" s="61">
        <v>23865</v>
      </c>
      <c r="B56" s="76" t="s">
        <v>173</v>
      </c>
      <c r="C56" s="76" t="s">
        <v>172</v>
      </c>
      <c r="D56" s="77" t="s">
        <v>75</v>
      </c>
      <c r="E56" s="77" t="s">
        <v>171</v>
      </c>
      <c r="F56" s="78">
        <v>603</v>
      </c>
      <c r="G56" s="58">
        <v>2</v>
      </c>
      <c r="H56" s="58">
        <v>2</v>
      </c>
      <c r="I56" s="66">
        <v>0</v>
      </c>
      <c r="J56" s="66">
        <f t="shared" si="3"/>
        <v>0</v>
      </c>
      <c r="K56" s="66">
        <v>0</v>
      </c>
      <c r="L56" s="66">
        <f t="shared" si="4"/>
        <v>0</v>
      </c>
      <c r="M56" s="66">
        <v>0</v>
      </c>
      <c r="N56" s="66">
        <f t="shared" si="5"/>
        <v>0</v>
      </c>
      <c r="O56" s="53" t="s">
        <v>170</v>
      </c>
    </row>
    <row r="57" spans="1:15" x14ac:dyDescent="0.2">
      <c r="A57" s="61" t="s">
        <v>27</v>
      </c>
      <c r="B57" s="76" t="s">
        <v>402</v>
      </c>
      <c r="C57" s="76" t="s">
        <v>169</v>
      </c>
      <c r="D57" s="77" t="s">
        <v>75</v>
      </c>
      <c r="E57" s="77" t="s">
        <v>168</v>
      </c>
      <c r="F57" s="78">
        <v>603</v>
      </c>
      <c r="G57" s="58">
        <v>2</v>
      </c>
      <c r="H57" s="58">
        <v>2</v>
      </c>
      <c r="I57" s="66">
        <v>0</v>
      </c>
      <c r="J57" s="66">
        <f t="shared" si="3"/>
        <v>0</v>
      </c>
      <c r="K57" s="66">
        <v>0</v>
      </c>
      <c r="L57" s="66">
        <f t="shared" si="4"/>
        <v>0</v>
      </c>
      <c r="M57" s="66">
        <v>0</v>
      </c>
      <c r="N57" s="66">
        <f t="shared" si="5"/>
        <v>0</v>
      </c>
      <c r="O57" s="53" t="s">
        <v>167</v>
      </c>
    </row>
    <row r="58" spans="1:15" x14ac:dyDescent="0.2">
      <c r="A58" s="61">
        <v>23694</v>
      </c>
      <c r="B58" s="76" t="s">
        <v>166</v>
      </c>
      <c r="C58" s="76" t="s">
        <v>165</v>
      </c>
      <c r="D58" s="77" t="s">
        <v>75</v>
      </c>
      <c r="E58" s="77" t="s">
        <v>164</v>
      </c>
      <c r="F58" s="78">
        <v>603</v>
      </c>
      <c r="G58" s="58">
        <v>2</v>
      </c>
      <c r="H58" s="58">
        <v>2</v>
      </c>
      <c r="I58" s="66">
        <v>0</v>
      </c>
      <c r="J58" s="66">
        <f t="shared" si="3"/>
        <v>0</v>
      </c>
      <c r="K58" s="66">
        <v>0</v>
      </c>
      <c r="L58" s="66">
        <f t="shared" si="4"/>
        <v>0</v>
      </c>
      <c r="M58" s="66">
        <v>0</v>
      </c>
      <c r="N58" s="66">
        <f t="shared" si="5"/>
        <v>0</v>
      </c>
      <c r="O58" s="53" t="s">
        <v>163</v>
      </c>
    </row>
    <row r="59" spans="1:15" ht="25.5" x14ac:dyDescent="0.2">
      <c r="A59" s="61">
        <v>23502</v>
      </c>
      <c r="B59" s="76" t="s">
        <v>162</v>
      </c>
      <c r="C59" s="76" t="s">
        <v>161</v>
      </c>
      <c r="D59" s="77" t="s">
        <v>75</v>
      </c>
      <c r="E59" s="54" t="s">
        <v>160</v>
      </c>
      <c r="F59" s="78">
        <v>603</v>
      </c>
      <c r="G59" s="58">
        <v>2</v>
      </c>
      <c r="H59" s="58">
        <v>7</v>
      </c>
      <c r="I59" s="66">
        <v>0</v>
      </c>
      <c r="J59" s="66">
        <f t="shared" si="3"/>
        <v>0</v>
      </c>
      <c r="K59" s="66">
        <v>0</v>
      </c>
      <c r="L59" s="66">
        <f t="shared" si="4"/>
        <v>0</v>
      </c>
      <c r="M59" s="66">
        <v>0</v>
      </c>
      <c r="N59" s="66">
        <f t="shared" si="5"/>
        <v>0</v>
      </c>
      <c r="O59" s="53" t="s">
        <v>159</v>
      </c>
    </row>
    <row r="60" spans="1:15" x14ac:dyDescent="0.2">
      <c r="A60" s="61">
        <v>23688</v>
      </c>
      <c r="B60" s="76" t="s">
        <v>158</v>
      </c>
      <c r="C60" s="76" t="s">
        <v>157</v>
      </c>
      <c r="D60" s="77" t="s">
        <v>75</v>
      </c>
      <c r="E60" s="77" t="s">
        <v>156</v>
      </c>
      <c r="F60" s="78">
        <v>603</v>
      </c>
      <c r="G60" s="58">
        <v>2</v>
      </c>
      <c r="H60" s="58">
        <v>2</v>
      </c>
      <c r="I60" s="66">
        <v>0</v>
      </c>
      <c r="J60" s="66">
        <f t="shared" si="3"/>
        <v>0</v>
      </c>
      <c r="K60" s="66">
        <v>0</v>
      </c>
      <c r="L60" s="66">
        <f t="shared" si="4"/>
        <v>0</v>
      </c>
      <c r="M60" s="66">
        <v>0</v>
      </c>
      <c r="N60" s="66">
        <f t="shared" si="5"/>
        <v>0</v>
      </c>
      <c r="O60" s="53" t="s">
        <v>155</v>
      </c>
    </row>
    <row r="61" spans="1:15" x14ac:dyDescent="0.2">
      <c r="A61" s="61" t="s">
        <v>27</v>
      </c>
      <c r="B61" s="76" t="s">
        <v>403</v>
      </c>
      <c r="C61" s="76" t="s">
        <v>154</v>
      </c>
      <c r="D61" s="77" t="s">
        <v>75</v>
      </c>
      <c r="E61" s="77" t="s">
        <v>153</v>
      </c>
      <c r="F61" s="78">
        <v>1206</v>
      </c>
      <c r="G61" s="58">
        <v>2</v>
      </c>
      <c r="H61" s="58">
        <v>1</v>
      </c>
      <c r="I61" s="66">
        <v>0.1</v>
      </c>
      <c r="J61" s="66">
        <f t="shared" si="3"/>
        <v>0.1</v>
      </c>
      <c r="K61" s="66">
        <v>0.1</v>
      </c>
      <c r="L61" s="66">
        <f t="shared" si="4"/>
        <v>0.1</v>
      </c>
      <c r="M61" s="66">
        <v>0.1</v>
      </c>
      <c r="N61" s="66">
        <f t="shared" si="5"/>
        <v>0.1</v>
      </c>
      <c r="O61" s="53" t="s">
        <v>152</v>
      </c>
    </row>
    <row r="62" spans="1:15" x14ac:dyDescent="0.2">
      <c r="A62" s="61" t="s">
        <v>27</v>
      </c>
      <c r="B62" s="76" t="s">
        <v>151</v>
      </c>
      <c r="C62" s="76" t="s">
        <v>150</v>
      </c>
      <c r="D62" s="77" t="s">
        <v>69</v>
      </c>
      <c r="E62" s="77" t="s">
        <v>149</v>
      </c>
      <c r="F62" s="78" t="s">
        <v>145</v>
      </c>
      <c r="G62" s="58">
        <v>5</v>
      </c>
      <c r="H62" s="58">
        <v>1</v>
      </c>
      <c r="I62" s="66">
        <v>1.9</v>
      </c>
      <c r="J62" s="66">
        <f t="shared" si="3"/>
        <v>1.9</v>
      </c>
      <c r="K62" s="66">
        <v>1.8</v>
      </c>
      <c r="L62" s="66">
        <f t="shared" si="4"/>
        <v>1.8</v>
      </c>
      <c r="M62" s="66">
        <v>1.5</v>
      </c>
      <c r="N62" s="66">
        <f t="shared" si="5"/>
        <v>1.5</v>
      </c>
      <c r="O62" s="53" t="s">
        <v>148</v>
      </c>
    </row>
    <row r="63" spans="1:15" x14ac:dyDescent="0.2">
      <c r="A63" s="61" t="s">
        <v>27</v>
      </c>
      <c r="B63" s="76" t="s">
        <v>147</v>
      </c>
      <c r="C63" s="76" t="s">
        <v>407</v>
      </c>
      <c r="D63" s="77" t="s">
        <v>69</v>
      </c>
      <c r="E63" s="77" t="s">
        <v>146</v>
      </c>
      <c r="F63" s="78" t="s">
        <v>145</v>
      </c>
      <c r="G63" s="58">
        <v>5</v>
      </c>
      <c r="H63" s="58">
        <v>1</v>
      </c>
      <c r="I63" s="66">
        <v>3.6</v>
      </c>
      <c r="J63" s="66">
        <f t="shared" si="3"/>
        <v>3.6</v>
      </c>
      <c r="K63" s="66">
        <v>3.6</v>
      </c>
      <c r="L63" s="66">
        <f t="shared" si="4"/>
        <v>3.6</v>
      </c>
      <c r="M63" s="66">
        <v>3.25</v>
      </c>
      <c r="N63" s="66">
        <f t="shared" si="5"/>
        <v>3.25</v>
      </c>
      <c r="O63" s="53" t="s">
        <v>144</v>
      </c>
    </row>
    <row r="64" spans="1:15" x14ac:dyDescent="0.2">
      <c r="A64" s="61" t="s">
        <v>27</v>
      </c>
      <c r="B64" s="76" t="s">
        <v>143</v>
      </c>
      <c r="C64" s="76" t="s">
        <v>142</v>
      </c>
      <c r="D64" s="77" t="s">
        <v>69</v>
      </c>
      <c r="E64" s="77" t="s">
        <v>141</v>
      </c>
      <c r="F64" s="78" t="s">
        <v>140</v>
      </c>
      <c r="G64" s="58">
        <v>8</v>
      </c>
      <c r="H64" s="58">
        <v>1</v>
      </c>
      <c r="I64" s="66">
        <v>0.4</v>
      </c>
      <c r="J64" s="66">
        <f t="shared" si="3"/>
        <v>0.4</v>
      </c>
      <c r="K64" s="66">
        <v>0.4</v>
      </c>
      <c r="L64" s="66">
        <f t="shared" si="4"/>
        <v>0.4</v>
      </c>
      <c r="M64" s="66">
        <v>0.4</v>
      </c>
      <c r="N64" s="66">
        <f t="shared" si="5"/>
        <v>0.4</v>
      </c>
      <c r="O64" s="53" t="s">
        <v>139</v>
      </c>
    </row>
    <row r="65" spans="1:15" x14ac:dyDescent="0.2">
      <c r="A65" s="61" t="s">
        <v>27</v>
      </c>
      <c r="B65" s="76" t="s">
        <v>138</v>
      </c>
      <c r="C65" s="76" t="s">
        <v>137</v>
      </c>
      <c r="D65" s="77" t="s">
        <v>69</v>
      </c>
      <c r="E65" s="77" t="s">
        <v>136</v>
      </c>
      <c r="F65" s="78" t="s">
        <v>135</v>
      </c>
      <c r="G65" s="58">
        <v>144</v>
      </c>
      <c r="H65" s="58">
        <v>1</v>
      </c>
      <c r="I65" s="66">
        <f>35.52*1.17</f>
        <v>41.558399999999999</v>
      </c>
      <c r="J65" s="66">
        <f t="shared" si="3"/>
        <v>41.558399999999999</v>
      </c>
      <c r="K65" s="66">
        <f>35.52*1.17</f>
        <v>41.558399999999999</v>
      </c>
      <c r="L65" s="66">
        <f t="shared" si="4"/>
        <v>41.558399999999999</v>
      </c>
      <c r="M65" s="66">
        <f>35.52*1.17</f>
        <v>41.558399999999999</v>
      </c>
      <c r="N65" s="66">
        <f t="shared" si="5"/>
        <v>41.558399999999999</v>
      </c>
      <c r="O65" s="53" t="s">
        <v>134</v>
      </c>
    </row>
    <row r="66" spans="1:15" x14ac:dyDescent="0.2">
      <c r="A66" s="61" t="s">
        <v>27</v>
      </c>
      <c r="B66" s="76" t="s">
        <v>133</v>
      </c>
      <c r="C66" s="76" t="s">
        <v>132</v>
      </c>
      <c r="D66" s="77" t="s">
        <v>69</v>
      </c>
      <c r="E66" s="77" t="s">
        <v>131</v>
      </c>
      <c r="F66" s="78" t="s">
        <v>107</v>
      </c>
      <c r="G66" s="58">
        <v>8</v>
      </c>
      <c r="H66" s="58">
        <v>3</v>
      </c>
      <c r="I66" s="66">
        <v>1.1000000000000001</v>
      </c>
      <c r="J66" s="66">
        <f t="shared" si="3"/>
        <v>3.3000000000000003</v>
      </c>
      <c r="K66" s="66">
        <v>1</v>
      </c>
      <c r="L66" s="66">
        <f t="shared" si="4"/>
        <v>3</v>
      </c>
      <c r="M66" s="66">
        <v>0.9</v>
      </c>
      <c r="N66" s="66">
        <f t="shared" si="5"/>
        <v>2.7</v>
      </c>
      <c r="O66" s="53" t="s">
        <v>130</v>
      </c>
    </row>
    <row r="67" spans="1:15" x14ac:dyDescent="0.2">
      <c r="A67" s="61" t="s">
        <v>27</v>
      </c>
      <c r="B67" s="76" t="s">
        <v>129</v>
      </c>
      <c r="C67" s="76" t="s">
        <v>408</v>
      </c>
      <c r="D67" s="77" t="s">
        <v>69</v>
      </c>
      <c r="E67" s="77" t="s">
        <v>128</v>
      </c>
      <c r="F67" s="78" t="s">
        <v>127</v>
      </c>
      <c r="G67" s="58">
        <v>48</v>
      </c>
      <c r="H67" s="58">
        <v>1</v>
      </c>
      <c r="I67" s="66">
        <f>3.4*1.17</f>
        <v>3.9779999999999998</v>
      </c>
      <c r="J67" s="66">
        <f t="shared" ref="J67:J98" si="6">I67*H67</f>
        <v>3.9779999999999998</v>
      </c>
      <c r="K67" s="66">
        <f>2.86*1.17</f>
        <v>3.3461999999999996</v>
      </c>
      <c r="L67" s="66">
        <f t="shared" ref="L67:L98" si="7">K67*H67</f>
        <v>3.3461999999999996</v>
      </c>
      <c r="M67" s="66">
        <f>2.53*1.17</f>
        <v>2.9600999999999997</v>
      </c>
      <c r="N67" s="66">
        <f t="shared" ref="N67:N98" si="8">M67*H67</f>
        <v>2.9600999999999997</v>
      </c>
      <c r="O67" s="53" t="s">
        <v>126</v>
      </c>
    </row>
    <row r="68" spans="1:15" x14ac:dyDescent="0.2">
      <c r="A68" s="61" t="s">
        <v>27</v>
      </c>
      <c r="B68" s="76" t="s">
        <v>125</v>
      </c>
      <c r="C68" s="76" t="s">
        <v>404</v>
      </c>
      <c r="D68" s="77" t="s">
        <v>69</v>
      </c>
      <c r="E68" s="77" t="s">
        <v>124</v>
      </c>
      <c r="F68" s="78" t="s">
        <v>123</v>
      </c>
      <c r="G68" s="58">
        <v>24</v>
      </c>
      <c r="H68" s="58">
        <v>1</v>
      </c>
      <c r="I68" s="66">
        <f>2.9*1.17</f>
        <v>3.3929999999999998</v>
      </c>
      <c r="J68" s="66">
        <f t="shared" si="6"/>
        <v>3.3929999999999998</v>
      </c>
      <c r="K68" s="66">
        <f>2.6*1.17</f>
        <v>3.0419999999999998</v>
      </c>
      <c r="L68" s="66">
        <f t="shared" si="7"/>
        <v>3.0419999999999998</v>
      </c>
      <c r="M68" s="66">
        <f>2.34*1.17</f>
        <v>2.7377999999999996</v>
      </c>
      <c r="N68" s="66">
        <f t="shared" si="8"/>
        <v>2.7377999999999996</v>
      </c>
      <c r="O68" s="53" t="s">
        <v>122</v>
      </c>
    </row>
    <row r="69" spans="1:15" x14ac:dyDescent="0.2">
      <c r="A69" s="61" t="s">
        <v>27</v>
      </c>
      <c r="B69" s="76" t="s">
        <v>121</v>
      </c>
      <c r="C69" s="76" t="s">
        <v>406</v>
      </c>
      <c r="D69" s="77" t="s">
        <v>69</v>
      </c>
      <c r="E69" s="77" t="s">
        <v>120</v>
      </c>
      <c r="F69" s="78" t="s">
        <v>119</v>
      </c>
      <c r="G69" s="58">
        <v>64</v>
      </c>
      <c r="H69" s="58">
        <v>1</v>
      </c>
      <c r="I69" s="66">
        <v>35</v>
      </c>
      <c r="J69" s="66">
        <f t="shared" si="6"/>
        <v>35</v>
      </c>
      <c r="K69" s="66">
        <v>33</v>
      </c>
      <c r="L69" s="66">
        <f t="shared" si="7"/>
        <v>33</v>
      </c>
      <c r="M69" s="66">
        <v>30</v>
      </c>
      <c r="N69" s="66">
        <f t="shared" si="8"/>
        <v>30</v>
      </c>
      <c r="O69" s="53" t="s">
        <v>118</v>
      </c>
    </row>
    <row r="70" spans="1:15" x14ac:dyDescent="0.2">
      <c r="A70" s="61" t="s">
        <v>27</v>
      </c>
      <c r="B70" s="76" t="s">
        <v>117</v>
      </c>
      <c r="C70" s="76" t="s">
        <v>405</v>
      </c>
      <c r="D70" s="77" t="s">
        <v>69</v>
      </c>
      <c r="E70" s="77" t="s">
        <v>116</v>
      </c>
      <c r="F70" s="78" t="s">
        <v>107</v>
      </c>
      <c r="G70" s="58">
        <v>8</v>
      </c>
      <c r="H70" s="58">
        <v>1</v>
      </c>
      <c r="I70" s="66">
        <f>4.07*1.17</f>
        <v>4.7618999999999998</v>
      </c>
      <c r="J70" s="66">
        <f t="shared" si="6"/>
        <v>4.7618999999999998</v>
      </c>
      <c r="K70" s="66">
        <f>3.65*1.17</f>
        <v>4.2704999999999993</v>
      </c>
      <c r="L70" s="66">
        <f t="shared" si="7"/>
        <v>4.2704999999999993</v>
      </c>
      <c r="M70" s="66">
        <f>3.4*1.17</f>
        <v>3.9779999999999998</v>
      </c>
      <c r="N70" s="66">
        <f t="shared" si="8"/>
        <v>3.9779999999999998</v>
      </c>
      <c r="O70" s="53" t="s">
        <v>115</v>
      </c>
    </row>
    <row r="71" spans="1:15" x14ac:dyDescent="0.2">
      <c r="A71" s="61" t="s">
        <v>27</v>
      </c>
      <c r="B71" s="76" t="s">
        <v>114</v>
      </c>
      <c r="C71" s="76" t="s">
        <v>113</v>
      </c>
      <c r="D71" s="77" t="s">
        <v>69</v>
      </c>
      <c r="E71" s="77" t="s">
        <v>112</v>
      </c>
      <c r="F71" s="78" t="s">
        <v>111</v>
      </c>
      <c r="G71" s="58">
        <v>6</v>
      </c>
      <c r="H71" s="58">
        <v>2</v>
      </c>
      <c r="I71" s="66">
        <v>0.87</v>
      </c>
      <c r="J71" s="66">
        <f t="shared" si="6"/>
        <v>1.74</v>
      </c>
      <c r="K71" s="66">
        <v>0.87</v>
      </c>
      <c r="L71" s="66">
        <f t="shared" si="7"/>
        <v>1.74</v>
      </c>
      <c r="M71" s="66">
        <v>0.87</v>
      </c>
      <c r="N71" s="66">
        <f t="shared" si="8"/>
        <v>1.74</v>
      </c>
      <c r="O71" s="53" t="s">
        <v>110</v>
      </c>
    </row>
    <row r="72" spans="1:15" x14ac:dyDescent="0.2">
      <c r="A72" s="61" t="s">
        <v>27</v>
      </c>
      <c r="B72" s="76" t="s">
        <v>91</v>
      </c>
      <c r="C72" s="76" t="s">
        <v>109</v>
      </c>
      <c r="D72" s="77" t="s">
        <v>69</v>
      </c>
      <c r="E72" s="77" t="s">
        <v>108</v>
      </c>
      <c r="F72" s="78" t="s">
        <v>107</v>
      </c>
      <c r="G72" s="58">
        <v>8</v>
      </c>
      <c r="H72" s="58">
        <v>1</v>
      </c>
      <c r="I72" s="66">
        <v>0.4</v>
      </c>
      <c r="J72" s="66">
        <f t="shared" si="6"/>
        <v>0.4</v>
      </c>
      <c r="K72" s="66">
        <v>0.35</v>
      </c>
      <c r="L72" s="66">
        <f t="shared" si="7"/>
        <v>0.35</v>
      </c>
      <c r="M72" s="66">
        <v>0.32</v>
      </c>
      <c r="N72" s="66">
        <f t="shared" si="8"/>
        <v>0.32</v>
      </c>
      <c r="O72" s="53" t="s">
        <v>106</v>
      </c>
    </row>
    <row r="73" spans="1:15" x14ac:dyDescent="0.2">
      <c r="A73" s="61" t="s">
        <v>27</v>
      </c>
      <c r="B73" s="76" t="s">
        <v>105</v>
      </c>
      <c r="C73" s="76" t="s">
        <v>409</v>
      </c>
      <c r="D73" s="77" t="s">
        <v>69</v>
      </c>
      <c r="E73" s="77" t="s">
        <v>104</v>
      </c>
      <c r="F73" s="78" t="s">
        <v>103</v>
      </c>
      <c r="G73" s="58">
        <v>8</v>
      </c>
      <c r="H73" s="58">
        <v>1</v>
      </c>
      <c r="I73" s="66">
        <f>1.83*1.17</f>
        <v>2.1410999999999998</v>
      </c>
      <c r="J73" s="66">
        <f t="shared" si="6"/>
        <v>2.1410999999999998</v>
      </c>
      <c r="K73" s="66">
        <f>1.76*1.17</f>
        <v>2.0591999999999997</v>
      </c>
      <c r="L73" s="66">
        <f t="shared" si="7"/>
        <v>2.0591999999999997</v>
      </c>
      <c r="M73" s="66">
        <f>1.76*1.17</f>
        <v>2.0591999999999997</v>
      </c>
      <c r="N73" s="66">
        <f t="shared" si="8"/>
        <v>2.0591999999999997</v>
      </c>
      <c r="O73" s="53" t="s">
        <v>102</v>
      </c>
    </row>
    <row r="74" spans="1:15" x14ac:dyDescent="0.2">
      <c r="A74" s="61" t="s">
        <v>27</v>
      </c>
      <c r="B74" s="76" t="s">
        <v>101</v>
      </c>
      <c r="C74" s="76" t="s">
        <v>100</v>
      </c>
      <c r="D74" s="77" t="s">
        <v>69</v>
      </c>
      <c r="E74" s="77" t="s">
        <v>99</v>
      </c>
      <c r="F74" s="78" t="s">
        <v>98</v>
      </c>
      <c r="G74" s="58">
        <v>6</v>
      </c>
      <c r="H74" s="58">
        <v>1</v>
      </c>
      <c r="I74" s="66">
        <v>0.9</v>
      </c>
      <c r="J74" s="66">
        <f t="shared" si="6"/>
        <v>0.9</v>
      </c>
      <c r="K74" s="66">
        <v>0.8</v>
      </c>
      <c r="L74" s="66">
        <f t="shared" si="7"/>
        <v>0.8</v>
      </c>
      <c r="M74" s="66">
        <v>0.55000000000000004</v>
      </c>
      <c r="N74" s="66">
        <f t="shared" si="8"/>
        <v>0.55000000000000004</v>
      </c>
      <c r="O74" s="53" t="s">
        <v>97</v>
      </c>
    </row>
    <row r="75" spans="1:15" x14ac:dyDescent="0.2">
      <c r="A75" s="61" t="s">
        <v>27</v>
      </c>
      <c r="B75" s="76" t="s">
        <v>96</v>
      </c>
      <c r="C75" s="76" t="s">
        <v>95</v>
      </c>
      <c r="D75" s="77" t="s">
        <v>69</v>
      </c>
      <c r="E75" s="77" t="s">
        <v>94</v>
      </c>
      <c r="F75" s="78" t="s">
        <v>93</v>
      </c>
      <c r="G75" s="58">
        <v>10</v>
      </c>
      <c r="H75" s="58">
        <v>1</v>
      </c>
      <c r="I75" s="66">
        <f>1.386*1.17</f>
        <v>1.6216199999999998</v>
      </c>
      <c r="J75" s="66">
        <f t="shared" si="6"/>
        <v>1.6216199999999998</v>
      </c>
      <c r="K75" s="66">
        <f>1.26*1.17</f>
        <v>1.4742</v>
      </c>
      <c r="L75" s="66">
        <f t="shared" si="7"/>
        <v>1.4742</v>
      </c>
      <c r="M75" s="66">
        <f>1.115*1.17</f>
        <v>1.3045499999999999</v>
      </c>
      <c r="N75" s="66">
        <f t="shared" si="8"/>
        <v>1.3045499999999999</v>
      </c>
      <c r="O75" s="53" t="s">
        <v>92</v>
      </c>
    </row>
    <row r="76" spans="1:15" x14ac:dyDescent="0.2">
      <c r="A76" s="61" t="s">
        <v>27</v>
      </c>
      <c r="B76" s="76" t="s">
        <v>91</v>
      </c>
      <c r="C76" s="76" t="s">
        <v>90</v>
      </c>
      <c r="D76" s="77" t="s">
        <v>69</v>
      </c>
      <c r="E76" s="77" t="s">
        <v>89</v>
      </c>
      <c r="F76" s="78" t="s">
        <v>79</v>
      </c>
      <c r="G76" s="58">
        <v>5</v>
      </c>
      <c r="H76" s="58">
        <v>1</v>
      </c>
      <c r="I76" s="66">
        <v>0.6</v>
      </c>
      <c r="J76" s="66">
        <f t="shared" si="6"/>
        <v>0.6</v>
      </c>
      <c r="K76" s="66">
        <v>0.5</v>
      </c>
      <c r="L76" s="66">
        <f t="shared" si="7"/>
        <v>0.5</v>
      </c>
      <c r="M76" s="66">
        <v>0.5</v>
      </c>
      <c r="N76" s="66">
        <f t="shared" si="8"/>
        <v>0.5</v>
      </c>
      <c r="O76" s="53" t="s">
        <v>88</v>
      </c>
    </row>
    <row r="77" spans="1:15" x14ac:dyDescent="0.2">
      <c r="A77" s="61" t="s">
        <v>27</v>
      </c>
      <c r="B77" s="76" t="s">
        <v>87</v>
      </c>
      <c r="C77" s="76" t="s">
        <v>86</v>
      </c>
      <c r="D77" s="77" t="s">
        <v>69</v>
      </c>
      <c r="E77" s="77" t="s">
        <v>85</v>
      </c>
      <c r="F77" s="78" t="s">
        <v>84</v>
      </c>
      <c r="G77" s="58">
        <v>14</v>
      </c>
      <c r="H77" s="58">
        <v>1</v>
      </c>
      <c r="I77" s="66">
        <v>0.4</v>
      </c>
      <c r="J77" s="66">
        <f t="shared" si="6"/>
        <v>0.4</v>
      </c>
      <c r="K77" s="66">
        <v>0.3</v>
      </c>
      <c r="L77" s="66">
        <f t="shared" si="7"/>
        <v>0.3</v>
      </c>
      <c r="M77" s="66">
        <v>0.25</v>
      </c>
      <c r="N77" s="66">
        <f t="shared" si="8"/>
        <v>0.25</v>
      </c>
      <c r="O77" s="53" t="s">
        <v>83</v>
      </c>
    </row>
    <row r="78" spans="1:15" x14ac:dyDescent="0.2">
      <c r="A78" s="61" t="s">
        <v>27</v>
      </c>
      <c r="B78" s="76" t="s">
        <v>82</v>
      </c>
      <c r="C78" s="76" t="s">
        <v>81</v>
      </c>
      <c r="D78" s="77" t="s">
        <v>69</v>
      </c>
      <c r="E78" s="77" t="s">
        <v>80</v>
      </c>
      <c r="F78" s="78" t="s">
        <v>79</v>
      </c>
      <c r="G78" s="58">
        <v>5</v>
      </c>
      <c r="H78" s="58">
        <v>1</v>
      </c>
      <c r="I78" s="66">
        <f>0.6*1.17</f>
        <v>0.70199999999999996</v>
      </c>
      <c r="J78" s="66">
        <f t="shared" si="6"/>
        <v>0.70199999999999996</v>
      </c>
      <c r="K78" s="66">
        <f>0.53*1.17</f>
        <v>0.62009999999999998</v>
      </c>
      <c r="L78" s="66">
        <f t="shared" si="7"/>
        <v>0.62009999999999998</v>
      </c>
      <c r="M78" s="66">
        <v>0.57999999999999996</v>
      </c>
      <c r="N78" s="66">
        <f t="shared" si="8"/>
        <v>0.57999999999999996</v>
      </c>
      <c r="O78" s="53" t="s">
        <v>78</v>
      </c>
    </row>
    <row r="79" spans="1:15" x14ac:dyDescent="0.2">
      <c r="A79" s="61" t="s">
        <v>27</v>
      </c>
      <c r="B79" s="76" t="s">
        <v>77</v>
      </c>
      <c r="C79" s="76" t="s">
        <v>76</v>
      </c>
      <c r="D79" s="77" t="s">
        <v>75</v>
      </c>
      <c r="E79" s="77" t="s">
        <v>74</v>
      </c>
      <c r="F79" s="78" t="s">
        <v>73</v>
      </c>
      <c r="G79" s="58">
        <v>4</v>
      </c>
      <c r="H79" s="58">
        <v>1</v>
      </c>
      <c r="I79" s="66">
        <v>0.2</v>
      </c>
      <c r="J79" s="66">
        <f t="shared" si="6"/>
        <v>0.2</v>
      </c>
      <c r="K79" s="66">
        <v>0.2</v>
      </c>
      <c r="L79" s="66">
        <f t="shared" si="7"/>
        <v>0.2</v>
      </c>
      <c r="M79" s="66">
        <v>0.17</v>
      </c>
      <c r="N79" s="66">
        <f t="shared" si="8"/>
        <v>0.17</v>
      </c>
      <c r="O79" s="53" t="s">
        <v>72</v>
      </c>
    </row>
    <row r="80" spans="1:15" x14ac:dyDescent="0.2">
      <c r="A80" s="61" t="s">
        <v>27</v>
      </c>
      <c r="B80" s="76" t="s">
        <v>71</v>
      </c>
      <c r="C80" s="76" t="s">
        <v>70</v>
      </c>
      <c r="D80" s="77" t="s">
        <v>69</v>
      </c>
      <c r="E80" s="77" t="s">
        <v>68</v>
      </c>
      <c r="F80" s="78" t="s">
        <v>67</v>
      </c>
      <c r="G80" s="58">
        <v>4</v>
      </c>
      <c r="H80" s="58">
        <v>1</v>
      </c>
      <c r="I80" s="66">
        <f>2.27*1.17</f>
        <v>2.6558999999999999</v>
      </c>
      <c r="J80" s="66">
        <f t="shared" si="6"/>
        <v>2.6558999999999999</v>
      </c>
      <c r="K80" s="66">
        <f>2.21*1.17</f>
        <v>2.5856999999999997</v>
      </c>
      <c r="L80" s="66">
        <f t="shared" si="7"/>
        <v>2.5856999999999997</v>
      </c>
      <c r="M80" s="66">
        <f>2.21*1.17</f>
        <v>2.5856999999999997</v>
      </c>
      <c r="N80" s="66">
        <f t="shared" si="8"/>
        <v>2.5856999999999997</v>
      </c>
      <c r="O80" s="53" t="s">
        <v>66</v>
      </c>
    </row>
    <row r="82" spans="1:15" x14ac:dyDescent="0.2">
      <c r="A82" s="62" t="s">
        <v>65</v>
      </c>
      <c r="B82" s="69">
        <v>76</v>
      </c>
      <c r="C82" s="79" t="s">
        <v>64</v>
      </c>
      <c r="D82" s="70">
        <v>2</v>
      </c>
      <c r="I82" s="67" t="s">
        <v>410</v>
      </c>
      <c r="J82" s="68">
        <f>SUM(J3:J81)</f>
        <v>134.39149999999998</v>
      </c>
      <c r="K82" s="68"/>
      <c r="L82" s="68">
        <f>SUM(L3:L81)</f>
        <v>127.31991999999998</v>
      </c>
      <c r="M82" s="68"/>
      <c r="N82" s="68">
        <f>SUM(N3:N81)</f>
        <v>117.89263999999999</v>
      </c>
    </row>
    <row r="83" spans="1:15" x14ac:dyDescent="0.2">
      <c r="A83" s="62" t="s">
        <v>63</v>
      </c>
      <c r="B83" s="69">
        <v>371</v>
      </c>
      <c r="C83" s="79" t="s">
        <v>62</v>
      </c>
      <c r="D83" s="70">
        <v>2</v>
      </c>
    </row>
    <row r="84" spans="1:15" x14ac:dyDescent="0.2">
      <c r="A84" s="62" t="s">
        <v>61</v>
      </c>
      <c r="B84" s="69">
        <v>1110</v>
      </c>
      <c r="C84" s="79" t="s">
        <v>60</v>
      </c>
      <c r="D84" s="70">
        <v>28</v>
      </c>
    </row>
    <row r="85" spans="1:15" x14ac:dyDescent="0.2">
      <c r="A85" s="62"/>
    </row>
    <row r="86" spans="1:15" x14ac:dyDescent="0.2">
      <c r="A86" s="62" t="s">
        <v>59</v>
      </c>
    </row>
    <row r="87" spans="1:15" ht="62.45" customHeight="1" x14ac:dyDescent="0.2">
      <c r="A87" s="106" t="s">
        <v>58</v>
      </c>
      <c r="B87" s="106"/>
      <c r="C87" s="106"/>
      <c r="D87" s="106"/>
      <c r="E87" s="106"/>
      <c r="F87" s="106"/>
      <c r="G87" s="106"/>
      <c r="H87" s="106"/>
      <c r="I87" s="106"/>
      <c r="J87" s="106"/>
      <c r="K87" s="106"/>
      <c r="L87" s="106"/>
      <c r="M87" s="106"/>
      <c r="N87" s="106"/>
      <c r="O87" s="106"/>
    </row>
  </sheetData>
  <autoFilter ref="A2:O80"/>
  <mergeCells count="4">
    <mergeCell ref="A87:O87"/>
    <mergeCell ref="I1:J1"/>
    <mergeCell ref="K1:L1"/>
    <mergeCell ref="M1:N1"/>
  </mergeCells>
  <phoneticPr fontId="17" type="noConversion"/>
  <hyperlinks>
    <hyperlink ref="O3" r:id="rId1"/>
    <hyperlink ref="O4" r:id="rId2"/>
    <hyperlink ref="O5" r:id="rId3"/>
    <hyperlink ref="O6" r:id="rId4"/>
    <hyperlink ref="O7" r:id="rId5"/>
    <hyperlink ref="O8" r:id="rId6"/>
    <hyperlink ref="O9" r:id="rId7"/>
    <hyperlink ref="O10" r:id="rId8"/>
    <hyperlink ref="O11" r:id="rId9"/>
    <hyperlink ref="O12" r:id="rId10"/>
    <hyperlink ref="O13" r:id="rId11"/>
    <hyperlink ref="O14" r:id="rId12"/>
    <hyperlink ref="O15" r:id="rId13"/>
    <hyperlink ref="O16" r:id="rId14"/>
    <hyperlink ref="O17" r:id="rId15"/>
    <hyperlink ref="O18" r:id="rId16"/>
    <hyperlink ref="O19" r:id="rId17"/>
    <hyperlink ref="O20" r:id="rId18"/>
    <hyperlink ref="O21" r:id="rId19"/>
    <hyperlink ref="O22" r:id="rId20"/>
    <hyperlink ref="O23" r:id="rId21"/>
    <hyperlink ref="O24" r:id="rId22"/>
    <hyperlink ref="O25" r:id="rId23"/>
    <hyperlink ref="O26" r:id="rId24"/>
    <hyperlink ref="O27" r:id="rId25"/>
    <hyperlink ref="O28" r:id="rId26"/>
    <hyperlink ref="O29" r:id="rId27"/>
    <hyperlink ref="O30" r:id="rId28"/>
    <hyperlink ref="O31" r:id="rId29"/>
    <hyperlink ref="O32" r:id="rId30"/>
    <hyperlink ref="O33" r:id="rId31"/>
    <hyperlink ref="O34" r:id="rId32"/>
    <hyperlink ref="O35" r:id="rId33"/>
    <hyperlink ref="O36" r:id="rId34"/>
    <hyperlink ref="O37" r:id="rId35"/>
    <hyperlink ref="O38" r:id="rId36"/>
    <hyperlink ref="O39" r:id="rId37"/>
    <hyperlink ref="O40" r:id="rId38"/>
    <hyperlink ref="O41" r:id="rId39"/>
    <hyperlink ref="O42" r:id="rId40"/>
    <hyperlink ref="O43" r:id="rId41"/>
    <hyperlink ref="O44" r:id="rId42"/>
    <hyperlink ref="O45" r:id="rId43"/>
    <hyperlink ref="O46" r:id="rId44"/>
    <hyperlink ref="O47" r:id="rId45"/>
    <hyperlink ref="O48" r:id="rId46"/>
    <hyperlink ref="O49" r:id="rId47"/>
    <hyperlink ref="O50" r:id="rId48"/>
    <hyperlink ref="O51" r:id="rId49"/>
    <hyperlink ref="O52" r:id="rId50"/>
    <hyperlink ref="O53" r:id="rId51"/>
    <hyperlink ref="O54" r:id="rId52"/>
    <hyperlink ref="O55" r:id="rId53"/>
    <hyperlink ref="O56" r:id="rId54"/>
    <hyperlink ref="O57" r:id="rId55"/>
    <hyperlink ref="O58" r:id="rId56"/>
    <hyperlink ref="O59" r:id="rId57"/>
    <hyperlink ref="O60" r:id="rId58"/>
    <hyperlink ref="O61" r:id="rId59"/>
    <hyperlink ref="O62" r:id="rId60"/>
    <hyperlink ref="O63" r:id="rId61"/>
    <hyperlink ref="O64" r:id="rId62"/>
    <hyperlink ref="O65" r:id="rId63"/>
    <hyperlink ref="O66" r:id="rId64"/>
    <hyperlink ref="O67" r:id="rId65"/>
    <hyperlink ref="O68" r:id="rId66"/>
    <hyperlink ref="O69" r:id="rId67"/>
    <hyperlink ref="O70" r:id="rId68"/>
    <hyperlink ref="O71" r:id="rId69"/>
    <hyperlink ref="O72" r:id="rId70"/>
    <hyperlink ref="O73" r:id="rId71"/>
    <hyperlink ref="O74" r:id="rId72"/>
    <hyperlink ref="O75" r:id="rId73"/>
    <hyperlink ref="O76" r:id="rId74"/>
    <hyperlink ref="O77" r:id="rId75"/>
    <hyperlink ref="O78" r:id="rId76"/>
    <hyperlink ref="O79" r:id="rId77"/>
    <hyperlink ref="O80" r:id="rId78"/>
  </hyperlinks>
  <pageMargins left="0.78749999999999998" right="0.78749999999999998" top="1.05277777777778" bottom="1.05277777777778" header="0.78749999999999998" footer="0.78749999999999998"/>
  <pageSetup orientation="portrait" useFirstPageNumber="1" r:id="rId79"/>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Total</vt:lpstr>
      <vt:lpstr>hermeslite2beta3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用户</cp:lastModifiedBy>
  <dcterms:created xsi:type="dcterms:W3CDTF">2006-09-13T11:21:00Z</dcterms:created>
  <dcterms:modified xsi:type="dcterms:W3CDTF">2017-07-07T11:05:03Z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