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8" windowWidth="14808" windowHeight="8016"/>
  </bookViews>
  <sheets>
    <sheet name="Лист1" sheetId="1" r:id="rId1"/>
    <sheet name="Лист3" sheetId="3" r:id="rId2"/>
    <sheet name="Лист2" sheetId="2" r:id="rId3"/>
    <sheet name="Лист4" sheetId="4" r:id="rId4"/>
  </sheets>
  <definedNames>
    <definedName name="_xlnm.Print_Area" localSheetId="3">Лист4!$A$1:$Z$28</definedName>
  </definedNames>
  <calcPr calcId="152511"/>
</workbook>
</file>

<file path=xl/calcChain.xml><?xml version="1.0" encoding="utf-8"?>
<calcChain xmlns="http://schemas.openxmlformats.org/spreadsheetml/2006/main">
  <c r="L27" i="3" l="1"/>
  <c r="M27" i="3"/>
  <c r="N27" i="3" s="1"/>
  <c r="L28" i="3"/>
  <c r="M28" i="3"/>
  <c r="N28" i="3" s="1"/>
  <c r="L29" i="3"/>
  <c r="M29" i="3"/>
  <c r="N29" i="3" s="1"/>
  <c r="D26" i="3"/>
  <c r="D30" i="3" s="1"/>
  <c r="F22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M25" i="3"/>
  <c r="N25" i="3" s="1"/>
  <c r="L19" i="3"/>
  <c r="L20" i="3"/>
  <c r="L21" i="3"/>
  <c r="L22" i="3"/>
  <c r="L23" i="3"/>
  <c r="L24" i="3"/>
  <c r="L25" i="3"/>
  <c r="L18" i="3"/>
  <c r="C9" i="3"/>
  <c r="C10" i="3" s="1"/>
  <c r="E9" i="3"/>
  <c r="E11" i="3" s="1"/>
  <c r="F9" i="3"/>
  <c r="F10" i="3" s="1"/>
  <c r="G9" i="3"/>
  <c r="G12" i="3" s="1"/>
  <c r="H9" i="3"/>
  <c r="H11" i="3" s="1"/>
  <c r="I9" i="3"/>
  <c r="I10" i="3" s="1"/>
  <c r="J9" i="3"/>
  <c r="J10" i="3" s="1"/>
  <c r="D9" i="3"/>
  <c r="D10" i="3" s="1"/>
  <c r="E6" i="3"/>
  <c r="F6" i="3"/>
  <c r="M43" i="2"/>
  <c r="O43" i="2"/>
  <c r="N44" i="2"/>
  <c r="M42" i="2"/>
  <c r="M39" i="2"/>
  <c r="M44" i="2" s="1"/>
  <c r="N39" i="2"/>
  <c r="O39" i="2"/>
  <c r="O44" i="2" s="1"/>
  <c r="M36" i="2"/>
  <c r="N36" i="2"/>
  <c r="N43" i="2" s="1"/>
  <c r="O36" i="2"/>
  <c r="M33" i="2"/>
  <c r="N33" i="2"/>
  <c r="N42" i="2" s="1"/>
  <c r="O33" i="2"/>
  <c r="O42" i="2" s="1"/>
  <c r="D6" i="3"/>
  <c r="G6" i="3"/>
  <c r="H6" i="3"/>
  <c r="I6" i="3"/>
  <c r="J6" i="3"/>
  <c r="C6" i="3"/>
  <c r="I30" i="1"/>
  <c r="F23" i="3" l="1"/>
  <c r="E26" i="3"/>
  <c r="D29" i="3"/>
  <c r="F29" i="3" s="1"/>
  <c r="C11" i="3"/>
  <c r="J11" i="3"/>
  <c r="J12" i="3"/>
  <c r="G10" i="3"/>
  <c r="D31" i="3"/>
  <c r="G11" i="3"/>
  <c r="I11" i="3"/>
  <c r="C12" i="3"/>
  <c r="F11" i="3"/>
  <c r="H12" i="3"/>
  <c r="E12" i="3"/>
  <c r="I12" i="3"/>
  <c r="F12" i="3"/>
  <c r="D11" i="3"/>
  <c r="H10" i="3"/>
  <c r="E10" i="3"/>
  <c r="D12" i="3"/>
  <c r="L39" i="2"/>
  <c r="L44" i="2" s="1"/>
  <c r="L36" i="2"/>
  <c r="L43" i="2" s="1"/>
  <c r="L33" i="2"/>
  <c r="L42" i="2" s="1"/>
  <c r="M28" i="2"/>
  <c r="N28" i="2"/>
  <c r="O28" i="2"/>
  <c r="L28" i="2"/>
  <c r="M22" i="2"/>
  <c r="N22" i="2"/>
  <c r="O22" i="2"/>
  <c r="L22" i="2"/>
  <c r="N16" i="2"/>
  <c r="O16" i="2"/>
  <c r="L16" i="2"/>
  <c r="M15" i="2"/>
  <c r="M16" i="2" s="1"/>
  <c r="O9" i="2"/>
  <c r="L4" i="2"/>
  <c r="M9" i="2"/>
  <c r="N9" i="2"/>
  <c r="L9" i="2"/>
  <c r="G11" i="2"/>
  <c r="D32" i="3" l="1"/>
  <c r="D33" i="3" s="1"/>
  <c r="D34" i="3" s="1"/>
  <c r="AA17" i="1"/>
  <c r="AB17" i="1"/>
  <c r="AB11" i="1"/>
  <c r="AB12" i="1"/>
  <c r="AB13" i="1"/>
  <c r="AB14" i="1"/>
  <c r="AB15" i="1"/>
  <c r="AB16" i="1"/>
  <c r="AB10" i="1"/>
  <c r="AA11" i="1"/>
  <c r="AA12" i="1"/>
  <c r="AA13" i="1"/>
  <c r="AA14" i="1"/>
  <c r="AA15" i="1"/>
  <c r="AA16" i="1"/>
  <c r="AA10" i="1"/>
  <c r="H30" i="1" l="1"/>
  <c r="H31" i="1" s="1"/>
  <c r="J30" i="1"/>
  <c r="J31" i="1" s="1"/>
  <c r="I31" i="1"/>
  <c r="E30" i="1"/>
  <c r="E31" i="1" s="1"/>
  <c r="F30" i="1"/>
  <c r="F31" i="1" s="1"/>
  <c r="G30" i="1"/>
  <c r="G31" i="1" s="1"/>
  <c r="D30" i="1"/>
  <c r="D31" i="1" s="1"/>
  <c r="W4" i="1"/>
  <c r="Y4" i="1" s="1"/>
  <c r="T5" i="1"/>
  <c r="V5" i="1" s="1"/>
  <c r="X5" i="1" s="1"/>
  <c r="U5" i="1"/>
  <c r="W5" i="1" s="1"/>
  <c r="Y5" i="1" s="1"/>
  <c r="U4" i="1"/>
  <c r="T4" i="1"/>
  <c r="V4" i="1" s="1"/>
  <c r="X4" i="1" s="1"/>
  <c r="T21" i="1" l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S21" i="1"/>
  <c r="S22" i="1"/>
  <c r="S23" i="1"/>
  <c r="S24" i="1"/>
  <c r="S25" i="1"/>
  <c r="S26" i="1"/>
  <c r="S27" i="1"/>
  <c r="S28" i="1"/>
  <c r="S29" i="1"/>
  <c r="R22" i="1"/>
  <c r="R23" i="1"/>
  <c r="R24" i="1"/>
  <c r="R25" i="1"/>
  <c r="R26" i="1"/>
  <c r="R27" i="1"/>
  <c r="R28" i="1"/>
  <c r="R29" i="1"/>
  <c r="R21" i="1"/>
  <c r="O11" i="1"/>
  <c r="M13" i="1"/>
  <c r="M12" i="1"/>
  <c r="S14" i="1"/>
  <c r="N15" i="1"/>
  <c r="N16" i="1"/>
  <c r="Q16" i="1"/>
  <c r="O14" i="1" s="1"/>
  <c r="N14" i="1" s="1"/>
  <c r="P15" i="1"/>
  <c r="M15" i="1" s="1"/>
  <c r="M16" i="1" l="1"/>
  <c r="M14" i="1"/>
  <c r="R14" i="1"/>
  <c r="K25" i="1"/>
  <c r="L25" i="1" s="1"/>
  <c r="L16" i="1"/>
  <c r="G24" i="1"/>
  <c r="G17" i="1"/>
  <c r="G18" i="1"/>
  <c r="G19" i="1"/>
  <c r="G20" i="1"/>
  <c r="G21" i="1"/>
  <c r="G22" i="1"/>
  <c r="G23" i="1"/>
  <c r="G16" i="1"/>
  <c r="L19" i="1"/>
  <c r="L20" i="1"/>
  <c r="L21" i="1"/>
  <c r="L22" i="1"/>
  <c r="L23" i="1"/>
  <c r="L24" i="1"/>
  <c r="L17" i="1"/>
  <c r="L18" i="1"/>
  <c r="D6" i="1" l="1"/>
  <c r="G10" i="1" s="1"/>
  <c r="E10" i="1"/>
  <c r="F10" i="1" s="1"/>
  <c r="E11" i="1"/>
  <c r="E12" i="1"/>
  <c r="F12" i="1" s="1"/>
  <c r="E9" i="1"/>
  <c r="F9" i="1" s="1"/>
  <c r="G12" i="1" l="1"/>
  <c r="G9" i="1"/>
  <c r="G11" i="1"/>
  <c r="F11" i="1"/>
</calcChain>
</file>

<file path=xl/comments1.xml><?xml version="1.0" encoding="utf-8"?>
<comments xmlns="http://schemas.openxmlformats.org/spreadsheetml/2006/main">
  <authors>
    <author>Автор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Минимальный период опроса. 1 опрос на темный сектор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Число опросов на темн сектор. Правее требуемые периоды опроса</t>
        </r>
      </text>
    </comment>
  </commentList>
</comments>
</file>

<file path=xl/sharedStrings.xml><?xml version="1.0" encoding="utf-8"?>
<sst xmlns="http://schemas.openxmlformats.org/spreadsheetml/2006/main" count="124" uniqueCount="91">
  <si>
    <t>отключено</t>
  </si>
  <si>
    <t>светлы сектор</t>
  </si>
  <si>
    <t>темный сектор</t>
  </si>
  <si>
    <t>полная засветка</t>
  </si>
  <si>
    <t>Опорное напряжение</t>
  </si>
  <si>
    <t>Напр. Питания</t>
  </si>
  <si>
    <t>Отсчеты таймера</t>
  </si>
  <si>
    <t>Вых АЦП</t>
  </si>
  <si>
    <t>вх АЦП (в)</t>
  </si>
  <si>
    <t>Сопр (ом)</t>
  </si>
  <si>
    <t>ток (mA)</t>
  </si>
  <si>
    <t>Нижн добав сопр</t>
  </si>
  <si>
    <t>Верхнее сопр</t>
  </si>
  <si>
    <t>R1</t>
  </si>
  <si>
    <t>N</t>
  </si>
  <si>
    <t>n</t>
  </si>
  <si>
    <t>R2</t>
  </si>
  <si>
    <t>C</t>
  </si>
  <si>
    <t>T</t>
  </si>
  <si>
    <t>R</t>
  </si>
  <si>
    <t>Om</t>
  </si>
  <si>
    <t>Время переп. таймера</t>
  </si>
  <si>
    <t>uF</t>
  </si>
  <si>
    <t>us</t>
  </si>
  <si>
    <t>Ток светодиода</t>
  </si>
  <si>
    <t>напр</t>
  </si>
  <si>
    <t>гистерезис входа</t>
  </si>
  <si>
    <t>Сопротивление</t>
  </si>
  <si>
    <t>C uF</t>
  </si>
  <si>
    <t>R kOhm</t>
  </si>
  <si>
    <t>T ms</t>
  </si>
  <si>
    <t>f Hz</t>
  </si>
  <si>
    <t>5,1ms</t>
  </si>
  <si>
    <t>Ur</t>
  </si>
  <si>
    <t>Ud 680</t>
  </si>
  <si>
    <t>Ud 1680</t>
  </si>
  <si>
    <t>имп. на литр</t>
  </si>
  <si>
    <t>сек / имп</t>
  </si>
  <si>
    <t>имп / сек</t>
  </si>
  <si>
    <t>расход  л/ч</t>
  </si>
  <si>
    <t>I мА</t>
  </si>
  <si>
    <t>Вилка сопротивлений от I светодиода</t>
  </si>
  <si>
    <t>Rсв макс светлый кОм</t>
  </si>
  <si>
    <t>Rтм мин темн кОм</t>
  </si>
  <si>
    <t>K Rтм/Rсв</t>
  </si>
  <si>
    <t>R среднее</t>
  </si>
  <si>
    <t>U пит</t>
  </si>
  <si>
    <t>u порог</t>
  </si>
  <si>
    <t>0,5 мА</t>
  </si>
  <si>
    <t>0,25 мА</t>
  </si>
  <si>
    <t>0,2 мА</t>
  </si>
  <si>
    <t>Время заряда С до поргового напр. При разном U питании и знач RC</t>
  </si>
  <si>
    <t>47к</t>
  </si>
  <si>
    <t>2,7л</t>
  </si>
  <si>
    <t>t=ic/u</t>
  </si>
  <si>
    <t>u</t>
  </si>
  <si>
    <t>i</t>
  </si>
  <si>
    <t>c</t>
  </si>
  <si>
    <t>t</t>
  </si>
  <si>
    <t>свет</t>
  </si>
  <si>
    <t>I mA</t>
  </si>
  <si>
    <t>U</t>
  </si>
  <si>
    <t>расход л/мин</t>
  </si>
  <si>
    <t>один кран</t>
  </si>
  <si>
    <t>Типичная ёмкость солевого гальванического элемента питания — 500 мА·ч, щелочного гальванического элемента питания — 1250 мА·ч</t>
  </si>
  <si>
    <t>Для правильной дискретизации, чтобы не было искажений, необходимо взять частоту дискретизации не менее в два раза больше максимальной частоты сигнала.</t>
  </si>
  <si>
    <t>WDT с</t>
  </si>
  <si>
    <t>дл тем сект</t>
  </si>
  <si>
    <t>x16 в мин</t>
  </si>
  <si>
    <t>период опроса</t>
  </si>
  <si>
    <t>потребление актив</t>
  </si>
  <si>
    <t>потребление сон</t>
  </si>
  <si>
    <t>потребление цикла</t>
  </si>
  <si>
    <t>емкость батареи</t>
  </si>
  <si>
    <t>время  актив</t>
  </si>
  <si>
    <t>ма/ч</t>
  </si>
  <si>
    <t>всего циклов</t>
  </si>
  <si>
    <t>Время работы</t>
  </si>
  <si>
    <t>час</t>
  </si>
  <si>
    <t>сек</t>
  </si>
  <si>
    <t>ма</t>
  </si>
  <si>
    <t>сут</t>
  </si>
  <si>
    <t>ма/с</t>
  </si>
  <si>
    <t>мес</t>
  </si>
  <si>
    <t>Передача показаний период</t>
  </si>
  <si>
    <t>потребление</t>
  </si>
  <si>
    <t>длительность</t>
  </si>
  <si>
    <t>потр передачи в цикле</t>
  </si>
  <si>
    <t>тиков</t>
  </si>
  <si>
    <t>4800 kb/s 2,08ms/ch * 64char = 130ms</t>
  </si>
  <si>
    <t>Часовой кварц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</si>
</sst>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quotePrefix="1"/>
    <xf numFmtId="0" fontId="0" fillId="0" borderId="2" xfId="0" applyBorder="1"/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3" xfId="0" applyFont="1" applyBorder="1"/>
    <xf numFmtId="0" fontId="2" fillId="0" borderId="0" xfId="0" applyFon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6" fillId="0" borderId="0" xfId="0" applyFont="1" applyBorder="1"/>
    <xf numFmtId="165" fontId="6" fillId="0" borderId="0" xfId="0" applyNumberFormat="1" applyFont="1" applyBorder="1"/>
    <xf numFmtId="0" fontId="5" fillId="0" borderId="7" xfId="0" applyFont="1" applyBorder="1"/>
    <xf numFmtId="165" fontId="5" fillId="0" borderId="7" xfId="0" applyNumberFormat="1" applyFont="1" applyBorder="1"/>
    <xf numFmtId="0" fontId="5" fillId="0" borderId="8" xfId="0" applyFont="1" applyBorder="1"/>
    <xf numFmtId="165" fontId="5" fillId="0" borderId="8" xfId="0" applyNumberFormat="1" applyFont="1" applyBorder="1"/>
    <xf numFmtId="0" fontId="0" fillId="2" borderId="0" xfId="0" applyFill="1"/>
    <xf numFmtId="0" fontId="2" fillId="0" borderId="0" xfId="0" applyFont="1" applyAlignment="1">
      <alignment horizontal="center" vertical="center"/>
    </xf>
    <xf numFmtId="0" fontId="5" fillId="3" borderId="0" xfId="0" applyFont="1" applyFill="1"/>
    <xf numFmtId="0" fontId="0" fillId="0" borderId="0" xfId="0" applyAlignment="1">
      <alignment horizontal="right"/>
    </xf>
    <xf numFmtId="165" fontId="0" fillId="0" borderId="0" xfId="0" applyNumberFormat="1" applyAlignment="1"/>
    <xf numFmtId="166" fontId="0" fillId="0" borderId="0" xfId="0" applyNumberFormat="1"/>
    <xf numFmtId="165" fontId="2" fillId="0" borderId="0" xfId="0" applyNumberFormat="1" applyFont="1"/>
    <xf numFmtId="0" fontId="0" fillId="0" borderId="0" xfId="0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33</xdr:col>
      <xdr:colOff>234820</xdr:colOff>
      <xdr:row>27</xdr:row>
      <xdr:rowOff>138430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561905" cy="5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C31"/>
  <sheetViews>
    <sheetView tabSelected="1" topLeftCell="I7" workbookViewId="0">
      <selection activeCell="W26" sqref="W26"/>
    </sheetView>
  </sheetViews>
  <sheetFormatPr defaultRowHeight="14.4" x14ac:dyDescent="0.3"/>
  <cols>
    <col min="3" max="3" width="20.44140625" customWidth="1"/>
    <col min="4" max="5" width="9.33203125" customWidth="1"/>
    <col min="6" max="6" width="9.88671875" customWidth="1"/>
    <col min="7" max="7" width="10.6640625" customWidth="1"/>
    <col min="8" max="8" width="8.5546875" customWidth="1"/>
    <col min="12" max="12" width="10.33203125" customWidth="1"/>
    <col min="25" max="25" width="10" bestFit="1" customWidth="1"/>
  </cols>
  <sheetData>
    <row r="2" spans="3:29" x14ac:dyDescent="0.3">
      <c r="C2" t="s">
        <v>5</v>
      </c>
      <c r="D2">
        <v>5</v>
      </c>
      <c r="N2" t="s">
        <v>24</v>
      </c>
      <c r="Q2" t="s">
        <v>26</v>
      </c>
    </row>
    <row r="3" spans="3:29" x14ac:dyDescent="0.3">
      <c r="C3" t="s">
        <v>4</v>
      </c>
      <c r="D3">
        <v>2.56</v>
      </c>
      <c r="N3" t="s">
        <v>25</v>
      </c>
      <c r="O3">
        <v>680</v>
      </c>
      <c r="P3" s="15">
        <v>1680</v>
      </c>
      <c r="T3" t="s">
        <v>33</v>
      </c>
      <c r="V3" t="s">
        <v>34</v>
      </c>
      <c r="W3" t="s">
        <v>35</v>
      </c>
    </row>
    <row r="4" spans="3:29" x14ac:dyDescent="0.3">
      <c r="C4" t="s">
        <v>6</v>
      </c>
      <c r="D4">
        <v>1024</v>
      </c>
      <c r="N4">
        <v>5</v>
      </c>
      <c r="O4">
        <v>5.8</v>
      </c>
      <c r="P4">
        <v>2.5</v>
      </c>
      <c r="Q4">
        <v>1.81</v>
      </c>
      <c r="R4">
        <v>1.38</v>
      </c>
      <c r="T4">
        <f>O$3*O4/1000</f>
        <v>3.944</v>
      </c>
      <c r="U4">
        <f>P$3*P4/1000</f>
        <v>4.2</v>
      </c>
      <c r="V4">
        <f>$N4-T4</f>
        <v>1.056</v>
      </c>
      <c r="W4">
        <f>$N4-U4</f>
        <v>0.79999999999999982</v>
      </c>
      <c r="X4">
        <f>V4/O4</f>
        <v>0.18206896551724139</v>
      </c>
      <c r="Y4">
        <f>W4/P4</f>
        <v>0.31999999999999995</v>
      </c>
    </row>
    <row r="5" spans="3:29" x14ac:dyDescent="0.3">
      <c r="C5" t="s">
        <v>11</v>
      </c>
      <c r="D5">
        <v>0</v>
      </c>
      <c r="N5">
        <v>3.3</v>
      </c>
      <c r="O5">
        <v>3.2</v>
      </c>
      <c r="P5">
        <v>1.4</v>
      </c>
      <c r="Q5">
        <v>1.3</v>
      </c>
      <c r="R5">
        <v>0.06</v>
      </c>
      <c r="T5">
        <f>O$3*O5/1000</f>
        <v>2.1760000000000002</v>
      </c>
      <c r="U5">
        <f>P$3*P5/1000</f>
        <v>2.3519999999999999</v>
      </c>
      <c r="V5">
        <f>$N5-T5</f>
        <v>1.1239999999999997</v>
      </c>
      <c r="W5">
        <f>$N5-U5</f>
        <v>0.94799999999999995</v>
      </c>
      <c r="X5">
        <f>V5/O5</f>
        <v>0.3512499999999999</v>
      </c>
      <c r="Y5">
        <f>W5/P5</f>
        <v>0.67714285714285716</v>
      </c>
    </row>
    <row r="6" spans="3:29" x14ac:dyDescent="0.3">
      <c r="C6" t="s">
        <v>12</v>
      </c>
      <c r="D6">
        <f>(D9+D5)*(D2/D3-1)</f>
        <v>9531.25</v>
      </c>
    </row>
    <row r="8" spans="3:29" ht="15.6" customHeight="1" x14ac:dyDescent="0.3">
      <c r="D8" s="2" t="s">
        <v>9</v>
      </c>
      <c r="E8" s="1" t="s">
        <v>7</v>
      </c>
      <c r="F8" t="s">
        <v>8</v>
      </c>
      <c r="G8" t="s">
        <v>10</v>
      </c>
      <c r="X8" s="41" t="s">
        <v>41</v>
      </c>
      <c r="Y8" s="41"/>
      <c r="Z8" s="41"/>
      <c r="AA8" s="41"/>
    </row>
    <row r="9" spans="3:29" ht="43.2" x14ac:dyDescent="0.3">
      <c r="C9" t="s">
        <v>0</v>
      </c>
      <c r="D9" s="4">
        <v>10000</v>
      </c>
      <c r="E9" s="3">
        <f>$D$4/($D$9+$D$5)*($D$5+D9)</f>
        <v>1024</v>
      </c>
      <c r="F9" s="3">
        <f>$D$3/$D$4*E9</f>
        <v>2.56</v>
      </c>
      <c r="G9">
        <f>$D$2/($D$5+$D$6+D9)*1000</f>
        <v>0.25600000000000001</v>
      </c>
      <c r="X9" s="24" t="s">
        <v>40</v>
      </c>
      <c r="Y9" s="24" t="s">
        <v>42</v>
      </c>
      <c r="Z9" s="24" t="s">
        <v>43</v>
      </c>
      <c r="AA9" s="24" t="s">
        <v>44</v>
      </c>
      <c r="AB9" s="24" t="s">
        <v>45</v>
      </c>
    </row>
    <row r="10" spans="3:29" x14ac:dyDescent="0.3">
      <c r="C10" t="s">
        <v>2</v>
      </c>
      <c r="D10" s="4">
        <v>2300</v>
      </c>
      <c r="E10" s="3">
        <f t="shared" ref="E10:E12" si="0">$D$4/($D$9+$D$5)*($D$5+D10)</f>
        <v>235.52</v>
      </c>
      <c r="F10" s="3">
        <f t="shared" ref="F10:F12" si="1">$D$3/$D$4*E10</f>
        <v>0.58879999999999999</v>
      </c>
      <c r="G10">
        <f t="shared" ref="G10:G12" si="2">$D$2/($D$5+$D$6+D10)*1000</f>
        <v>0.4226096143687269</v>
      </c>
      <c r="X10" s="25">
        <v>0.9</v>
      </c>
      <c r="Y10">
        <v>5</v>
      </c>
      <c r="Z10">
        <v>14</v>
      </c>
      <c r="AA10" s="25">
        <f>Z10/Y10</f>
        <v>2.8</v>
      </c>
      <c r="AB10" s="3">
        <f>(Y10+Z10)/2</f>
        <v>9.5</v>
      </c>
    </row>
    <row r="11" spans="3:29" x14ac:dyDescent="0.3">
      <c r="C11" t="s">
        <v>1</v>
      </c>
      <c r="D11" s="4">
        <v>750</v>
      </c>
      <c r="E11" s="3">
        <f t="shared" si="0"/>
        <v>76.8</v>
      </c>
      <c r="F11" s="3">
        <f t="shared" si="1"/>
        <v>0.192</v>
      </c>
      <c r="G11">
        <f t="shared" si="2"/>
        <v>0.48632218844984804</v>
      </c>
      <c r="K11" s="5" t="s">
        <v>27</v>
      </c>
      <c r="L11" s="16"/>
      <c r="M11" t="s">
        <v>32</v>
      </c>
      <c r="O11">
        <f>O12*N5</f>
        <v>2.0789999999999997</v>
      </c>
      <c r="X11" s="25">
        <v>0.65</v>
      </c>
      <c r="Y11">
        <v>9</v>
      </c>
      <c r="Z11">
        <v>22</v>
      </c>
      <c r="AA11" s="25">
        <f t="shared" ref="AA11:AA17" si="3">Z11/Y11</f>
        <v>2.4444444444444446</v>
      </c>
      <c r="AB11" s="3">
        <f t="shared" ref="AB11:AB17" si="4">(Y11+Z11)/2</f>
        <v>15.5</v>
      </c>
    </row>
    <row r="12" spans="3:29" x14ac:dyDescent="0.3">
      <c r="C12" t="s">
        <v>3</v>
      </c>
      <c r="D12" s="4">
        <v>50</v>
      </c>
      <c r="E12" s="3">
        <f t="shared" si="0"/>
        <v>5.12</v>
      </c>
      <c r="F12" s="3">
        <f t="shared" si="1"/>
        <v>1.2800000000000001E-2</v>
      </c>
      <c r="G12">
        <f t="shared" si="2"/>
        <v>0.52185257664709717</v>
      </c>
      <c r="K12" s="20" t="s">
        <v>13</v>
      </c>
      <c r="L12" s="17">
        <v>2172</v>
      </c>
      <c r="M12" s="23">
        <f>Q5/N5</f>
        <v>0.39393939393939398</v>
      </c>
      <c r="O12" s="22">
        <v>0.63</v>
      </c>
      <c r="X12" s="25">
        <v>0.5</v>
      </c>
      <c r="Y12">
        <v>12</v>
      </c>
      <c r="Z12">
        <v>29</v>
      </c>
      <c r="AA12" s="25">
        <f t="shared" si="3"/>
        <v>2.4166666666666665</v>
      </c>
      <c r="AB12" s="3">
        <f t="shared" si="4"/>
        <v>20.5</v>
      </c>
    </row>
    <row r="13" spans="3:29" x14ac:dyDescent="0.3">
      <c r="K13" s="20" t="s">
        <v>14</v>
      </c>
      <c r="L13" s="17">
        <v>1023</v>
      </c>
      <c r="M13">
        <f>M12*N5</f>
        <v>1.3</v>
      </c>
      <c r="N13" t="s">
        <v>31</v>
      </c>
      <c r="O13" t="s">
        <v>30</v>
      </c>
      <c r="P13" t="s">
        <v>29</v>
      </c>
      <c r="Q13" t="s">
        <v>28</v>
      </c>
      <c r="X13" s="25">
        <v>0.33</v>
      </c>
      <c r="Y13">
        <v>25</v>
      </c>
      <c r="Z13">
        <v>53</v>
      </c>
      <c r="AA13" s="25">
        <f t="shared" si="3"/>
        <v>2.12</v>
      </c>
      <c r="AB13" s="3">
        <f t="shared" si="4"/>
        <v>39</v>
      </c>
    </row>
    <row r="14" spans="3:29" x14ac:dyDescent="0.3">
      <c r="C14" t="s">
        <v>21</v>
      </c>
      <c r="E14" s="12" t="s">
        <v>22</v>
      </c>
      <c r="F14" s="13" t="s">
        <v>20</v>
      </c>
      <c r="G14" s="13" t="s">
        <v>23</v>
      </c>
      <c r="K14" s="6"/>
      <c r="L14" s="17"/>
      <c r="M14">
        <f>-LN(1-$Q$5/$N$5)*P14*Q14</f>
        <v>0.117682192659435</v>
      </c>
      <c r="N14">
        <f t="shared" ref="N14:N15" si="5">1000/O14</f>
        <v>4255.3191489361707</v>
      </c>
      <c r="O14" s="21">
        <f>P14*Q14</f>
        <v>0.23499999999999999</v>
      </c>
      <c r="P14">
        <v>5</v>
      </c>
      <c r="Q14">
        <v>4.7E-2</v>
      </c>
      <c r="R14">
        <f>(O14-O16)/O16</f>
        <v>-0.76500000000000001</v>
      </c>
      <c r="S14">
        <f>1/255</f>
        <v>3.9215686274509803E-3</v>
      </c>
      <c r="X14" s="25">
        <v>0.25</v>
      </c>
      <c r="Y14">
        <v>34</v>
      </c>
      <c r="Z14">
        <v>65</v>
      </c>
      <c r="AA14" s="25">
        <f t="shared" si="3"/>
        <v>1.911764705882353</v>
      </c>
      <c r="AB14" s="3">
        <f t="shared" si="4"/>
        <v>49.5</v>
      </c>
    </row>
    <row r="15" spans="3:29" x14ac:dyDescent="0.3">
      <c r="C15">
        <v>256</v>
      </c>
      <c r="E15" t="s">
        <v>17</v>
      </c>
      <c r="F15" t="s">
        <v>19</v>
      </c>
      <c r="G15" t="s">
        <v>18</v>
      </c>
      <c r="K15" s="18" t="s">
        <v>15</v>
      </c>
      <c r="L15" s="19" t="s">
        <v>16</v>
      </c>
      <c r="M15" t="e">
        <f t="shared" ref="M15:M16" si="6">-LN(1-$Q$5/$N$5)*P15*Q15</f>
        <v>#DIV/0!</v>
      </c>
      <c r="N15" t="e">
        <f t="shared" si="5"/>
        <v>#DIV/0!</v>
      </c>
      <c r="P15" s="21" t="e">
        <f>O15/Q15</f>
        <v>#DIV/0!</v>
      </c>
      <c r="X15" s="25">
        <v>0.2</v>
      </c>
      <c r="Y15">
        <v>50</v>
      </c>
      <c r="Z15">
        <v>94</v>
      </c>
      <c r="AA15" s="25">
        <f t="shared" si="3"/>
        <v>1.88</v>
      </c>
      <c r="AB15" s="3">
        <f t="shared" si="4"/>
        <v>72</v>
      </c>
    </row>
    <row r="16" spans="3:29" x14ac:dyDescent="0.3">
      <c r="C16">
        <v>2048</v>
      </c>
      <c r="E16" s="11">
        <v>0.22</v>
      </c>
      <c r="F16" s="11">
        <v>111</v>
      </c>
      <c r="G16" s="14">
        <f>E$16*(E$18+F16)</f>
        <v>1080.42</v>
      </c>
      <c r="I16" s="11"/>
      <c r="K16" s="5">
        <v>900</v>
      </c>
      <c r="L16" s="8">
        <f>$L$12*K16/($L$13-K16)</f>
        <v>15892.682926829268</v>
      </c>
      <c r="M16">
        <f t="shared" si="6"/>
        <v>0.50077528791248938</v>
      </c>
      <c r="N16">
        <f>1000/O16</f>
        <v>1000</v>
      </c>
      <c r="O16">
        <v>1</v>
      </c>
      <c r="P16">
        <v>5</v>
      </c>
      <c r="Q16" s="21">
        <f>O16/P16</f>
        <v>0.2</v>
      </c>
      <c r="X16" s="25">
        <v>0.125</v>
      </c>
      <c r="Y16">
        <v>73</v>
      </c>
      <c r="Z16">
        <v>120</v>
      </c>
      <c r="AA16" s="25">
        <f t="shared" si="3"/>
        <v>1.6438356164383561</v>
      </c>
      <c r="AB16" s="3">
        <f t="shared" si="4"/>
        <v>96.5</v>
      </c>
      <c r="AC16" t="s">
        <v>53</v>
      </c>
    </row>
    <row r="17" spans="3:29" x14ac:dyDescent="0.3">
      <c r="C17">
        <v>8192</v>
      </c>
      <c r="E17" s="11" t="s">
        <v>13</v>
      </c>
      <c r="F17">
        <v>700</v>
      </c>
      <c r="G17" s="14">
        <f t="shared" ref="G17:G24" si="7">E$16*(E$18+F17)</f>
        <v>1210</v>
      </c>
      <c r="K17" s="6">
        <v>200</v>
      </c>
      <c r="L17" s="9">
        <f t="shared" ref="L17:L25" si="8">$L$12*K17/($L$13-K17)</f>
        <v>527.82503037667072</v>
      </c>
      <c r="P17" s="41" t="s">
        <v>51</v>
      </c>
      <c r="Q17" s="41"/>
      <c r="R17" s="41"/>
      <c r="S17" s="41"/>
      <c r="T17" s="41"/>
      <c r="U17" s="41"/>
      <c r="V17" s="41"/>
      <c r="X17" s="25">
        <v>0.21</v>
      </c>
      <c r="Y17">
        <v>20</v>
      </c>
      <c r="Z17">
        <v>150</v>
      </c>
      <c r="AA17" s="25">
        <f t="shared" si="3"/>
        <v>7.5</v>
      </c>
      <c r="AB17" s="3">
        <f t="shared" si="4"/>
        <v>85</v>
      </c>
      <c r="AC17" t="s">
        <v>52</v>
      </c>
    </row>
    <row r="18" spans="3:29" x14ac:dyDescent="0.3">
      <c r="C18">
        <v>32768</v>
      </c>
      <c r="E18" s="11">
        <v>4800</v>
      </c>
      <c r="F18">
        <v>323</v>
      </c>
      <c r="G18" s="14">
        <f t="shared" si="7"/>
        <v>1127.06</v>
      </c>
      <c r="K18" s="6">
        <v>960</v>
      </c>
      <c r="L18" s="9">
        <f t="shared" si="8"/>
        <v>33097.142857142855</v>
      </c>
      <c r="Q18" t="s">
        <v>46</v>
      </c>
      <c r="R18">
        <v>2.8</v>
      </c>
      <c r="S18">
        <v>3</v>
      </c>
      <c r="T18">
        <v>3.3</v>
      </c>
      <c r="U18">
        <v>3.5</v>
      </c>
      <c r="V18">
        <v>5</v>
      </c>
    </row>
    <row r="19" spans="3:29" x14ac:dyDescent="0.3">
      <c r="E19" s="11"/>
      <c r="F19">
        <v>200</v>
      </c>
      <c r="G19" s="14">
        <f t="shared" si="7"/>
        <v>1100</v>
      </c>
      <c r="K19" s="6">
        <v>440</v>
      </c>
      <c r="L19" s="9">
        <f t="shared" si="8"/>
        <v>1639.2452830188679</v>
      </c>
      <c r="Q19" t="s">
        <v>47</v>
      </c>
      <c r="R19">
        <v>1.1000000000000001</v>
      </c>
      <c r="S19">
        <v>1.2</v>
      </c>
      <c r="T19">
        <v>1.3</v>
      </c>
      <c r="U19">
        <v>1.4</v>
      </c>
      <c r="V19">
        <v>1.81</v>
      </c>
    </row>
    <row r="20" spans="3:29" x14ac:dyDescent="0.3">
      <c r="E20" s="11"/>
      <c r="F20">
        <v>100</v>
      </c>
      <c r="G20" s="14">
        <f t="shared" si="7"/>
        <v>1078</v>
      </c>
      <c r="K20" s="6">
        <v>950</v>
      </c>
      <c r="L20" s="9">
        <f t="shared" si="8"/>
        <v>28265.753424657534</v>
      </c>
      <c r="P20" t="s">
        <v>29</v>
      </c>
      <c r="Q20" t="s">
        <v>28</v>
      </c>
      <c r="R20" t="s">
        <v>30</v>
      </c>
      <c r="S20" t="s">
        <v>30</v>
      </c>
      <c r="T20" t="s">
        <v>30</v>
      </c>
      <c r="U20" t="s">
        <v>30</v>
      </c>
      <c r="V20" t="s">
        <v>30</v>
      </c>
    </row>
    <row r="21" spans="3:29" x14ac:dyDescent="0.3">
      <c r="E21" s="11"/>
      <c r="F21">
        <v>1000</v>
      </c>
      <c r="G21" s="14">
        <f t="shared" si="7"/>
        <v>1276</v>
      </c>
      <c r="K21" s="6">
        <v>343</v>
      </c>
      <c r="L21" s="9">
        <f t="shared" si="8"/>
        <v>1095.5823529411764</v>
      </c>
      <c r="P21">
        <v>12</v>
      </c>
      <c r="Q21">
        <v>2.1999999999999999E-2</v>
      </c>
      <c r="R21" s="14">
        <f>-LN(1-R$19/R$18)*$Q21*$P21</f>
        <v>0.13173366785541279</v>
      </c>
      <c r="S21" s="14">
        <f>-LN(1-S$19/S$18)*$Q21*$P21</f>
        <v>0.13485796467422148</v>
      </c>
      <c r="T21" s="14">
        <f t="shared" ref="T21:V21" si="9">-LN(1-T$19/T$18)*$Q21*$P21</f>
        <v>0.13220467600889718</v>
      </c>
      <c r="U21" s="14">
        <f t="shared" si="9"/>
        <v>0.13485796467422148</v>
      </c>
      <c r="V21" s="14">
        <f t="shared" si="9"/>
        <v>0.11864608684825964</v>
      </c>
    </row>
    <row r="22" spans="3:29" x14ac:dyDescent="0.3">
      <c r="E22" s="11"/>
      <c r="F22">
        <v>3700</v>
      </c>
      <c r="G22" s="14">
        <f t="shared" si="7"/>
        <v>1870</v>
      </c>
      <c r="H22">
        <v>2</v>
      </c>
      <c r="K22" s="6">
        <v>950</v>
      </c>
      <c r="L22" s="9">
        <f t="shared" si="8"/>
        <v>28265.753424657534</v>
      </c>
      <c r="O22" t="s">
        <v>48</v>
      </c>
      <c r="P22" s="26">
        <v>20</v>
      </c>
      <c r="Q22" s="26">
        <v>2.1999999999999999E-2</v>
      </c>
      <c r="R22" s="27">
        <f t="shared" ref="R22:V29" si="10">-LN(1-R$19/R$18)*$Q22*$P22</f>
        <v>0.21955611309235468</v>
      </c>
      <c r="S22" s="27">
        <f t="shared" si="10"/>
        <v>0.22476327445703578</v>
      </c>
      <c r="T22" s="27">
        <f t="shared" si="10"/>
        <v>0.2203411266814953</v>
      </c>
      <c r="U22" s="27">
        <f t="shared" si="10"/>
        <v>0.22476327445703578</v>
      </c>
      <c r="V22" s="27">
        <f t="shared" si="10"/>
        <v>0.19774347808043272</v>
      </c>
    </row>
    <row r="23" spans="3:29" x14ac:dyDescent="0.3">
      <c r="E23" s="11"/>
      <c r="F23">
        <v>10000</v>
      </c>
      <c r="G23" s="14">
        <f t="shared" si="7"/>
        <v>3256</v>
      </c>
      <c r="H23">
        <v>2</v>
      </c>
      <c r="K23" s="6">
        <v>690</v>
      </c>
      <c r="L23" s="9">
        <f t="shared" si="8"/>
        <v>4500.5405405405409</v>
      </c>
      <c r="P23">
        <v>29</v>
      </c>
      <c r="Q23">
        <v>2.1999999999999999E-2</v>
      </c>
      <c r="R23" s="14">
        <f t="shared" si="10"/>
        <v>0.31835636398391426</v>
      </c>
      <c r="S23" s="14">
        <f t="shared" si="10"/>
        <v>0.32590674796270191</v>
      </c>
      <c r="T23" s="14">
        <f t="shared" si="10"/>
        <v>0.31949463368816822</v>
      </c>
      <c r="U23" s="14">
        <f t="shared" si="10"/>
        <v>0.32590674796270191</v>
      </c>
      <c r="V23" s="14">
        <f t="shared" si="10"/>
        <v>0.28672804321662743</v>
      </c>
    </row>
    <row r="24" spans="3:29" x14ac:dyDescent="0.3">
      <c r="F24">
        <v>1020</v>
      </c>
      <c r="G24" s="14">
        <f t="shared" si="7"/>
        <v>1280.4000000000001</v>
      </c>
      <c r="K24" s="6">
        <v>960</v>
      </c>
      <c r="L24" s="9">
        <f t="shared" si="8"/>
        <v>33097.142857142855</v>
      </c>
      <c r="P24" s="32">
        <v>34</v>
      </c>
      <c r="Q24" s="32">
        <v>4.7000000000000002E-3</v>
      </c>
      <c r="R24" s="33">
        <f t="shared" si="10"/>
        <v>7.9738788345814271E-2</v>
      </c>
      <c r="S24" s="33">
        <f t="shared" si="10"/>
        <v>8.1629934677805285E-2</v>
      </c>
      <c r="T24" s="33">
        <f t="shared" si="10"/>
        <v>8.0023891008415809E-2</v>
      </c>
      <c r="U24" s="33">
        <f t="shared" si="10"/>
        <v>8.1629934677805285E-2</v>
      </c>
      <c r="V24" s="33">
        <f t="shared" si="10"/>
        <v>7.181683590284807E-2</v>
      </c>
    </row>
    <row r="25" spans="3:29" x14ac:dyDescent="0.3">
      <c r="K25" s="7">
        <f>1023-111</f>
        <v>912</v>
      </c>
      <c r="L25" s="10">
        <f t="shared" si="8"/>
        <v>17845.62162162162</v>
      </c>
      <c r="O25" t="s">
        <v>49</v>
      </c>
      <c r="P25" s="28">
        <v>50</v>
      </c>
      <c r="Q25" s="28">
        <v>4.7000000000000002E-3</v>
      </c>
      <c r="R25" s="29">
        <f t="shared" si="10"/>
        <v>0.11726292403796217</v>
      </c>
      <c r="S25" s="29">
        <f t="shared" si="10"/>
        <v>0.12004402158500777</v>
      </c>
      <c r="T25" s="29">
        <f t="shared" si="10"/>
        <v>0.11768219265943501</v>
      </c>
      <c r="U25" s="29">
        <f t="shared" si="10"/>
        <v>0.12004402158500777</v>
      </c>
      <c r="V25" s="29">
        <f t="shared" si="10"/>
        <v>0.10561299397477658</v>
      </c>
    </row>
    <row r="26" spans="3:29" x14ac:dyDescent="0.3">
      <c r="P26" s="30">
        <v>65</v>
      </c>
      <c r="Q26" s="30">
        <v>4.7000000000000002E-3</v>
      </c>
      <c r="R26" s="31">
        <f t="shared" si="10"/>
        <v>0.15244180124935083</v>
      </c>
      <c r="S26" s="31">
        <f t="shared" si="10"/>
        <v>0.15605722806051009</v>
      </c>
      <c r="T26" s="31">
        <f t="shared" si="10"/>
        <v>0.15298685045726551</v>
      </c>
      <c r="U26" s="31">
        <f t="shared" si="10"/>
        <v>0.15605722806051009</v>
      </c>
      <c r="V26" s="31">
        <f t="shared" si="10"/>
        <v>0.13729689216720956</v>
      </c>
    </row>
    <row r="27" spans="3:29" x14ac:dyDescent="0.3">
      <c r="P27">
        <v>50</v>
      </c>
      <c r="Q27">
        <v>4.7000000000000002E-3</v>
      </c>
      <c r="R27" s="14">
        <f t="shared" si="10"/>
        <v>0.11726292403796217</v>
      </c>
      <c r="S27" s="14">
        <f t="shared" si="10"/>
        <v>0.12004402158500777</v>
      </c>
      <c r="T27" s="14">
        <f t="shared" si="10"/>
        <v>0.11768219265943501</v>
      </c>
      <c r="U27" s="14">
        <f t="shared" si="10"/>
        <v>0.12004402158500777</v>
      </c>
      <c r="V27" s="14">
        <f t="shared" si="10"/>
        <v>0.10561299397477658</v>
      </c>
    </row>
    <row r="28" spans="3:29" x14ac:dyDescent="0.3">
      <c r="C28" t="s">
        <v>36</v>
      </c>
      <c r="D28">
        <v>3</v>
      </c>
      <c r="O28" t="s">
        <v>50</v>
      </c>
      <c r="P28" s="26">
        <v>72</v>
      </c>
      <c r="Q28" s="26">
        <v>4.7000000000000002E-3</v>
      </c>
      <c r="R28" s="27">
        <f t="shared" si="10"/>
        <v>0.16885861061466553</v>
      </c>
      <c r="S28" s="27">
        <f t="shared" si="10"/>
        <v>0.17286339108241119</v>
      </c>
      <c r="T28" s="27">
        <f t="shared" si="10"/>
        <v>0.1694623574295864</v>
      </c>
      <c r="U28" s="27">
        <f t="shared" si="10"/>
        <v>0.17286339108241119</v>
      </c>
      <c r="V28" s="27">
        <f t="shared" si="10"/>
        <v>0.15208271132367826</v>
      </c>
    </row>
    <row r="29" spans="3:29" x14ac:dyDescent="0.3">
      <c r="C29" t="s">
        <v>39</v>
      </c>
      <c r="D29">
        <v>5000</v>
      </c>
      <c r="E29">
        <v>2500</v>
      </c>
      <c r="F29">
        <v>1600</v>
      </c>
      <c r="G29">
        <v>500</v>
      </c>
      <c r="H29">
        <v>250</v>
      </c>
      <c r="I29">
        <v>50</v>
      </c>
      <c r="J29">
        <v>15</v>
      </c>
      <c r="P29">
        <v>94</v>
      </c>
      <c r="Q29">
        <v>4.7000000000000002E-3</v>
      </c>
      <c r="R29" s="14">
        <f t="shared" si="10"/>
        <v>0.22045429719136889</v>
      </c>
      <c r="S29" s="14">
        <f t="shared" si="10"/>
        <v>0.22568276057981462</v>
      </c>
      <c r="T29" s="14">
        <f t="shared" si="10"/>
        <v>0.22124252219973781</v>
      </c>
      <c r="U29" s="14">
        <f t="shared" si="10"/>
        <v>0.22568276057981462</v>
      </c>
      <c r="V29" s="14">
        <f t="shared" si="10"/>
        <v>0.19855242867257997</v>
      </c>
    </row>
    <row r="30" spans="3:29" x14ac:dyDescent="0.3">
      <c r="C30" t="s">
        <v>38</v>
      </c>
      <c r="D30">
        <f>D29/3600*$D$28</f>
        <v>4.1666666666666661</v>
      </c>
      <c r="E30">
        <f t="shared" ref="E30:G30" si="11">E29/3600*$D$28</f>
        <v>2.083333333333333</v>
      </c>
      <c r="F30">
        <f t="shared" si="11"/>
        <v>1.3333333333333333</v>
      </c>
      <c r="G30">
        <f t="shared" si="11"/>
        <v>0.41666666666666669</v>
      </c>
      <c r="H30">
        <f t="shared" ref="H30" si="12">H29/3600*$D$28</f>
        <v>0.20833333333333334</v>
      </c>
      <c r="I30">
        <f>I29/3600*$D$28</f>
        <v>4.1666666666666664E-2</v>
      </c>
      <c r="J30">
        <f t="shared" ref="J30" si="13">J29/3600*$D$28</f>
        <v>1.2500000000000001E-2</v>
      </c>
    </row>
    <row r="31" spans="3:29" x14ac:dyDescent="0.3">
      <c r="C31" t="s">
        <v>37</v>
      </c>
      <c r="D31">
        <f>1/D30</f>
        <v>0.24000000000000005</v>
      </c>
      <c r="E31">
        <f t="shared" ref="E31:G31" si="14">1/E30</f>
        <v>0.48000000000000009</v>
      </c>
      <c r="F31">
        <f t="shared" si="14"/>
        <v>0.75</v>
      </c>
      <c r="G31">
        <f t="shared" si="14"/>
        <v>2.4</v>
      </c>
      <c r="H31">
        <f t="shared" ref="H31" si="15">1/H30</f>
        <v>4.8</v>
      </c>
      <c r="I31">
        <f t="shared" ref="I31" si="16">1/I30</f>
        <v>24</v>
      </c>
      <c r="J31">
        <f t="shared" ref="J31" si="17">1/J30</f>
        <v>80</v>
      </c>
    </row>
  </sheetData>
  <mergeCells count="2">
    <mergeCell ref="X8:AA8"/>
    <mergeCell ref="P17:V1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34"/>
  <sheetViews>
    <sheetView workbookViewId="0">
      <selection activeCell="I9" sqref="I9"/>
    </sheetView>
  </sheetViews>
  <sheetFormatPr defaultRowHeight="14.4" x14ac:dyDescent="0.3"/>
  <cols>
    <col min="2" max="2" width="12.5546875" customWidth="1"/>
    <col min="4" max="5" width="11" bestFit="1" customWidth="1"/>
    <col min="6" max="6" width="8.6640625" customWidth="1"/>
    <col min="9" max="9" width="7.6640625" customWidth="1"/>
    <col min="12" max="13" width="9.33203125" bestFit="1" customWidth="1"/>
    <col min="14" max="14" width="11" bestFit="1" customWidth="1"/>
  </cols>
  <sheetData>
    <row r="2" spans="2:10" x14ac:dyDescent="0.3">
      <c r="B2">
        <v>0.125</v>
      </c>
    </row>
    <row r="3" spans="2:10" x14ac:dyDescent="0.3">
      <c r="B3">
        <v>0.25</v>
      </c>
    </row>
    <row r="4" spans="2:10" x14ac:dyDescent="0.3">
      <c r="B4">
        <v>0.5</v>
      </c>
    </row>
    <row r="5" spans="2:10" x14ac:dyDescent="0.3">
      <c r="H5" t="s">
        <v>63</v>
      </c>
    </row>
    <row r="6" spans="2:10" x14ac:dyDescent="0.3">
      <c r="B6" t="s">
        <v>62</v>
      </c>
      <c r="C6">
        <f>C8/60</f>
        <v>80</v>
      </c>
      <c r="D6">
        <f t="shared" ref="D6:J6" si="0">D8/60</f>
        <v>60</v>
      </c>
      <c r="E6">
        <f t="shared" si="0"/>
        <v>40</v>
      </c>
      <c r="F6">
        <f t="shared" si="0"/>
        <v>30</v>
      </c>
      <c r="G6">
        <f t="shared" si="0"/>
        <v>20</v>
      </c>
      <c r="H6">
        <f t="shared" si="0"/>
        <v>10</v>
      </c>
      <c r="I6">
        <f t="shared" si="0"/>
        <v>5</v>
      </c>
      <c r="J6">
        <f t="shared" si="0"/>
        <v>0.25</v>
      </c>
    </row>
    <row r="7" spans="2:10" x14ac:dyDescent="0.3">
      <c r="C7" s="38"/>
      <c r="D7" s="38"/>
      <c r="E7" s="38"/>
      <c r="F7" s="38"/>
      <c r="G7" s="38"/>
      <c r="H7" s="38"/>
      <c r="I7" s="38"/>
      <c r="J7" s="38"/>
    </row>
    <row r="8" spans="2:10" x14ac:dyDescent="0.3">
      <c r="B8" t="s">
        <v>39</v>
      </c>
      <c r="C8" s="36">
        <v>4800</v>
      </c>
      <c r="D8" s="36">
        <v>3600</v>
      </c>
      <c r="E8" s="34">
        <v>2400</v>
      </c>
      <c r="F8" s="34">
        <v>1800</v>
      </c>
      <c r="G8" s="34">
        <v>1200</v>
      </c>
      <c r="H8" s="34">
        <v>600</v>
      </c>
      <c r="I8" s="34">
        <v>300</v>
      </c>
      <c r="J8" s="34">
        <v>15</v>
      </c>
    </row>
    <row r="9" spans="2:10" x14ac:dyDescent="0.3">
      <c r="B9" t="s">
        <v>67</v>
      </c>
      <c r="C9" s="25">
        <f>3600/C8/3</f>
        <v>0.25</v>
      </c>
      <c r="D9" s="25">
        <f>3600/D8/3</f>
        <v>0.33333333333333331</v>
      </c>
      <c r="E9" s="25">
        <f t="shared" ref="E9:J9" si="1">3600/E8/3</f>
        <v>0.5</v>
      </c>
      <c r="F9" s="25">
        <f t="shared" si="1"/>
        <v>0.66666666666666663</v>
      </c>
      <c r="G9" s="25">
        <f t="shared" si="1"/>
        <v>1</v>
      </c>
      <c r="H9" s="25">
        <f t="shared" si="1"/>
        <v>2</v>
      </c>
      <c r="I9" s="25">
        <f t="shared" si="1"/>
        <v>4</v>
      </c>
      <c r="J9" s="25">
        <f t="shared" si="1"/>
        <v>80</v>
      </c>
    </row>
    <row r="10" spans="2:10" x14ac:dyDescent="0.3">
      <c r="B10">
        <v>2</v>
      </c>
      <c r="C10" s="25">
        <f t="shared" ref="C10:I10" si="2">C$9/$B10</f>
        <v>0.125</v>
      </c>
      <c r="D10" s="25">
        <f t="shared" si="2"/>
        <v>0.16666666666666666</v>
      </c>
      <c r="E10" s="25">
        <f t="shared" si="2"/>
        <v>0.25</v>
      </c>
      <c r="F10" s="25">
        <f t="shared" si="2"/>
        <v>0.33333333333333331</v>
      </c>
      <c r="G10" s="25">
        <f t="shared" si="2"/>
        <v>0.5</v>
      </c>
      <c r="H10" s="25">
        <f t="shared" si="2"/>
        <v>1</v>
      </c>
      <c r="I10" s="25">
        <f t="shared" si="2"/>
        <v>2</v>
      </c>
      <c r="J10" s="25">
        <f t="shared" ref="J10" si="3">J$9/$B10</f>
        <v>40</v>
      </c>
    </row>
    <row r="11" spans="2:10" x14ac:dyDescent="0.3">
      <c r="B11">
        <v>3</v>
      </c>
      <c r="C11" s="25">
        <f t="shared" ref="C11:J12" si="4">C$9/$B11</f>
        <v>8.3333333333333329E-2</v>
      </c>
      <c r="D11" s="25">
        <f t="shared" si="4"/>
        <v>0.1111111111111111</v>
      </c>
      <c r="E11" s="25">
        <f t="shared" si="4"/>
        <v>0.16666666666666666</v>
      </c>
      <c r="F11" s="25">
        <f t="shared" si="4"/>
        <v>0.22222222222222221</v>
      </c>
      <c r="G11" s="25">
        <f t="shared" si="4"/>
        <v>0.33333333333333331</v>
      </c>
      <c r="H11" s="25">
        <f t="shared" si="4"/>
        <v>0.66666666666666663</v>
      </c>
      <c r="I11" s="25">
        <f t="shared" si="4"/>
        <v>1.3333333333333333</v>
      </c>
      <c r="J11" s="25">
        <f t="shared" si="4"/>
        <v>26.666666666666668</v>
      </c>
    </row>
    <row r="12" spans="2:10" x14ac:dyDescent="0.3">
      <c r="B12">
        <v>4</v>
      </c>
      <c r="C12" s="25">
        <f t="shared" si="4"/>
        <v>6.25E-2</v>
      </c>
      <c r="D12" s="25">
        <f t="shared" si="4"/>
        <v>8.3333333333333329E-2</v>
      </c>
      <c r="E12" s="25">
        <f t="shared" si="4"/>
        <v>0.125</v>
      </c>
      <c r="F12" s="25">
        <f t="shared" si="4"/>
        <v>0.16666666666666666</v>
      </c>
      <c r="G12" s="25">
        <f t="shared" si="4"/>
        <v>0.25</v>
      </c>
      <c r="H12" s="25">
        <f t="shared" si="4"/>
        <v>0.5</v>
      </c>
      <c r="I12" s="25">
        <f t="shared" si="4"/>
        <v>1</v>
      </c>
      <c r="J12" s="25">
        <f t="shared" si="4"/>
        <v>20</v>
      </c>
    </row>
    <row r="14" spans="2:10" x14ac:dyDescent="0.3">
      <c r="B14" t="s">
        <v>64</v>
      </c>
    </row>
    <row r="15" spans="2:10" x14ac:dyDescent="0.3">
      <c r="B15" t="s">
        <v>65</v>
      </c>
    </row>
    <row r="17" spans="3:17" x14ac:dyDescent="0.3">
      <c r="K17" s="35" t="s">
        <v>66</v>
      </c>
      <c r="L17">
        <v>255</v>
      </c>
      <c r="M17">
        <v>65536</v>
      </c>
      <c r="N17" t="s">
        <v>68</v>
      </c>
    </row>
    <row r="18" spans="3:17" x14ac:dyDescent="0.3">
      <c r="K18" s="14">
        <v>1.7000000000000001E-2</v>
      </c>
      <c r="L18" s="4">
        <f>L$17*$K18</f>
        <v>4.335</v>
      </c>
      <c r="M18" s="4">
        <f>M$17*$K18</f>
        <v>1114.1120000000001</v>
      </c>
      <c r="N18" s="4">
        <f>M18/60</f>
        <v>18.568533333333335</v>
      </c>
      <c r="P18">
        <v>17</v>
      </c>
      <c r="Q18">
        <v>125</v>
      </c>
    </row>
    <row r="19" spans="3:17" x14ac:dyDescent="0.3">
      <c r="C19" s="37"/>
      <c r="F19" s="22"/>
      <c r="K19" s="14">
        <v>3.4000000000000002E-2</v>
      </c>
      <c r="L19" s="4">
        <f t="shared" ref="L19:M29" si="5">L$17*$K19</f>
        <v>8.67</v>
      </c>
      <c r="M19" s="4">
        <f t="shared" si="5"/>
        <v>2228.2240000000002</v>
      </c>
      <c r="N19" s="4">
        <f t="shared" ref="N19:N29" si="6">M19/60</f>
        <v>37.137066666666669</v>
      </c>
      <c r="P19">
        <v>22</v>
      </c>
      <c r="Q19">
        <v>250</v>
      </c>
    </row>
    <row r="20" spans="3:17" x14ac:dyDescent="0.3">
      <c r="C20" s="37" t="s">
        <v>69</v>
      </c>
      <c r="D20">
        <v>0.25</v>
      </c>
      <c r="E20" t="s">
        <v>79</v>
      </c>
      <c r="J20" t="s">
        <v>88</v>
      </c>
      <c r="K20" s="14">
        <v>6.8000000000000005E-2</v>
      </c>
      <c r="L20" s="4">
        <f t="shared" si="5"/>
        <v>17.34</v>
      </c>
      <c r="M20" s="4">
        <f t="shared" si="5"/>
        <v>4456.4480000000003</v>
      </c>
      <c r="N20" s="4">
        <f t="shared" si="6"/>
        <v>74.274133333333339</v>
      </c>
      <c r="P20">
        <v>50</v>
      </c>
      <c r="Q20">
        <v>500</v>
      </c>
    </row>
    <row r="21" spans="3:17" x14ac:dyDescent="0.3">
      <c r="C21" s="37" t="s">
        <v>74</v>
      </c>
      <c r="D21">
        <v>1E-3</v>
      </c>
      <c r="E21" t="s">
        <v>79</v>
      </c>
      <c r="J21">
        <v>1</v>
      </c>
      <c r="K21" s="14">
        <v>0.14000000000000001</v>
      </c>
      <c r="L21" s="4">
        <f t="shared" si="5"/>
        <v>35.700000000000003</v>
      </c>
      <c r="M21" s="4">
        <f t="shared" si="5"/>
        <v>9175.0400000000009</v>
      </c>
      <c r="N21" s="4">
        <f t="shared" si="6"/>
        <v>152.91733333333335</v>
      </c>
    </row>
    <row r="22" spans="3:17" x14ac:dyDescent="0.3">
      <c r="C22" s="37" t="s">
        <v>70</v>
      </c>
      <c r="D22">
        <v>1</v>
      </c>
      <c r="E22" t="s">
        <v>80</v>
      </c>
      <c r="F22" s="23">
        <f>D22*D21/D30</f>
        <v>0.32485110990795885</v>
      </c>
      <c r="J22">
        <v>2</v>
      </c>
      <c r="K22" s="14">
        <v>0.27</v>
      </c>
      <c r="L22" s="4">
        <f t="shared" si="5"/>
        <v>68.850000000000009</v>
      </c>
      <c r="M22" s="4">
        <f t="shared" si="5"/>
        <v>17694.72</v>
      </c>
      <c r="N22" s="4">
        <f t="shared" si="6"/>
        <v>294.91200000000003</v>
      </c>
    </row>
    <row r="23" spans="3:17" x14ac:dyDescent="0.3">
      <c r="C23" s="37" t="s">
        <v>71</v>
      </c>
      <c r="D23">
        <v>5.0000000000000001E-3</v>
      </c>
      <c r="E23" t="s">
        <v>80</v>
      </c>
      <c r="F23" s="23">
        <f>D23*(D20-D21)/D30</f>
        <v>0.40443963183540876</v>
      </c>
      <c r="J23">
        <v>4</v>
      </c>
      <c r="K23" s="14">
        <v>0.55000000000000004</v>
      </c>
      <c r="L23" s="4">
        <f t="shared" si="5"/>
        <v>140.25</v>
      </c>
      <c r="M23" s="4">
        <f t="shared" si="5"/>
        <v>36044.800000000003</v>
      </c>
      <c r="N23" s="4">
        <f t="shared" si="6"/>
        <v>600.74666666666667</v>
      </c>
    </row>
    <row r="24" spans="3:17" x14ac:dyDescent="0.3">
      <c r="C24" s="37" t="s">
        <v>73</v>
      </c>
      <c r="D24">
        <v>600</v>
      </c>
      <c r="E24" t="s">
        <v>75</v>
      </c>
      <c r="J24">
        <v>8</v>
      </c>
      <c r="K24" s="14">
        <v>1.1000000000000001</v>
      </c>
      <c r="L24" s="4">
        <f t="shared" si="5"/>
        <v>280.5</v>
      </c>
      <c r="M24" s="4">
        <f t="shared" si="5"/>
        <v>72089.600000000006</v>
      </c>
      <c r="N24" s="4">
        <f t="shared" si="6"/>
        <v>1201.4933333333333</v>
      </c>
    </row>
    <row r="25" spans="3:17" x14ac:dyDescent="0.3">
      <c r="C25" s="37"/>
      <c r="J25">
        <v>16</v>
      </c>
      <c r="K25" s="14">
        <v>2.2000000000000002</v>
      </c>
      <c r="L25" s="4">
        <f t="shared" si="5"/>
        <v>561</v>
      </c>
      <c r="M25" s="4">
        <f t="shared" si="5"/>
        <v>144179.20000000001</v>
      </c>
      <c r="N25" s="4">
        <f t="shared" si="6"/>
        <v>2402.9866666666667</v>
      </c>
    </row>
    <row r="26" spans="3:17" x14ac:dyDescent="0.3">
      <c r="C26" s="37" t="s">
        <v>84</v>
      </c>
      <c r="D26">
        <f>15*60</f>
        <v>900</v>
      </c>
      <c r="E26" t="str">
        <f>CONCATENATE("сек (",D26/3600, " час)")</f>
        <v>сек (0,25 час)</v>
      </c>
      <c r="K26" s="40" t="s">
        <v>90</v>
      </c>
      <c r="L26" s="4"/>
      <c r="M26" s="4"/>
      <c r="N26" s="4"/>
    </row>
    <row r="27" spans="3:17" x14ac:dyDescent="0.3">
      <c r="C27" s="37" t="s">
        <v>85</v>
      </c>
      <c r="D27">
        <v>20</v>
      </c>
      <c r="E27" t="s">
        <v>80</v>
      </c>
      <c r="K27" s="14">
        <v>0.125</v>
      </c>
      <c r="L27" s="4">
        <f t="shared" si="5"/>
        <v>31.875</v>
      </c>
      <c r="M27" s="4">
        <f t="shared" si="5"/>
        <v>8192</v>
      </c>
      <c r="N27" s="4">
        <f t="shared" si="6"/>
        <v>136.53333333333333</v>
      </c>
    </row>
    <row r="28" spans="3:17" x14ac:dyDescent="0.3">
      <c r="C28" s="37" t="s">
        <v>86</v>
      </c>
      <c r="D28">
        <v>0.15</v>
      </c>
      <c r="E28" t="s">
        <v>79</v>
      </c>
      <c r="F28" t="s">
        <v>89</v>
      </c>
      <c r="K28" s="14">
        <v>0.25</v>
      </c>
      <c r="L28" s="4">
        <f t="shared" si="5"/>
        <v>63.75</v>
      </c>
      <c r="M28" s="4">
        <f t="shared" si="5"/>
        <v>16384</v>
      </c>
      <c r="N28" s="4">
        <f t="shared" si="6"/>
        <v>273.06666666666666</v>
      </c>
    </row>
    <row r="29" spans="3:17" x14ac:dyDescent="0.3">
      <c r="C29" s="37" t="s">
        <v>87</v>
      </c>
      <c r="D29" s="39">
        <f>D27*D28/D26*D20</f>
        <v>8.3333333333333339E-4</v>
      </c>
      <c r="E29" t="s">
        <v>82</v>
      </c>
      <c r="F29" s="23">
        <f>D29/D30</f>
        <v>0.27070925825663239</v>
      </c>
      <c r="K29" s="14">
        <v>0.5</v>
      </c>
      <c r="L29" s="4">
        <f t="shared" si="5"/>
        <v>127.5</v>
      </c>
      <c r="M29" s="4">
        <f t="shared" si="5"/>
        <v>32768</v>
      </c>
      <c r="N29" s="4">
        <f t="shared" si="6"/>
        <v>546.13333333333333</v>
      </c>
    </row>
    <row r="30" spans="3:17" x14ac:dyDescent="0.3">
      <c r="C30" s="37" t="s">
        <v>72</v>
      </c>
      <c r="D30" s="39">
        <f>D21*D22+(D20-D21)*D23+D27*D28/D26*D20</f>
        <v>3.0783333333333335E-3</v>
      </c>
      <c r="E30" t="s">
        <v>82</v>
      </c>
    </row>
    <row r="31" spans="3:17" x14ac:dyDescent="0.3">
      <c r="C31" s="37" t="s">
        <v>76</v>
      </c>
      <c r="D31">
        <f>D24*3600/D30</f>
        <v>701678397.40119112</v>
      </c>
    </row>
    <row r="32" spans="3:17" x14ac:dyDescent="0.3">
      <c r="C32" s="37" t="s">
        <v>77</v>
      </c>
      <c r="D32" s="4">
        <f>D20*D31/3600</f>
        <v>48727.666486193826</v>
      </c>
      <c r="E32" t="s">
        <v>78</v>
      </c>
    </row>
    <row r="33" spans="3:5" x14ac:dyDescent="0.3">
      <c r="C33" s="37" t="s">
        <v>77</v>
      </c>
      <c r="D33" s="4">
        <f>D32/24</f>
        <v>2030.3194369247428</v>
      </c>
      <c r="E33" t="s">
        <v>81</v>
      </c>
    </row>
    <row r="34" spans="3:5" x14ac:dyDescent="0.3">
      <c r="C34" s="37" t="s">
        <v>77</v>
      </c>
      <c r="D34" s="4">
        <f>D33/30</f>
        <v>67.677314564158095</v>
      </c>
      <c r="E34" t="s">
        <v>83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O44"/>
  <sheetViews>
    <sheetView workbookViewId="0">
      <selection activeCell="L4" sqref="L4"/>
    </sheetView>
  </sheetViews>
  <sheetFormatPr defaultRowHeight="14.4" x14ac:dyDescent="0.3"/>
  <cols>
    <col min="7" max="7" width="19.33203125" customWidth="1"/>
    <col min="12" max="12" width="8.6640625" customWidth="1"/>
    <col min="13" max="13" width="12.109375" customWidth="1"/>
  </cols>
  <sheetData>
    <row r="4" spans="6:15" x14ac:dyDescent="0.3">
      <c r="K4" t="s">
        <v>59</v>
      </c>
      <c r="L4">
        <f>2.16/4700</f>
        <v>4.595744680851064E-4</v>
      </c>
    </row>
    <row r="5" spans="6:15" x14ac:dyDescent="0.3">
      <c r="F5" t="s">
        <v>54</v>
      </c>
    </row>
    <row r="7" spans="6:15" x14ac:dyDescent="0.3">
      <c r="K7" t="s">
        <v>19</v>
      </c>
      <c r="L7">
        <v>19434</v>
      </c>
    </row>
    <row r="8" spans="6:15" x14ac:dyDescent="0.3">
      <c r="F8" t="s">
        <v>55</v>
      </c>
      <c r="G8">
        <v>0.67</v>
      </c>
      <c r="K8" t="s">
        <v>55</v>
      </c>
      <c r="L8">
        <v>1.4999999999999999E-2</v>
      </c>
      <c r="M8">
        <v>0.85899999999999999</v>
      </c>
      <c r="N8">
        <v>3.13</v>
      </c>
      <c r="O8">
        <v>2</v>
      </c>
    </row>
    <row r="9" spans="6:15" x14ac:dyDescent="0.3">
      <c r="F9" t="s">
        <v>56</v>
      </c>
      <c r="G9">
        <v>1.3999999999999999E-4</v>
      </c>
      <c r="K9" s="21" t="s">
        <v>40</v>
      </c>
      <c r="L9" s="14">
        <f>L8/$L$7*1000</f>
        <v>7.7184316146958936E-4</v>
      </c>
      <c r="M9" s="14">
        <f t="shared" ref="M9:O9" si="0">M8/$L$7*1000</f>
        <v>4.420088504682515E-2</v>
      </c>
      <c r="N9" s="14">
        <f t="shared" si="0"/>
        <v>0.16105793969332097</v>
      </c>
      <c r="O9" s="14">
        <f t="shared" si="0"/>
        <v>0.10291242152927858</v>
      </c>
    </row>
    <row r="10" spans="6:15" x14ac:dyDescent="0.3">
      <c r="F10" t="s">
        <v>57</v>
      </c>
      <c r="G10">
        <v>4.6999999999999997E-5</v>
      </c>
    </row>
    <row r="11" spans="6:15" x14ac:dyDescent="0.3">
      <c r="F11" t="s">
        <v>58</v>
      </c>
      <c r="G11">
        <f>G10*G8/G9</f>
        <v>0.22492857142857145</v>
      </c>
    </row>
    <row r="14" spans="6:15" x14ac:dyDescent="0.3">
      <c r="K14" t="s">
        <v>55</v>
      </c>
      <c r="L14">
        <v>1.6</v>
      </c>
      <c r="M14">
        <v>0.19</v>
      </c>
    </row>
    <row r="15" spans="6:15" x14ac:dyDescent="0.3">
      <c r="K15" t="s">
        <v>40</v>
      </c>
      <c r="L15" s="14">
        <v>0.15</v>
      </c>
      <c r="M15" s="14">
        <f t="shared" ref="M15" si="1">M14/$L$7*1000</f>
        <v>9.7766800452814655E-3</v>
      </c>
    </row>
    <row r="16" spans="6:15" x14ac:dyDescent="0.3">
      <c r="K16" t="s">
        <v>19</v>
      </c>
      <c r="L16">
        <f>L14/L15</f>
        <v>10.666666666666668</v>
      </c>
      <c r="M16">
        <f t="shared" ref="M16:O16" si="2">M14/M15</f>
        <v>19.434000000000001</v>
      </c>
      <c r="N16" t="e">
        <f t="shared" si="2"/>
        <v>#DIV/0!</v>
      </c>
      <c r="O16" t="e">
        <f t="shared" si="2"/>
        <v>#DIV/0!</v>
      </c>
    </row>
    <row r="20" spans="11:15" x14ac:dyDescent="0.3">
      <c r="K20" t="s">
        <v>19</v>
      </c>
      <c r="L20">
        <v>10000</v>
      </c>
    </row>
    <row r="21" spans="11:15" x14ac:dyDescent="0.3">
      <c r="K21" t="s">
        <v>55</v>
      </c>
      <c r="L21">
        <v>1.4999999999999999E-2</v>
      </c>
      <c r="M21">
        <v>0.65600000000000003</v>
      </c>
      <c r="N21">
        <v>3.13</v>
      </c>
      <c r="O21">
        <v>2.4</v>
      </c>
    </row>
    <row r="22" spans="11:15" x14ac:dyDescent="0.3">
      <c r="K22" s="21" t="s">
        <v>40</v>
      </c>
      <c r="L22" s="14">
        <f>L21/$L$20*1000</f>
        <v>1.5E-3</v>
      </c>
      <c r="M22" s="14">
        <f t="shared" ref="M22:O22" si="3">M21/$L$20*1000</f>
        <v>6.5600000000000006E-2</v>
      </c>
      <c r="N22" s="14">
        <f t="shared" si="3"/>
        <v>0.31299999999999994</v>
      </c>
      <c r="O22" s="14">
        <f t="shared" si="3"/>
        <v>0.24</v>
      </c>
    </row>
    <row r="26" spans="11:15" x14ac:dyDescent="0.3">
      <c r="K26" t="s">
        <v>19</v>
      </c>
      <c r="L26">
        <v>10000</v>
      </c>
    </row>
    <row r="27" spans="11:15" x14ac:dyDescent="0.3">
      <c r="K27" t="s">
        <v>60</v>
      </c>
      <c r="L27" s="14">
        <v>1E-3</v>
      </c>
      <c r="M27" s="14">
        <v>0.04</v>
      </c>
      <c r="N27" s="14">
        <v>0.15</v>
      </c>
      <c r="O27" s="14">
        <v>0.08</v>
      </c>
    </row>
    <row r="28" spans="11:15" x14ac:dyDescent="0.3">
      <c r="K28" s="21" t="s">
        <v>61</v>
      </c>
      <c r="L28">
        <f>$L$26*L27/1000</f>
        <v>0.01</v>
      </c>
      <c r="M28">
        <f t="shared" ref="M28:O28" si="4">$L$26*M27/1000</f>
        <v>0.4</v>
      </c>
      <c r="N28">
        <f t="shared" si="4"/>
        <v>1.5</v>
      </c>
      <c r="O28">
        <f t="shared" si="4"/>
        <v>0.8</v>
      </c>
    </row>
    <row r="31" spans="11:15" x14ac:dyDescent="0.3">
      <c r="K31" t="s">
        <v>19</v>
      </c>
      <c r="L31">
        <v>10000</v>
      </c>
    </row>
    <row r="32" spans="11:15" x14ac:dyDescent="0.3">
      <c r="K32" t="s">
        <v>55</v>
      </c>
      <c r="L32">
        <v>1.4999999999999999E-2</v>
      </c>
      <c r="M32">
        <v>0.313</v>
      </c>
      <c r="N32">
        <v>2.17</v>
      </c>
      <c r="O32">
        <v>1.34</v>
      </c>
    </row>
    <row r="33" spans="11:15" x14ac:dyDescent="0.3">
      <c r="K33" s="21" t="s">
        <v>40</v>
      </c>
      <c r="L33" s="14">
        <f>L32/$L$31*1000</f>
        <v>1.5E-3</v>
      </c>
      <c r="M33" s="14">
        <f t="shared" ref="M33:O33" si="5">M32/$L$31*1000</f>
        <v>3.1300000000000001E-2</v>
      </c>
      <c r="N33" s="14">
        <f t="shared" si="5"/>
        <v>0.217</v>
      </c>
      <c r="O33" s="14">
        <f t="shared" si="5"/>
        <v>0.13400000000000001</v>
      </c>
    </row>
    <row r="35" spans="11:15" x14ac:dyDescent="0.3">
      <c r="K35" t="s">
        <v>55</v>
      </c>
      <c r="L35">
        <v>1.4999999999999999E-2</v>
      </c>
      <c r="M35">
        <v>0.25</v>
      </c>
      <c r="N35">
        <v>1.81</v>
      </c>
      <c r="O35">
        <v>1.34</v>
      </c>
    </row>
    <row r="36" spans="11:15" x14ac:dyDescent="0.3">
      <c r="K36" s="21" t="s">
        <v>40</v>
      </c>
      <c r="L36" s="14">
        <f>L35/$L$31*1000</f>
        <v>1.5E-3</v>
      </c>
      <c r="M36" s="14">
        <f t="shared" ref="M36:O36" si="6">M35/$L$31*1000</f>
        <v>2.5000000000000001E-2</v>
      </c>
      <c r="N36" s="14">
        <f t="shared" si="6"/>
        <v>0.18100000000000002</v>
      </c>
      <c r="O36" s="14">
        <f t="shared" si="6"/>
        <v>0.13400000000000001</v>
      </c>
    </row>
    <row r="38" spans="11:15" x14ac:dyDescent="0.3">
      <c r="K38" t="s">
        <v>55</v>
      </c>
      <c r="L38">
        <v>1.4999999999999999E-2</v>
      </c>
      <c r="M38">
        <v>0.438</v>
      </c>
      <c r="N38">
        <v>3.06</v>
      </c>
      <c r="O38">
        <v>1.34</v>
      </c>
    </row>
    <row r="39" spans="11:15" x14ac:dyDescent="0.3">
      <c r="K39" s="21" t="s">
        <v>40</v>
      </c>
      <c r="L39" s="14">
        <f>L38/$L$31*1000</f>
        <v>1.5E-3</v>
      </c>
      <c r="M39" s="14">
        <f t="shared" ref="M39:O39" si="7">M38/$L$31*1000</f>
        <v>4.3799999999999999E-2</v>
      </c>
      <c r="N39" s="14">
        <f t="shared" si="7"/>
        <v>0.30599999999999999</v>
      </c>
      <c r="O39" s="14">
        <f t="shared" si="7"/>
        <v>0.13400000000000001</v>
      </c>
    </row>
    <row r="42" spans="11:15" x14ac:dyDescent="0.3">
      <c r="K42">
        <v>15000</v>
      </c>
      <c r="L42" s="25">
        <f>L33*$K42/1000</f>
        <v>2.2499999999999999E-2</v>
      </c>
      <c r="M42" s="25">
        <f t="shared" ref="M42:O42" si="8">M33*$K42/1000</f>
        <v>0.46949999999999997</v>
      </c>
      <c r="N42" s="25">
        <f t="shared" si="8"/>
        <v>3.2549999999999999</v>
      </c>
      <c r="O42" s="25">
        <f t="shared" si="8"/>
        <v>2.0100000000000002</v>
      </c>
    </row>
    <row r="43" spans="11:15" x14ac:dyDescent="0.3">
      <c r="K43">
        <v>15000</v>
      </c>
      <c r="L43" s="25">
        <f>L36*$K43/1000</f>
        <v>2.2499999999999999E-2</v>
      </c>
      <c r="M43" s="25">
        <f t="shared" ref="M43:O43" si="9">M36*$K43/1000</f>
        <v>0.375</v>
      </c>
      <c r="N43" s="25">
        <f t="shared" si="9"/>
        <v>2.7150000000000003</v>
      </c>
      <c r="O43" s="25">
        <f t="shared" si="9"/>
        <v>2.0100000000000002</v>
      </c>
    </row>
    <row r="44" spans="11:15" x14ac:dyDescent="0.3">
      <c r="K44">
        <v>15000</v>
      </c>
      <c r="L44" s="25">
        <f>L39*$K44/1000</f>
        <v>2.2499999999999999E-2</v>
      </c>
      <c r="M44" s="25">
        <f t="shared" ref="M44:O44" si="10">M39*$K44/1000</f>
        <v>0.65700000000000003</v>
      </c>
      <c r="N44" s="25">
        <f t="shared" si="10"/>
        <v>4.59</v>
      </c>
      <c r="O44" s="25">
        <f t="shared" si="10"/>
        <v>2.0100000000000002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R1:Z1"/>
  <sheetViews>
    <sheetView topLeftCell="A13" zoomScale="70" zoomScaleNormal="70" workbookViewId="0">
      <selection activeCell="J37" sqref="J37:M42"/>
    </sheetView>
  </sheetViews>
  <sheetFormatPr defaultRowHeight="14.4" x14ac:dyDescent="0.3"/>
  <cols>
    <col min="10" max="10" width="21.77734375" customWidth="1"/>
    <col min="17" max="17" width="6.33203125" customWidth="1"/>
    <col min="18" max="25" width="8.88671875" hidden="1" customWidth="1"/>
    <col min="26" max="26" width="5.44140625" hidden="1" customWidth="1"/>
  </cols>
  <sheetData/>
  <pageMargins left="0.25" right="0.25" top="0.75" bottom="0.75" header="0.3" footer="0.3"/>
  <pageSetup paperSize="9" scale="97" orientation="landscape" horizontalDpi="12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Лист3</vt:lpstr>
      <vt:lpstr>Лист2</vt:lpstr>
      <vt:lpstr>Лист4</vt:lpstr>
      <vt:lpstr>Лист4!Область_печати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2019-07-13T14:39:21Z</dcterms:modified>
</cp:coreProperties>
</file>