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jan\Documents\1 Lab CTC\Masterclass 2019 (Hong Kong)\"/>
    </mc:Choice>
  </mc:AlternateContent>
  <xr:revisionPtr revIDLastSave="0" documentId="13_ncr:1_{372DE1F5-32E8-4CCA-89ED-1F8B06E20CE5}" xr6:coauthVersionLast="43" xr6:coauthVersionMax="43" xr10:uidLastSave="{00000000-0000-0000-0000-000000000000}"/>
  <bookViews>
    <workbookView xWindow="2868" yWindow="5280" windowWidth="27084" windowHeight="18996" tabRatio="825" xr2:uid="{00000000-000D-0000-FFFF-FFFF00000000}"/>
  </bookViews>
  <sheets>
    <sheet name="Means (2 groups)" sheetId="4" r:id="rId1"/>
    <sheet name="Proportions (2 groups)" sheetId="9" r:id="rId2"/>
    <sheet name="2 ROC curves" sheetId="18" r:id="rId3"/>
    <sheet name="Questionaire" sheetId="15" r:id="rId4"/>
    <sheet name="Useful calculations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8" l="1"/>
  <c r="H13" i="18" s="1"/>
  <c r="H12" i="18"/>
  <c r="H11" i="18"/>
  <c r="H6" i="18"/>
  <c r="H5" i="18"/>
  <c r="H3" i="18"/>
  <c r="H2" i="18"/>
  <c r="H8" i="18" s="1"/>
  <c r="B10" i="18"/>
  <c r="H1" i="18"/>
  <c r="H9" i="18" l="1"/>
  <c r="B12" i="18" s="1"/>
  <c r="B11" i="18" l="1"/>
  <c r="B13" i="18" s="1"/>
  <c r="H19" i="18"/>
  <c r="H18" i="18"/>
  <c r="B16" i="16" l="1"/>
  <c r="I8" i="16" l="1"/>
  <c r="I6" i="16"/>
  <c r="I12" i="16"/>
  <c r="B18" i="15" l="1"/>
  <c r="B15" i="16" l="1"/>
  <c r="B9" i="16" s="1"/>
  <c r="B10" i="16" l="1"/>
  <c r="B17" i="15" l="1"/>
  <c r="B21" i="9" l="1"/>
  <c r="B32" i="9"/>
  <c r="B31" i="9"/>
  <c r="B22" i="4"/>
  <c r="B15" i="15"/>
  <c r="B16" i="15" s="1"/>
  <c r="B24" i="9"/>
  <c r="B23" i="9"/>
  <c r="B20" i="9"/>
  <c r="B22" i="9" s="1"/>
  <c r="B11" i="15" l="1"/>
  <c r="B7" i="15"/>
  <c r="B15" i="9"/>
  <c r="B27" i="4"/>
  <c r="B25" i="4"/>
  <c r="B26" i="4"/>
  <c r="B16" i="4"/>
  <c r="B24" i="4" l="1"/>
  <c r="B21" i="4"/>
  <c r="B27" i="9" l="1"/>
  <c r="B25" i="9"/>
  <c r="B26" i="9" l="1"/>
  <c r="B28" i="9"/>
  <c r="B19" i="9" l="1"/>
  <c r="B13" i="9" s="1"/>
  <c r="B29" i="9"/>
  <c r="B12" i="9" l="1"/>
  <c r="B14" i="9" l="1"/>
  <c r="B23" i="4" l="1"/>
  <c r="B14" i="4" l="1"/>
  <c r="B13" i="4" s="1"/>
  <c r="B20" i="4"/>
  <c r="B15" i="4" l="1"/>
</calcChain>
</file>

<file path=xl/sharedStrings.xml><?xml version="1.0" encoding="utf-8"?>
<sst xmlns="http://schemas.openxmlformats.org/spreadsheetml/2006/main" count="153" uniqueCount="106">
  <si>
    <t>alpha</t>
  </si>
  <si>
    <t>sigma^2</t>
  </si>
  <si>
    <t>Zalpha</t>
  </si>
  <si>
    <t>Zbeta</t>
  </si>
  <si>
    <t>SD</t>
  </si>
  <si>
    <t>n (per group)</t>
  </si>
  <si>
    <t>1- or 2 tail</t>
  </si>
  <si>
    <t>n (per study)</t>
  </si>
  <si>
    <t>Power (%)</t>
  </si>
  <si>
    <t>sigma = stdev</t>
  </si>
  <si>
    <t>standard normal derivative (value from std normal distribution; function attributes: probability, mean=0, stdev=1) for the type 1 error</t>
  </si>
  <si>
    <t>standard normal derivative (value from std normal distribution; function attributes: probability, mean=0, stdev=1) for the type 2 error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</si>
  <si>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</si>
  <si>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</si>
  <si>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rPr>
        <b/>
        <sz val="11"/>
        <color theme="1"/>
        <rFont val="Calibri"/>
        <family val="2"/>
      </rPr>
      <t>q</t>
    </r>
    <r>
      <rPr>
        <b/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=1-p</t>
    </r>
    <r>
      <rPr>
        <vertAlign val="subscript"/>
        <sz val="11"/>
        <color theme="1"/>
        <rFont val="Calibri"/>
        <family val="2"/>
      </rPr>
      <t>c</t>
    </r>
  </si>
  <si>
    <r>
      <rPr>
        <b/>
        <sz val="11"/>
        <color theme="1"/>
        <rFont val="Calibri"/>
        <family val="2"/>
      </rPr>
      <t>q</t>
    </r>
    <r>
      <rPr>
        <b/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=1-p</t>
    </r>
    <r>
      <rPr>
        <vertAlign val="subscript"/>
        <sz val="11"/>
        <color theme="1"/>
        <rFont val="Calibri"/>
        <family val="2"/>
      </rPr>
      <t>t</t>
    </r>
  </si>
  <si>
    <r>
      <rPr>
        <b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=p</t>
    </r>
    <r>
      <rPr>
        <vertAlign val="subscript"/>
        <sz val="11"/>
        <color theme="1"/>
        <rFont val="Calibri"/>
        <family val="2"/>
      </rPr>
      <t>c-</t>
    </r>
    <r>
      <rPr>
        <sz val="11"/>
        <color theme="1"/>
        <rFont val="Calibri"/>
        <family val="2"/>
      </rPr>
      <t>p</t>
    </r>
    <r>
      <rPr>
        <vertAlign val="subscript"/>
        <sz val="11"/>
        <color theme="1"/>
        <rFont val="Calibri"/>
        <family val="2"/>
      </rPr>
      <t>t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</si>
  <si>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=(p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+p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)/2</t>
    </r>
  </si>
  <si>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=1-p</t>
    </r>
    <r>
      <rPr>
        <vertAlign val="subscript"/>
        <sz val="11"/>
        <color theme="1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</si>
  <si>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>β</t>
    </r>
    <r>
      <rPr>
        <sz val="11"/>
        <color theme="1"/>
        <rFont val="Calibri"/>
        <family val="2"/>
        <scheme val="minor"/>
      </rPr>
      <t>=1-power</t>
    </r>
  </si>
  <si>
    <t>proportion of subjects having the event in the treatment group (percent in control group reduced by the treatment)</t>
  </si>
  <si>
    <t>proportion of subjects having the event in the control (placebo) group (per annum percent X number of years to study)</t>
  </si>
  <si>
    <t>Average proportion of events in control and treatment groups</t>
  </si>
  <si>
    <r>
      <rPr>
        <b/>
        <sz val="11"/>
        <color theme="1"/>
        <rFont val="Calibri"/>
        <family val="2"/>
      </rPr>
      <t>β=</t>
    </r>
    <r>
      <rPr>
        <b/>
        <sz val="11"/>
        <color theme="1"/>
        <rFont val="Calibri"/>
        <family val="2"/>
        <scheme val="minor"/>
      </rPr>
      <t>1-power</t>
    </r>
  </si>
  <si>
    <t>difference between means expected</t>
  </si>
  <si>
    <t>effect size</t>
  </si>
  <si>
    <r>
      <rPr>
        <b/>
        <sz val="14"/>
        <color rgb="FF7030A0"/>
        <rFont val="Calibri"/>
        <family val="2"/>
        <scheme val="minor"/>
      </rPr>
      <t>ARR</t>
    </r>
    <r>
      <rPr>
        <sz val="11"/>
        <color rgb="FF7030A0"/>
        <rFont val="Calibri"/>
        <family val="2"/>
        <scheme val="minor"/>
      </rPr>
      <t>, Difference of proportions between control and treatment groups</t>
    </r>
  </si>
  <si>
    <t>qt=qc-ARR (absolute value of ARR)</t>
  </si>
  <si>
    <t>qt=qc * RR (RR=pc/pt)</t>
  </si>
  <si>
    <t>Confidence level</t>
  </si>
  <si>
    <t>Sample size</t>
  </si>
  <si>
    <t>1 - power, type 2 error rate, chance of obtaining false-negative result</t>
  </si>
  <si>
    <t>Difference (d)</t>
  </si>
  <si>
    <t>n group 1</t>
  </si>
  <si>
    <t>n group 2</t>
  </si>
  <si>
    <t>Drop-outs (%)</t>
  </si>
  <si>
    <t>Drop-ins (%)</t>
  </si>
  <si>
    <t>Loss to follow up (%)</t>
  </si>
  <si>
    <t>Factor in increase samples size for loss to follow up</t>
  </si>
  <si>
    <t>Factor to increase sample size for non-compliance</t>
  </si>
  <si>
    <t>Response rate (%)</t>
  </si>
  <si>
    <t>Percentage questionaires returned (0-100%)</t>
  </si>
  <si>
    <t>standard normal derivative for the type 1 error</t>
  </si>
  <si>
    <t>Number of years we intenbd to carry the study for</t>
  </si>
  <si>
    <t>n per group</t>
  </si>
  <si>
    <t>Relative risk of event in treated group vs. placebo (%)</t>
  </si>
  <si>
    <t>Taking the surveyed population size into consideration</t>
  </si>
  <si>
    <t>Sample size required</t>
  </si>
  <si>
    <t>Total population available (N)</t>
  </si>
  <si>
    <t>Margin of error (e) (%)</t>
  </si>
  <si>
    <t>Distribution (p) (%)</t>
  </si>
  <si>
    <t>type 1 error rate</t>
  </si>
  <si>
    <t>Taking the surveyed population size and response rate into consideration</t>
  </si>
  <si>
    <t>Number or returned questionaires</t>
  </si>
  <si>
    <t>Margin of error (e) achieved (%)</t>
  </si>
  <si>
    <t>Percentage of your sample that picks a particular answer. Percentage of the subjects in the population have the factor of interest. 50% is safe.</t>
  </si>
  <si>
    <t>95% CIs into SD</t>
  </si>
  <si>
    <t>mean</t>
  </si>
  <si>
    <t xml:space="preserve">  -95% CI</t>
  </si>
  <si>
    <t xml:space="preserve">  +95% CI</t>
  </si>
  <si>
    <t>n</t>
  </si>
  <si>
    <t xml:space="preserve"> +SD</t>
  </si>
  <si>
    <t xml:space="preserve"> -SD</t>
  </si>
  <si>
    <t>Average SD</t>
  </si>
  <si>
    <t>NOT weighted SD</t>
  </si>
  <si>
    <t>group 1</t>
  </si>
  <si>
    <t>group 2</t>
  </si>
  <si>
    <t>SDs</t>
  </si>
  <si>
    <t>group 3</t>
  </si>
  <si>
    <t>group 4</t>
  </si>
  <si>
    <t>How much the opinions and behavior of the sample you survey is likely to deviate from the total population?</t>
  </si>
  <si>
    <t>How many questionaires were actually returned?</t>
  </si>
  <si>
    <t>BEFORE COMMENCING THE SURVEY</t>
  </si>
  <si>
    <t>AFTER COLLECTING THE SURVEY</t>
  </si>
  <si>
    <t>1-beta</t>
  </si>
  <si>
    <t>INPUT</t>
  </si>
  <si>
    <t>RESULTS</t>
  </si>
  <si>
    <t>Questions/comments: Andrzej.Januszewski@sydney.edu.au</t>
  </si>
  <si>
    <t>Weighted SD</t>
  </si>
  <si>
    <t>Combined mean</t>
  </si>
  <si>
    <t>Mean NOT known</t>
  </si>
  <si>
    <t>Known mean</t>
  </si>
  <si>
    <t>Mean*</t>
  </si>
  <si>
    <t>* - if mean not known leave it blank</t>
  </si>
  <si>
    <t>Mean (group 1)</t>
  </si>
  <si>
    <t>Mean (group 2)</t>
  </si>
  <si>
    <t>Rate of event in TREATED/experimental (group 2) (%)</t>
  </si>
  <si>
    <t>Rate of event in NON-TREATED/placebo (group 1) (%)</t>
  </si>
  <si>
    <r>
      <rPr>
        <sz val="11"/>
        <color theme="1"/>
        <rFont val="Calibri"/>
        <family val="2"/>
      </rPr>
      <t>β=</t>
    </r>
    <r>
      <rPr>
        <sz val="11"/>
        <color theme="1"/>
        <rFont val="Calibri"/>
        <family val="2"/>
        <scheme val="minor"/>
      </rPr>
      <t>1-power</t>
    </r>
  </si>
  <si>
    <t>Not rounded</t>
  </si>
  <si>
    <t>n group 1 to n group 2 ratio</t>
  </si>
  <si>
    <t>How reliable we want the results to be? (this is NOT confidence interval!!!)</t>
  </si>
  <si>
    <t>AUC1</t>
  </si>
  <si>
    <t>AUC2</t>
  </si>
  <si>
    <t>V1</t>
  </si>
  <si>
    <t>V2</t>
  </si>
  <si>
    <t>% unbalance</t>
  </si>
  <si>
    <t>Q1-1</t>
  </si>
  <si>
    <t>Q2-1</t>
  </si>
  <si>
    <t>Q1-2</t>
  </si>
  <si>
    <t>Q2-2</t>
  </si>
  <si>
    <t>delta</t>
  </si>
  <si>
    <t>Reference: Hanley JA, McNeil BJ. Radiology 143:29-36, April 1982</t>
  </si>
  <si>
    <t>How much better AUC2 is vs. AUC1 %)</t>
  </si>
  <si>
    <t>Comparing 2 AUCs, continous criterion</t>
  </si>
  <si>
    <t>n group 1 (cases) to n group 2 (controls)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</si>
</sst>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5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0" fillId="0" borderId="0" xfId="0" applyNumberFormat="1" applyFont="1" applyFill="1" applyAlignment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NumberFormat="1" applyFont="1" applyAlignment="1"/>
    <xf numFmtId="0" fontId="5" fillId="0" borderId="0" xfId="0" applyFont="1" applyAlignment="1">
      <alignment horizontal="left"/>
    </xf>
    <xf numFmtId="2" fontId="0" fillId="0" borderId="0" xfId="0" applyNumberFormat="1"/>
    <xf numFmtId="0" fontId="3" fillId="0" borderId="0" xfId="0" applyNumberFormat="1" applyFont="1" applyAlignment="1"/>
    <xf numFmtId="0" fontId="5" fillId="0" borderId="0" xfId="0" applyNumberFormat="1" applyFont="1" applyAlignment="1">
      <alignment horizontal="left"/>
    </xf>
    <xf numFmtId="0" fontId="4" fillId="4" borderId="0" xfId="0" applyFont="1" applyFill="1"/>
    <xf numFmtId="0" fontId="0" fillId="4" borderId="0" xfId="0" applyFill="1"/>
    <xf numFmtId="0" fontId="4" fillId="3" borderId="0" xfId="0" applyFont="1" applyFill="1" applyProtection="1">
      <protection hidden="1"/>
    </xf>
    <xf numFmtId="0" fontId="4" fillId="4" borderId="0" xfId="0" applyFont="1" applyFill="1" applyAlignment="1">
      <alignment horizontal="right"/>
    </xf>
    <xf numFmtId="0" fontId="2" fillId="4" borderId="0" xfId="0" applyFont="1" applyFill="1"/>
    <xf numFmtId="0" fontId="4" fillId="4" borderId="0" xfId="0" applyFont="1" applyFill="1" applyAlignment="1">
      <alignment horizontal="right" vertical="center"/>
    </xf>
    <xf numFmtId="0" fontId="5" fillId="4" borderId="0" xfId="0" applyFont="1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wrapText="1"/>
    </xf>
    <xf numFmtId="0" fontId="4" fillId="3" borderId="0" xfId="0" applyFont="1" applyFill="1" applyAlignment="1" applyProtection="1">
      <alignment vertical="center"/>
      <protection hidden="1"/>
    </xf>
    <xf numFmtId="164" fontId="4" fillId="3" borderId="0" xfId="0" applyNumberFormat="1" applyFont="1" applyFill="1" applyAlignment="1" applyProtection="1">
      <alignment vertical="center"/>
      <protection hidden="1"/>
    </xf>
    <xf numFmtId="0" fontId="0" fillId="4" borderId="0" xfId="0" applyNumberFormat="1" applyFont="1" applyFill="1" applyAlignment="1"/>
    <xf numFmtId="0" fontId="1" fillId="4" borderId="0" xfId="0" applyFont="1" applyFill="1"/>
    <xf numFmtId="0" fontId="13" fillId="4" borderId="0" xfId="0" applyNumberFormat="1" applyFont="1" applyFill="1" applyAlignment="1">
      <alignment horizontal="right"/>
    </xf>
    <xf numFmtId="0" fontId="5" fillId="4" borderId="0" xfId="0" applyNumberFormat="1" applyFont="1" applyFill="1" applyAlignment="1"/>
    <xf numFmtId="0" fontId="7" fillId="4" borderId="0" xfId="0" applyNumberFormat="1" applyFont="1" applyFill="1" applyAlignment="1">
      <alignment horizontal="right"/>
    </xf>
    <xf numFmtId="0" fontId="13" fillId="4" borderId="0" xfId="0" applyFont="1" applyFill="1" applyAlignment="1">
      <alignment horizontal="right"/>
    </xf>
    <xf numFmtId="0" fontId="4" fillId="3" borderId="0" xfId="0" applyNumberFormat="1" applyFont="1" applyFill="1" applyAlignment="1"/>
    <xf numFmtId="0" fontId="4" fillId="2" borderId="0" xfId="0" applyNumberFormat="1" applyFont="1" applyFill="1" applyAlignment="1"/>
    <xf numFmtId="2" fontId="4" fillId="3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2" fontId="4" fillId="4" borderId="0" xfId="0" applyNumberFormat="1" applyFont="1" applyFill="1" applyProtection="1">
      <protection hidden="1"/>
    </xf>
    <xf numFmtId="0" fontId="3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NumberFormat="1" applyFont="1" applyFill="1" applyAlignment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2" fontId="3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5" borderId="0" xfId="0" applyFill="1"/>
    <xf numFmtId="165" fontId="4" fillId="3" borderId="0" xfId="0" applyNumberFormat="1" applyFont="1" applyFill="1"/>
    <xf numFmtId="0" fontId="0" fillId="0" borderId="0" xfId="0" applyAlignment="1">
      <alignment wrapText="1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5" fillId="4" borderId="0" xfId="0" applyFont="1" applyFill="1" applyAlignment="1"/>
    <xf numFmtId="0" fontId="0" fillId="0" borderId="0" xfId="0" applyFill="1" applyAlignment="1" applyProtection="1">
      <alignment vertical="center"/>
      <protection locked="0"/>
    </xf>
    <xf numFmtId="164" fontId="4" fillId="3" borderId="0" xfId="0" applyNumberFormat="1" applyFont="1" applyFill="1" applyProtection="1">
      <protection hidden="1"/>
    </xf>
    <xf numFmtId="164" fontId="4" fillId="3" borderId="0" xfId="0" applyNumberFormat="1" applyFont="1" applyFill="1"/>
    <xf numFmtId="0" fontId="4" fillId="0" borderId="0" xfId="0" applyFont="1"/>
    <xf numFmtId="0" fontId="8" fillId="0" borderId="0" xfId="0" applyFont="1" applyBorder="1" applyAlignment="1">
      <alignment horizontal="right"/>
    </xf>
    <xf numFmtId="0" fontId="4" fillId="4" borderId="0" xfId="0" applyFont="1" applyFill="1" applyBorder="1"/>
    <xf numFmtId="0" fontId="0" fillId="4" borderId="0" xfId="0" applyFill="1" applyBorder="1"/>
    <xf numFmtId="0" fontId="4" fillId="2" borderId="0" xfId="0" applyFont="1" applyFill="1" applyBorder="1" applyProtection="1">
      <protection locked="0"/>
    </xf>
    <xf numFmtId="2" fontId="4" fillId="3" borderId="0" xfId="0" applyNumberFormat="1" applyFont="1" applyFill="1" applyBorder="1" applyProtection="1">
      <protection hidden="1"/>
    </xf>
    <xf numFmtId="0" fontId="4" fillId="3" borderId="0" xfId="0" applyFont="1" applyFill="1" applyBorder="1" applyProtection="1">
      <protection hidden="1"/>
    </xf>
    <xf numFmtId="0" fontId="4" fillId="0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2" fontId="0" fillId="0" borderId="0" xfId="0" applyNumberFormat="1" applyFont="1" applyFill="1" applyBorder="1"/>
    <xf numFmtId="0" fontId="14" fillId="4" borderId="0" xfId="0" applyFont="1" applyFill="1"/>
    <xf numFmtId="0" fontId="14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14" fillId="4" borderId="0" xfId="0" applyNumberFormat="1" applyFont="1" applyFill="1" applyAlignment="1"/>
    <xf numFmtId="0" fontId="4" fillId="5" borderId="0" xfId="0" applyFont="1" applyFill="1"/>
    <xf numFmtId="0" fontId="13" fillId="2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4" fillId="4" borderId="0" xfId="0" applyFont="1" applyFill="1" applyAlignment="1">
      <alignment horizontal="center"/>
    </xf>
    <xf numFmtId="0" fontId="13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tabSelected="1" zoomScale="90" zoomScaleNormal="90" workbookViewId="0"/>
  </sheetViews>
  <sheetFormatPr defaultColWidth="0" defaultRowHeight="14.4" zeroHeight="1" x14ac:dyDescent="0.3"/>
  <cols>
    <col min="1" max="1" width="31" bestFit="1" customWidth="1"/>
    <col min="2" max="2" width="10" customWidth="1"/>
    <col min="3" max="5" width="8.88671875" customWidth="1"/>
    <col min="6" max="16384" width="8.88671875" hidden="1"/>
  </cols>
  <sheetData>
    <row r="1" spans="1:5" x14ac:dyDescent="0.3">
      <c r="A1" s="20"/>
      <c r="B1" s="20"/>
      <c r="C1" s="20"/>
      <c r="D1" s="20"/>
      <c r="E1" s="37" t="s">
        <v>75</v>
      </c>
    </row>
    <row r="2" spans="1:5" x14ac:dyDescent="0.3">
      <c r="A2" s="22" t="s">
        <v>84</v>
      </c>
      <c r="B2" s="41">
        <v>5</v>
      </c>
      <c r="C2" s="20"/>
      <c r="D2" s="20"/>
      <c r="E2" s="36" t="s">
        <v>76</v>
      </c>
    </row>
    <row r="3" spans="1:5" x14ac:dyDescent="0.3">
      <c r="A3" s="22" t="s">
        <v>85</v>
      </c>
      <c r="B3" s="41">
        <v>6.5</v>
      </c>
      <c r="C3" s="20"/>
      <c r="D3" s="20"/>
    </row>
    <row r="4" spans="1:5" x14ac:dyDescent="0.3">
      <c r="A4" s="22" t="s">
        <v>4</v>
      </c>
      <c r="B4" s="41">
        <v>3</v>
      </c>
      <c r="C4" s="20"/>
      <c r="D4" s="20"/>
      <c r="E4" s="20"/>
    </row>
    <row r="5" spans="1:5" x14ac:dyDescent="0.3">
      <c r="A5" s="22" t="s">
        <v>0</v>
      </c>
      <c r="B5" s="42">
        <v>0.05</v>
      </c>
      <c r="C5" s="69" t="s">
        <v>51</v>
      </c>
      <c r="D5" s="20"/>
      <c r="E5" s="20"/>
    </row>
    <row r="6" spans="1:5" x14ac:dyDescent="0.3">
      <c r="A6" s="22" t="s">
        <v>8</v>
      </c>
      <c r="B6" s="42">
        <v>80</v>
      </c>
      <c r="C6" s="69" t="s">
        <v>74</v>
      </c>
      <c r="D6" s="20"/>
      <c r="E6" s="20"/>
    </row>
    <row r="7" spans="1:5" x14ac:dyDescent="0.3">
      <c r="A7" s="22" t="s">
        <v>6</v>
      </c>
      <c r="B7" s="41">
        <v>1</v>
      </c>
      <c r="C7" s="20"/>
      <c r="D7" s="20"/>
      <c r="E7" s="20"/>
    </row>
    <row r="8" spans="1:5" x14ac:dyDescent="0.3">
      <c r="A8" s="22" t="s">
        <v>90</v>
      </c>
      <c r="B8" s="42">
        <v>1</v>
      </c>
      <c r="C8" s="20"/>
      <c r="D8" s="20"/>
      <c r="E8" s="20"/>
    </row>
    <row r="9" spans="1:5" x14ac:dyDescent="0.3">
      <c r="A9" s="22" t="s">
        <v>35</v>
      </c>
      <c r="B9" s="42">
        <v>0</v>
      </c>
      <c r="C9" s="20"/>
      <c r="D9" s="20"/>
      <c r="E9" s="20"/>
    </row>
    <row r="10" spans="1:5" x14ac:dyDescent="0.3">
      <c r="A10" s="22" t="s">
        <v>36</v>
      </c>
      <c r="B10" s="42">
        <v>0</v>
      </c>
      <c r="C10" s="20"/>
      <c r="D10" s="20"/>
      <c r="E10" s="20"/>
    </row>
    <row r="11" spans="1:5" x14ac:dyDescent="0.3">
      <c r="A11" s="22" t="s">
        <v>37</v>
      </c>
      <c r="B11" s="42">
        <v>0</v>
      </c>
      <c r="C11" s="20"/>
      <c r="D11" s="20"/>
      <c r="E11" s="20"/>
    </row>
    <row r="12" spans="1:5" s="20" customFormat="1" x14ac:dyDescent="0.3">
      <c r="A12" s="22"/>
      <c r="B12" s="75"/>
    </row>
    <row r="13" spans="1:5" x14ac:dyDescent="0.3">
      <c r="A13" s="22" t="s">
        <v>33</v>
      </c>
      <c r="B13" s="21">
        <f>ROUNDUP((B14*B8),0)</f>
        <v>50</v>
      </c>
      <c r="C13" s="20"/>
      <c r="D13" s="20"/>
      <c r="E13" s="20"/>
    </row>
    <row r="14" spans="1:5" x14ac:dyDescent="0.3">
      <c r="A14" s="22" t="s">
        <v>34</v>
      </c>
      <c r="B14" s="21">
        <f>ROUNDUP(((((2*(B22+B23)^2*$B24/(ABS(B2-B3))^2)*2)*((B8+1)^2)/(4*B8))/(B8+1)*B26*B27),0)</f>
        <v>50</v>
      </c>
      <c r="C14" s="20"/>
      <c r="D14" s="20"/>
      <c r="E14" s="20"/>
    </row>
    <row r="15" spans="1:5" x14ac:dyDescent="0.3">
      <c r="A15" s="22" t="s">
        <v>7</v>
      </c>
      <c r="B15" s="21">
        <f>B14+B13</f>
        <v>100</v>
      </c>
      <c r="C15" s="20"/>
      <c r="D15" s="20"/>
      <c r="E15" s="20"/>
    </row>
    <row r="16" spans="1:5" x14ac:dyDescent="0.3">
      <c r="A16" s="22" t="s">
        <v>25</v>
      </c>
      <c r="B16" s="38">
        <f>(ABS(B2-B3))/B4</f>
        <v>0.5</v>
      </c>
      <c r="C16" s="20"/>
      <c r="D16" s="20"/>
      <c r="E16" s="20"/>
    </row>
    <row r="17" spans="1:5" x14ac:dyDescent="0.3">
      <c r="A17" s="22"/>
      <c r="B17" s="39"/>
      <c r="C17" s="20"/>
      <c r="D17" s="20"/>
      <c r="E17" s="20"/>
    </row>
    <row r="18" spans="1:5" x14ac:dyDescent="0.3">
      <c r="A18" s="76" t="s">
        <v>77</v>
      </c>
      <c r="B18" s="76"/>
      <c r="C18" s="76"/>
      <c r="D18" s="76"/>
      <c r="E18" s="76"/>
    </row>
    <row r="19" spans="1:5" hidden="1" x14ac:dyDescent="0.3"/>
    <row r="20" spans="1:5" hidden="1" x14ac:dyDescent="0.3">
      <c r="A20" s="9" t="s">
        <v>5</v>
      </c>
      <c r="B20">
        <f>(2*(B22+B23)^2*B24)/B25^2</f>
        <v>49.460457856158129</v>
      </c>
    </row>
    <row r="21" spans="1:5" hidden="1" x14ac:dyDescent="0.3">
      <c r="A21" s="9" t="s">
        <v>23</v>
      </c>
      <c r="B21">
        <f>1-(B6/100)</f>
        <v>0.19999999999999996</v>
      </c>
      <c r="C21" s="8" t="s">
        <v>31</v>
      </c>
    </row>
    <row r="22" spans="1:5" hidden="1" x14ac:dyDescent="0.3">
      <c r="A22" s="9" t="s">
        <v>2</v>
      </c>
      <c r="B22">
        <f>NORMSINV(1-B5/B7)</f>
        <v>1.6448536269514715</v>
      </c>
      <c r="C22" s="8" t="s">
        <v>10</v>
      </c>
    </row>
    <row r="23" spans="1:5" hidden="1" x14ac:dyDescent="0.3">
      <c r="A23" s="9" t="s">
        <v>3</v>
      </c>
      <c r="B23">
        <f>NORMSINV(1-B21)</f>
        <v>0.84162123357291474</v>
      </c>
      <c r="C23" s="8" t="s">
        <v>11</v>
      </c>
    </row>
    <row r="24" spans="1:5" hidden="1" x14ac:dyDescent="0.3">
      <c r="A24" s="9" t="s">
        <v>1</v>
      </c>
      <c r="B24">
        <f>B4^2</f>
        <v>9</v>
      </c>
      <c r="C24" s="8" t="s">
        <v>9</v>
      </c>
    </row>
    <row r="25" spans="1:5" hidden="1" x14ac:dyDescent="0.3">
      <c r="A25" s="9" t="s">
        <v>32</v>
      </c>
      <c r="B25">
        <f>ABS(B2-B3)</f>
        <v>1.5</v>
      </c>
      <c r="C25" s="8" t="s">
        <v>24</v>
      </c>
    </row>
    <row r="26" spans="1:5" hidden="1" x14ac:dyDescent="0.3">
      <c r="B26">
        <f>1/((1-(B9/100)-(B10/100))^2)</f>
        <v>1</v>
      </c>
      <c r="C26" s="15" t="s">
        <v>39</v>
      </c>
    </row>
    <row r="27" spans="1:5" hidden="1" x14ac:dyDescent="0.3">
      <c r="B27" s="16">
        <f>100/(100-B11)</f>
        <v>1</v>
      </c>
      <c r="C27" s="15" t="s">
        <v>38</v>
      </c>
    </row>
  </sheetData>
  <sheetProtection algorithmName="SHA-512" hashValue="CTfAVAViL4LZjnKbF4rxL8lJkbhdCOQkjtv4iDvRPrnerKJSKvbqHINu+W5m1SpiN+xPn4Pp7T0vmK+hfVjMdw==" saltValue="CsacAXm709FAbg0QrF9wVA==" spinCount="100000" sheet="1" objects="1" scenarios="1"/>
  <mergeCells count="1">
    <mergeCell ref="A18:E18"/>
  </mergeCells>
  <dataValidations count="4">
    <dataValidation type="decimal" showInputMessage="1" showErrorMessage="1" sqref="B5" xr:uid="{6FEE219C-4614-44C1-B1F9-118D1DF4ED0D}">
      <formula1>0.00001</formula1>
      <formula2>0.99999</formula2>
    </dataValidation>
    <dataValidation type="decimal" showInputMessage="1" showErrorMessage="1" sqref="B6" xr:uid="{9CF3D0F5-C91D-4A78-9E43-CEA6850703D7}">
      <formula1>0.1</formula1>
      <formula2>99</formula2>
    </dataValidation>
    <dataValidation type="whole" showInputMessage="1" showErrorMessage="1" error="1-tail or 2-tail only" sqref="B7" xr:uid="{5CF2FF19-A5D0-4093-B0AC-07566EB57A91}">
      <formula1>1</formula1>
      <formula2>2</formula2>
    </dataValidation>
    <dataValidation type="decimal" operator="lessThanOrEqual" allowBlank="1" showInputMessage="1" showErrorMessage="1" sqref="B9:B12" xr:uid="{62297512-F527-43F3-9577-78FDF1AE83F8}">
      <formula1>99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zoomScale="90" zoomScaleNormal="90" workbookViewId="0"/>
  </sheetViews>
  <sheetFormatPr defaultColWidth="0" defaultRowHeight="14.4" zeroHeight="1" x14ac:dyDescent="0.3"/>
  <cols>
    <col min="1" max="1" width="56.33203125" style="6" bestFit="1" customWidth="1"/>
    <col min="2" max="2" width="9.88671875" style="6" customWidth="1"/>
    <col min="3" max="5" width="9.21875" style="6" customWidth="1"/>
    <col min="6" max="16384" width="9.21875" style="6" hidden="1"/>
  </cols>
  <sheetData>
    <row r="1" spans="1:5" ht="15" customHeight="1" x14ac:dyDescent="0.3">
      <c r="A1" s="30"/>
      <c r="B1" s="31"/>
      <c r="C1" s="30"/>
      <c r="D1" s="30"/>
      <c r="E1" s="37" t="s">
        <v>75</v>
      </c>
    </row>
    <row r="2" spans="1:5" ht="15" customHeight="1" x14ac:dyDescent="0.3">
      <c r="A2" s="32" t="s">
        <v>87</v>
      </c>
      <c r="B2" s="43">
        <v>20</v>
      </c>
      <c r="C2" s="30"/>
      <c r="D2" s="30"/>
      <c r="E2" s="36" t="s">
        <v>76</v>
      </c>
    </row>
    <row r="3" spans="1:5" ht="15" customHeight="1" x14ac:dyDescent="0.3">
      <c r="A3" s="32" t="s">
        <v>86</v>
      </c>
      <c r="B3" s="43">
        <v>10</v>
      </c>
      <c r="C3" s="33"/>
      <c r="D3" s="30"/>
    </row>
    <row r="4" spans="1:5" ht="15" customHeight="1" x14ac:dyDescent="0.3">
      <c r="A4" s="34" t="s">
        <v>0</v>
      </c>
      <c r="B4" s="43">
        <v>0.05</v>
      </c>
      <c r="C4" s="69" t="s">
        <v>51</v>
      </c>
      <c r="D4" s="30"/>
      <c r="E4" s="30"/>
    </row>
    <row r="5" spans="1:5" ht="15" customHeight="1" x14ac:dyDescent="0.3">
      <c r="A5" s="34" t="s">
        <v>8</v>
      </c>
      <c r="B5" s="43">
        <v>80</v>
      </c>
      <c r="C5" s="72" t="s">
        <v>74</v>
      </c>
      <c r="D5" s="30"/>
      <c r="E5" s="30"/>
    </row>
    <row r="6" spans="1:5" ht="15" customHeight="1" x14ac:dyDescent="0.3">
      <c r="A6" s="22" t="s">
        <v>6</v>
      </c>
      <c r="B6" s="43">
        <v>2</v>
      </c>
      <c r="C6" s="25"/>
      <c r="D6" s="30"/>
      <c r="E6" s="30"/>
    </row>
    <row r="7" spans="1:5" ht="15" customHeight="1" x14ac:dyDescent="0.3">
      <c r="A7" s="22" t="s">
        <v>90</v>
      </c>
      <c r="B7" s="42">
        <v>1</v>
      </c>
      <c r="C7" s="33"/>
      <c r="D7" s="30"/>
      <c r="E7" s="30"/>
    </row>
    <row r="8" spans="1:5" ht="15" customHeight="1" x14ac:dyDescent="0.3">
      <c r="A8" s="22" t="s">
        <v>35</v>
      </c>
      <c r="B8" s="42">
        <v>0</v>
      </c>
      <c r="C8" s="33"/>
      <c r="D8" s="30"/>
      <c r="E8" s="30"/>
    </row>
    <row r="9" spans="1:5" ht="15" customHeight="1" x14ac:dyDescent="0.3">
      <c r="A9" s="22" t="s">
        <v>36</v>
      </c>
      <c r="B9" s="42">
        <v>0</v>
      </c>
      <c r="C9" s="33"/>
      <c r="D9" s="30"/>
      <c r="E9" s="30"/>
    </row>
    <row r="10" spans="1:5" ht="15" customHeight="1" x14ac:dyDescent="0.3">
      <c r="A10" s="22" t="s">
        <v>37</v>
      </c>
      <c r="B10" s="42">
        <v>0</v>
      </c>
      <c r="C10" s="30"/>
      <c r="D10" s="30"/>
      <c r="E10" s="30"/>
    </row>
    <row r="11" spans="1:5" s="30" customFormat="1" ht="15" customHeight="1" x14ac:dyDescent="0.3">
      <c r="A11" s="22"/>
      <c r="B11" s="75"/>
    </row>
    <row r="12" spans="1:5" ht="15" customHeight="1" x14ac:dyDescent="0.3">
      <c r="A12" s="22" t="s">
        <v>33</v>
      </c>
      <c r="B12" s="21">
        <f>ROUNDUP((B13*B7),0)</f>
        <v>197</v>
      </c>
      <c r="C12" s="30"/>
      <c r="D12" s="30"/>
      <c r="E12" s="30"/>
    </row>
    <row r="13" spans="1:5" ht="15" customHeight="1" x14ac:dyDescent="0.3">
      <c r="A13" s="22" t="s">
        <v>34</v>
      </c>
      <c r="B13" s="21">
        <f>ROUNDUP((((B19*2)*((B7+1)^2)/(4*B7))/(B7+1)*B31*B32),0)</f>
        <v>197</v>
      </c>
      <c r="C13" s="30"/>
      <c r="D13" s="30"/>
      <c r="E13" s="30"/>
    </row>
    <row r="14" spans="1:5" ht="15" customHeight="1" x14ac:dyDescent="0.3">
      <c r="A14" s="22" t="s">
        <v>7</v>
      </c>
      <c r="B14" s="21">
        <f>B13+B12</f>
        <v>394</v>
      </c>
      <c r="C14" s="30"/>
      <c r="D14" s="30"/>
      <c r="E14" s="30"/>
    </row>
    <row r="15" spans="1:5" s="10" customFormat="1" ht="15" customHeight="1" x14ac:dyDescent="0.3">
      <c r="A15" s="35" t="s">
        <v>45</v>
      </c>
      <c r="B15" s="38">
        <f>B24/B23*100</f>
        <v>50</v>
      </c>
      <c r="C15" s="30"/>
      <c r="D15" s="30"/>
      <c r="E15" s="30"/>
    </row>
    <row r="16" spans="1:5" s="10" customFormat="1" ht="15" customHeight="1" x14ac:dyDescent="0.3">
      <c r="A16" s="35"/>
      <c r="B16" s="40"/>
      <c r="C16" s="30"/>
      <c r="D16" s="30"/>
      <c r="E16" s="30"/>
    </row>
    <row r="17" spans="1:5" s="10" customFormat="1" ht="15" customHeight="1" x14ac:dyDescent="0.3">
      <c r="A17" s="76" t="s">
        <v>77</v>
      </c>
      <c r="B17" s="76"/>
      <c r="C17" s="76"/>
      <c r="D17" s="76"/>
      <c r="E17" s="76"/>
    </row>
    <row r="18" spans="1:5" ht="15" hidden="1" customHeight="1" x14ac:dyDescent="0.3"/>
    <row r="19" spans="1:5" ht="15" hidden="1" customHeight="1" x14ac:dyDescent="0.3">
      <c r="A19" s="4" t="s">
        <v>44</v>
      </c>
      <c r="B19" s="6">
        <f>((B23*B25+B24*B26)*(B21+B22)^2)/(B27^2)</f>
        <v>196.22199335872722</v>
      </c>
    </row>
    <row r="20" spans="1:5" ht="15" hidden="1" customHeight="1" x14ac:dyDescent="0.3">
      <c r="A20" s="7" t="s">
        <v>19</v>
      </c>
      <c r="B20" s="6">
        <f>1-(B5/100)</f>
        <v>0.19999999999999996</v>
      </c>
      <c r="C20" s="8" t="s">
        <v>31</v>
      </c>
    </row>
    <row r="21" spans="1:5" ht="15" hidden="1" customHeight="1" x14ac:dyDescent="0.3">
      <c r="A21" s="9" t="s">
        <v>2</v>
      </c>
      <c r="B21" s="6">
        <f>NORMSINV(1-B4/B6)</f>
        <v>1.9599639845400536</v>
      </c>
      <c r="C21" s="8" t="s">
        <v>10</v>
      </c>
    </row>
    <row r="22" spans="1:5" ht="15" hidden="1" customHeight="1" x14ac:dyDescent="0.3">
      <c r="A22" s="9" t="s">
        <v>3</v>
      </c>
      <c r="B22" s="6">
        <f>NORMSINV(1-B20)</f>
        <v>0.84162123357291474</v>
      </c>
      <c r="C22" s="8" t="s">
        <v>11</v>
      </c>
    </row>
    <row r="23" spans="1:5" ht="15" hidden="1" customHeight="1" x14ac:dyDescent="0.35">
      <c r="A23" s="3" t="s">
        <v>12</v>
      </c>
      <c r="B23" s="6">
        <f>(B30*B2)/100</f>
        <v>0.2</v>
      </c>
      <c r="C23" s="2" t="s">
        <v>21</v>
      </c>
    </row>
    <row r="24" spans="1:5" ht="15" hidden="1" customHeight="1" x14ac:dyDescent="0.35">
      <c r="A24" s="3" t="s">
        <v>13</v>
      </c>
      <c r="B24" s="6">
        <f>(B30*B3)/100</f>
        <v>0.1</v>
      </c>
      <c r="C24" s="2" t="s">
        <v>20</v>
      </c>
    </row>
    <row r="25" spans="1:5" ht="15" hidden="1" customHeight="1" x14ac:dyDescent="0.35">
      <c r="A25" s="5" t="s">
        <v>14</v>
      </c>
      <c r="B25" s="6">
        <f>1-B23</f>
        <v>0.8</v>
      </c>
      <c r="C25" s="2"/>
    </row>
    <row r="26" spans="1:5" ht="15" hidden="1" customHeight="1" x14ac:dyDescent="0.35">
      <c r="A26" s="5" t="s">
        <v>15</v>
      </c>
      <c r="B26" s="6">
        <f>1-B24</f>
        <v>0.9</v>
      </c>
      <c r="C26" s="2"/>
    </row>
    <row r="27" spans="1:5" ht="15" hidden="1" customHeight="1" x14ac:dyDescent="0.35">
      <c r="A27" s="5" t="s">
        <v>16</v>
      </c>
      <c r="B27" s="14">
        <f>B23-B24</f>
        <v>0.1</v>
      </c>
      <c r="C27" s="2" t="s">
        <v>26</v>
      </c>
    </row>
    <row r="28" spans="1:5" ht="15" hidden="1" customHeight="1" x14ac:dyDescent="0.35">
      <c r="A28" s="7" t="s">
        <v>17</v>
      </c>
      <c r="B28" s="6">
        <f>(B23+B24)/2</f>
        <v>0.15000000000000002</v>
      </c>
      <c r="C28" s="2" t="s">
        <v>22</v>
      </c>
    </row>
    <row r="29" spans="1:5" ht="15" hidden="1" customHeight="1" x14ac:dyDescent="0.35">
      <c r="A29" s="7" t="s">
        <v>18</v>
      </c>
      <c r="B29" s="6">
        <f>1-B28</f>
        <v>0.85</v>
      </c>
      <c r="C29" s="2"/>
    </row>
    <row r="30" spans="1:5" ht="15" hidden="1" customHeight="1" x14ac:dyDescent="0.3">
      <c r="B30" s="10">
        <v>1</v>
      </c>
      <c r="C30" s="18" t="s">
        <v>43</v>
      </c>
    </row>
    <row r="31" spans="1:5" ht="15" hidden="1" customHeight="1" x14ac:dyDescent="0.3">
      <c r="A31" s="9"/>
      <c r="B31">
        <f>1/((1-(B8/100)-(B9/100))^2)</f>
        <v>1</v>
      </c>
      <c r="C31" s="15" t="s">
        <v>39</v>
      </c>
    </row>
    <row r="32" spans="1:5" ht="15" hidden="1" customHeight="1" x14ac:dyDescent="0.3">
      <c r="B32" s="17">
        <f>100/(100-B10)</f>
        <v>1</v>
      </c>
      <c r="C32" s="15" t="s">
        <v>38</v>
      </c>
    </row>
    <row r="33" spans="1:3" ht="15" hidden="1" customHeight="1" x14ac:dyDescent="0.3">
      <c r="A33" s="9"/>
      <c r="B33"/>
      <c r="C33" s="2"/>
    </row>
    <row r="34" spans="1:3" ht="15" hidden="1" customHeight="1" x14ac:dyDescent="0.3">
      <c r="A34" s="3"/>
      <c r="B34" s="6" t="s">
        <v>27</v>
      </c>
      <c r="C34" s="2"/>
    </row>
    <row r="35" spans="1:3" hidden="1" x14ac:dyDescent="0.3">
      <c r="B35" s="6" t="s">
        <v>28</v>
      </c>
    </row>
    <row r="36" spans="1:3" hidden="1" x14ac:dyDescent="0.3"/>
    <row r="37" spans="1:3" hidden="1" x14ac:dyDescent="0.3"/>
    <row r="38" spans="1:3" hidden="1" x14ac:dyDescent="0.3"/>
    <row r="39" spans="1:3" hidden="1" x14ac:dyDescent="0.3"/>
    <row r="40" spans="1:3" hidden="1" x14ac:dyDescent="0.3"/>
    <row r="41" spans="1:3" hidden="1" x14ac:dyDescent="0.3"/>
  </sheetData>
  <sheetProtection algorithmName="SHA-512" hashValue="34ZEUlGppRn0pfus7MVEdpzFxKAUWPBIeyMMpIxUvzOO5gbQmPutReLsbFYAfS+coMwASUlQmZWXyjfW2h+39A==" saltValue="8vxNg4qBl4R6zh4+SjubWQ==" spinCount="100000" sheet="1" objects="1" scenarios="1"/>
  <mergeCells count="1">
    <mergeCell ref="A17:E17"/>
  </mergeCells>
  <dataValidations count="4">
    <dataValidation type="decimal" showInputMessage="1" showErrorMessage="1" sqref="B4" xr:uid="{686385FF-8BE9-45CD-8977-660BFE8121E7}">
      <formula1>0.00001</formula1>
      <formula2>0.99999</formula2>
    </dataValidation>
    <dataValidation type="decimal" showInputMessage="1" showErrorMessage="1" sqref="B5" xr:uid="{6464586C-CCE6-4736-B4C2-D030801D3100}">
      <formula1>0.1</formula1>
      <formula2>99</formula2>
    </dataValidation>
    <dataValidation type="decimal" operator="lessThanOrEqual" showInputMessage="1" showErrorMessage="1" sqref="B8:B11" xr:uid="{80709A3F-185B-49D6-B4F2-0D5C38ED2BE4}">
      <formula1>99</formula1>
    </dataValidation>
    <dataValidation type="whole" showInputMessage="1" showErrorMessage="1" error="1-tail or 2-tail only" sqref="B6" xr:uid="{D6C5A6C1-C5E1-4E57-994A-5C85D5DFCB0F}">
      <formula1>1</formula1>
      <formula2>2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9CE-958D-4317-AF62-ECF1DBACD5B9}">
  <dimension ref="A1:K39"/>
  <sheetViews>
    <sheetView workbookViewId="0"/>
  </sheetViews>
  <sheetFormatPr defaultColWidth="0" defaultRowHeight="14.4" zeroHeight="1" x14ac:dyDescent="0.3"/>
  <cols>
    <col min="1" max="1" width="41.109375" customWidth="1"/>
    <col min="2" max="2" width="10" customWidth="1"/>
    <col min="3" max="4" width="8.88671875" customWidth="1"/>
    <col min="5" max="11" width="0" hidden="1" customWidth="1"/>
    <col min="12" max="16384" width="8.88671875" hidden="1"/>
  </cols>
  <sheetData>
    <row r="1" spans="1:8" x14ac:dyDescent="0.3">
      <c r="B1" s="20"/>
      <c r="C1" s="20"/>
      <c r="D1" s="37" t="s">
        <v>75</v>
      </c>
      <c r="G1" s="54" t="s">
        <v>96</v>
      </c>
      <c r="H1" s="68">
        <f>(B4-B3)/(B3+B4)*100</f>
        <v>4.3478260869565251</v>
      </c>
    </row>
    <row r="2" spans="1:8" x14ac:dyDescent="0.3">
      <c r="A2" s="61" t="s">
        <v>104</v>
      </c>
      <c r="B2" s="62"/>
      <c r="C2" s="62"/>
      <c r="D2" s="36" t="s">
        <v>76</v>
      </c>
      <c r="G2" s="54" t="s">
        <v>97</v>
      </c>
      <c r="H2" s="53">
        <f>B3/(2-B3)</f>
        <v>0.70212765957446799</v>
      </c>
    </row>
    <row r="3" spans="1:8" x14ac:dyDescent="0.3">
      <c r="A3" s="67" t="s">
        <v>92</v>
      </c>
      <c r="B3" s="63">
        <v>0.82499999999999996</v>
      </c>
      <c r="C3" s="62"/>
      <c r="G3" s="54" t="s">
        <v>98</v>
      </c>
      <c r="H3" s="53">
        <f>(2*B3^2)/(1+B3)</f>
        <v>0.74589041095890407</v>
      </c>
    </row>
    <row r="4" spans="1:8" x14ac:dyDescent="0.3">
      <c r="A4" s="67" t="s">
        <v>93</v>
      </c>
      <c r="B4" s="63">
        <v>0.9</v>
      </c>
      <c r="C4" s="62"/>
      <c r="D4" s="62"/>
    </row>
    <row r="5" spans="1:8" x14ac:dyDescent="0.3">
      <c r="A5" s="22" t="s">
        <v>105</v>
      </c>
      <c r="B5" s="63">
        <v>2</v>
      </c>
      <c r="C5" s="62"/>
      <c r="D5" s="62"/>
      <c r="G5" s="54" t="s">
        <v>99</v>
      </c>
      <c r="H5" s="53">
        <f>B4/(2-B4)</f>
        <v>0.81818181818181812</v>
      </c>
    </row>
    <row r="6" spans="1:8" x14ac:dyDescent="0.3">
      <c r="A6" s="67" t="s">
        <v>0</v>
      </c>
      <c r="B6" s="63">
        <v>0.05</v>
      </c>
      <c r="C6" s="69" t="s">
        <v>51</v>
      </c>
      <c r="D6" s="62"/>
      <c r="G6" s="54" t="s">
        <v>100</v>
      </c>
      <c r="H6" s="53">
        <f>(2*B4^2)/(1+B4)</f>
        <v>0.85263157894736852</v>
      </c>
    </row>
    <row r="7" spans="1:8" x14ac:dyDescent="0.3">
      <c r="A7" s="67" t="s">
        <v>8</v>
      </c>
      <c r="B7" s="63">
        <v>80</v>
      </c>
      <c r="C7" s="72" t="s">
        <v>74</v>
      </c>
      <c r="D7" s="62"/>
    </row>
    <row r="8" spans="1:8" x14ac:dyDescent="0.3">
      <c r="A8" s="67" t="s">
        <v>6</v>
      </c>
      <c r="B8" s="74">
        <v>2</v>
      </c>
      <c r="C8" s="62"/>
      <c r="D8" s="62"/>
      <c r="G8" s="54" t="s">
        <v>94</v>
      </c>
      <c r="H8" s="53">
        <f>H2+H3-(2*B3^2)</f>
        <v>8.676807053337221E-2</v>
      </c>
    </row>
    <row r="9" spans="1:8" x14ac:dyDescent="0.3">
      <c r="A9" s="19"/>
      <c r="B9" s="20"/>
      <c r="C9" s="20"/>
      <c r="D9" s="20"/>
      <c r="G9" s="54" t="s">
        <v>95</v>
      </c>
      <c r="H9" s="53">
        <f>H5+H6-(2*B4^2)</f>
        <v>5.0813397129186644E-2</v>
      </c>
    </row>
    <row r="10" spans="1:8" x14ac:dyDescent="0.3">
      <c r="A10" s="67" t="s">
        <v>103</v>
      </c>
      <c r="B10" s="64">
        <f>(B4/B3-1)*100</f>
        <v>9.0909090909091042</v>
      </c>
      <c r="C10" s="62"/>
      <c r="D10" s="62"/>
    </row>
    <row r="11" spans="1:8" x14ac:dyDescent="0.3">
      <c r="A11" s="22" t="s">
        <v>33</v>
      </c>
      <c r="B11" s="65">
        <f>ROUNDUP(((((H12*SQRT(2*H8)+H13*SQRT(H9+H8))/H11)^2)*0.5*(1+B5)),0)</f>
        <v>340</v>
      </c>
      <c r="C11" s="62"/>
      <c r="D11" s="62"/>
      <c r="G11" s="54" t="s">
        <v>101</v>
      </c>
      <c r="H11" s="53">
        <f>B4-B3</f>
        <v>7.5000000000000067E-2</v>
      </c>
    </row>
    <row r="12" spans="1:8" x14ac:dyDescent="0.3">
      <c r="A12" s="22" t="s">
        <v>34</v>
      </c>
      <c r="B12" s="65">
        <f>ROUNDUP(((((H12*SQRT(2*H8)+H13*SQRT(H9+H8))/H11)^2)*0.5*(1+1/B5)),0)</f>
        <v>170</v>
      </c>
      <c r="C12" s="62"/>
      <c r="D12" s="62"/>
      <c r="G12" s="54" t="s">
        <v>2</v>
      </c>
      <c r="H12" s="53">
        <f>NORMSINV(1-B6/B8)</f>
        <v>1.9599639845400536</v>
      </c>
    </row>
    <row r="13" spans="1:8" x14ac:dyDescent="0.3">
      <c r="A13" s="22" t="s">
        <v>7</v>
      </c>
      <c r="B13" s="65">
        <f>SUM(B11:B12)</f>
        <v>510</v>
      </c>
      <c r="C13" s="62"/>
      <c r="D13" s="62"/>
      <c r="G13" s="54" t="s">
        <v>3</v>
      </c>
      <c r="H13" s="53">
        <f>NORMSINV(1-H15)</f>
        <v>0.84162123357291474</v>
      </c>
    </row>
    <row r="14" spans="1:8" x14ac:dyDescent="0.3">
      <c r="A14" s="20"/>
      <c r="B14" s="20"/>
      <c r="C14" s="62"/>
      <c r="D14" s="62"/>
      <c r="E14" s="13"/>
      <c r="F14" s="13"/>
    </row>
    <row r="15" spans="1:8" x14ac:dyDescent="0.3">
      <c r="A15" s="77" t="s">
        <v>102</v>
      </c>
      <c r="B15" s="77"/>
      <c r="C15" s="77"/>
      <c r="D15" s="77"/>
      <c r="E15" s="66"/>
      <c r="F15" s="13"/>
      <c r="G15" s="54" t="s">
        <v>88</v>
      </c>
      <c r="H15" s="53">
        <f>1-(B7/100)</f>
        <v>0.19999999999999996</v>
      </c>
    </row>
    <row r="16" spans="1:8" x14ac:dyDescent="0.3">
      <c r="A16" s="76" t="s">
        <v>77</v>
      </c>
      <c r="B16" s="76"/>
      <c r="C16" s="76"/>
      <c r="D16" s="76"/>
      <c r="E16" s="13"/>
      <c r="F16" s="13"/>
    </row>
    <row r="17" spans="1:9" hidden="1" x14ac:dyDescent="0.3">
      <c r="A17" s="54"/>
      <c r="B17" s="53"/>
      <c r="C17" s="53"/>
      <c r="D17" s="53"/>
      <c r="H17" s="53" t="s">
        <v>89</v>
      </c>
    </row>
    <row r="18" spans="1:9" hidden="1" x14ac:dyDescent="0.3">
      <c r="C18" s="53"/>
      <c r="D18" s="53"/>
      <c r="H18" s="53">
        <f>((((H12*SQRT(2*H8)+H13*SQRT(H9+H8))/H11)^2)*0.5*(1+B5))</f>
        <v>339.69310726196875</v>
      </c>
    </row>
    <row r="19" spans="1:9" hidden="1" x14ac:dyDescent="0.3">
      <c r="C19" s="53"/>
      <c r="D19" s="53"/>
      <c r="H19" s="53">
        <f>((((H12*SQRT(2*H8)+H13*SQRT(H9+H8))/H11)^2)*0.5*(1+1/B5))</f>
        <v>169.84655363098437</v>
      </c>
    </row>
    <row r="20" spans="1:9" hidden="1" x14ac:dyDescent="0.3">
      <c r="C20" s="53"/>
      <c r="D20" s="53"/>
    </row>
    <row r="21" spans="1:9" hidden="1" x14ac:dyDescent="0.3">
      <c r="C21" s="53"/>
      <c r="D21" s="53"/>
    </row>
    <row r="22" spans="1:9" hidden="1" x14ac:dyDescent="0.3">
      <c r="C22" s="53"/>
      <c r="D22" s="53"/>
      <c r="E22" s="53"/>
      <c r="F22" s="53"/>
      <c r="G22" s="53"/>
      <c r="H22" s="53"/>
      <c r="I22" s="53"/>
    </row>
    <row r="23" spans="1:9" hidden="1" x14ac:dyDescent="0.3">
      <c r="A23" s="53"/>
      <c r="B23" s="53"/>
      <c r="D23" s="53"/>
      <c r="E23" s="53"/>
      <c r="F23" s="53"/>
      <c r="G23" s="53"/>
      <c r="H23" s="53"/>
      <c r="I23" s="53"/>
    </row>
    <row r="24" spans="1:9" hidden="1" x14ac:dyDescent="0.3">
      <c r="D24" s="53"/>
      <c r="E24" s="53"/>
      <c r="F24" s="53"/>
      <c r="G24" s="53"/>
      <c r="H24" s="53"/>
      <c r="I24" s="53"/>
    </row>
    <row r="25" spans="1:9" hidden="1" x14ac:dyDescent="0.3">
      <c r="D25" s="53"/>
      <c r="E25" s="53"/>
      <c r="F25" s="53"/>
      <c r="G25" s="53"/>
      <c r="H25" s="53"/>
      <c r="I25" s="53"/>
    </row>
    <row r="26" spans="1:9" hidden="1" x14ac:dyDescent="0.3">
      <c r="C26" s="53"/>
      <c r="D26" s="53"/>
      <c r="E26" s="53"/>
      <c r="F26" s="60"/>
      <c r="G26" s="53"/>
      <c r="H26" s="53"/>
      <c r="I26" s="53"/>
    </row>
    <row r="27" spans="1:9" hidden="1" x14ac:dyDescent="0.3">
      <c r="A27" s="53"/>
      <c r="B27" s="53"/>
      <c r="C27" s="53"/>
      <c r="D27" s="53"/>
      <c r="E27" s="53"/>
      <c r="F27" s="53"/>
      <c r="G27" s="53"/>
      <c r="H27" s="53"/>
      <c r="I27" s="53"/>
    </row>
    <row r="28" spans="1:9" hidden="1" x14ac:dyDescent="0.3">
      <c r="A28" s="53"/>
      <c r="B28" s="53"/>
      <c r="C28" s="53"/>
      <c r="D28" s="53"/>
      <c r="E28" s="53"/>
      <c r="F28" s="53"/>
      <c r="G28" s="53"/>
      <c r="H28" s="53"/>
      <c r="I28" s="53"/>
    </row>
    <row r="29" spans="1:9" hidden="1" x14ac:dyDescent="0.3">
      <c r="A29" s="53"/>
      <c r="B29" s="53"/>
      <c r="C29" s="53"/>
      <c r="D29" s="53"/>
      <c r="E29" s="53"/>
      <c r="F29" s="53"/>
      <c r="G29" s="53"/>
      <c r="H29" s="53"/>
      <c r="I29" s="53"/>
    </row>
    <row r="30" spans="1:9" hidden="1" x14ac:dyDescent="0.3">
      <c r="B30" s="53"/>
      <c r="C30" s="53"/>
      <c r="D30" s="53"/>
      <c r="E30" s="53"/>
      <c r="F30" s="53"/>
      <c r="G30" s="53"/>
      <c r="H30" s="53"/>
      <c r="I30" s="53"/>
    </row>
    <row r="31" spans="1:9" hidden="1" x14ac:dyDescent="0.3">
      <c r="A31" s="53"/>
      <c r="B31" s="53"/>
      <c r="C31" s="53"/>
      <c r="D31" s="53"/>
      <c r="E31" s="53"/>
      <c r="F31" s="53"/>
      <c r="G31" s="53"/>
      <c r="H31" s="53"/>
      <c r="I31" s="53"/>
    </row>
    <row r="32" spans="1:9" hidden="1" x14ac:dyDescent="0.3">
      <c r="A32" s="53"/>
      <c r="B32" s="53"/>
      <c r="C32" s="53"/>
      <c r="D32" s="53"/>
      <c r="E32" s="53"/>
      <c r="F32" s="53"/>
      <c r="G32" s="53"/>
      <c r="H32" s="53"/>
      <c r="I32" s="53"/>
    </row>
    <row r="33" spans="1:9" hidden="1" x14ac:dyDescent="0.3">
      <c r="A33" s="53"/>
      <c r="B33" s="53"/>
      <c r="C33" s="53"/>
      <c r="D33" s="53"/>
      <c r="E33" s="53"/>
      <c r="F33" s="53"/>
      <c r="G33" s="53"/>
      <c r="H33" s="53"/>
      <c r="I33" s="53"/>
    </row>
    <row r="34" spans="1:9" hidden="1" x14ac:dyDescent="0.3"/>
    <row r="35" spans="1:9" hidden="1" x14ac:dyDescent="0.3"/>
    <row r="36" spans="1:9" hidden="1" x14ac:dyDescent="0.3"/>
    <row r="37" spans="1:9" hidden="1" x14ac:dyDescent="0.3"/>
    <row r="38" spans="1:9" hidden="1" x14ac:dyDescent="0.3"/>
    <row r="39" spans="1:9" hidden="1" x14ac:dyDescent="0.3"/>
  </sheetData>
  <sheetProtection algorithmName="SHA-512" hashValue="JXmOhjCwLzv6mmgM6Hm8+VolUtNmtdhHv34X7Tlvd5/WkT9IL5LJYEQf6V+qT7JafwZu+VLBazqgqxUk+R1zBw==" saltValue="7YtCgQ16fUo6FBiFTW1ODg==" spinCount="100000" sheet="1" objects="1" scenarios="1"/>
  <mergeCells count="2">
    <mergeCell ref="A15:D15"/>
    <mergeCell ref="A16:D16"/>
  </mergeCells>
  <dataValidations count="2">
    <dataValidation type="custom" allowBlank="1" showInputMessage="1" showErrorMessage="1" error="AUC 2 has to be greater than AUC 1" sqref="B4" xr:uid="{A4BBDC5E-DB08-4572-BBDF-4EAB26877DA4}">
      <formula1>B4&gt;B3</formula1>
    </dataValidation>
    <dataValidation type="whole" allowBlank="1" showInputMessage="1" showErrorMessage="1" error="1-tail or 2-tail only" sqref="B8" xr:uid="{0A890EE2-0E8F-4B30-A5DB-0DC2253D4629}">
      <formula1>1</formula1>
      <formula2>2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="90" zoomScaleNormal="90" workbookViewId="0"/>
  </sheetViews>
  <sheetFormatPr defaultColWidth="0" defaultRowHeight="14.4" zeroHeight="1" x14ac:dyDescent="0.3"/>
  <cols>
    <col min="1" max="1" width="33.44140625" bestFit="1" customWidth="1"/>
    <col min="2" max="2" width="10" customWidth="1"/>
    <col min="3" max="3" width="95.88671875" customWidth="1"/>
    <col min="4" max="4" width="8.88671875" customWidth="1"/>
    <col min="5" max="16384" width="8.88671875" hidden="1"/>
  </cols>
  <sheetData>
    <row r="1" spans="1:8" s="20" customFormat="1" x14ac:dyDescent="0.3">
      <c r="D1" s="37" t="s">
        <v>75</v>
      </c>
    </row>
    <row r="2" spans="1:8" x14ac:dyDescent="0.3">
      <c r="A2" s="50" t="s">
        <v>72</v>
      </c>
      <c r="B2" s="23"/>
      <c r="C2" s="20"/>
      <c r="D2" s="36" t="s">
        <v>76</v>
      </c>
    </row>
    <row r="3" spans="1:8" x14ac:dyDescent="0.3">
      <c r="A3" s="24" t="s">
        <v>29</v>
      </c>
      <c r="B3" s="44">
        <v>0.95</v>
      </c>
      <c r="C3" s="69" t="s">
        <v>91</v>
      </c>
    </row>
    <row r="4" spans="1:8" x14ac:dyDescent="0.3">
      <c r="A4" s="24" t="s">
        <v>49</v>
      </c>
      <c r="B4" s="45">
        <v>5</v>
      </c>
      <c r="C4" s="70" t="s">
        <v>70</v>
      </c>
      <c r="D4" s="20"/>
    </row>
    <row r="5" spans="1:8" x14ac:dyDescent="0.3">
      <c r="A5" s="24" t="s">
        <v>48</v>
      </c>
      <c r="B5" s="44">
        <v>120000</v>
      </c>
      <c r="C5" s="69"/>
      <c r="D5" s="20"/>
    </row>
    <row r="6" spans="1:8" x14ac:dyDescent="0.3">
      <c r="A6" s="24" t="s">
        <v>40</v>
      </c>
      <c r="B6" s="46">
        <v>100</v>
      </c>
      <c r="C6" s="70" t="s">
        <v>41</v>
      </c>
      <c r="D6" s="20"/>
    </row>
    <row r="7" spans="1:8" x14ac:dyDescent="0.3">
      <c r="A7" s="24" t="s">
        <v>47</v>
      </c>
      <c r="B7" s="28">
        <f>ROUNDUP((B15*B5/(B15+B5-1)*B18),0)</f>
        <v>383</v>
      </c>
      <c r="C7" s="70" t="s">
        <v>52</v>
      </c>
      <c r="D7" s="20"/>
    </row>
    <row r="8" spans="1:8" x14ac:dyDescent="0.3">
      <c r="A8" s="24"/>
      <c r="B8" s="26"/>
      <c r="C8" s="70"/>
      <c r="D8" s="20"/>
    </row>
    <row r="9" spans="1:8" x14ac:dyDescent="0.3">
      <c r="A9" s="51" t="s">
        <v>73</v>
      </c>
      <c r="B9" s="26"/>
      <c r="C9" s="71"/>
      <c r="D9" s="20"/>
    </row>
    <row r="10" spans="1:8" x14ac:dyDescent="0.3">
      <c r="A10" s="24" t="s">
        <v>53</v>
      </c>
      <c r="B10" s="46">
        <v>527</v>
      </c>
      <c r="C10" s="70" t="s">
        <v>71</v>
      </c>
      <c r="D10" s="20"/>
      <c r="E10" s="11"/>
      <c r="F10" s="12"/>
      <c r="G10" s="13"/>
      <c r="H10" s="13"/>
    </row>
    <row r="11" spans="1:8" x14ac:dyDescent="0.3">
      <c r="A11" s="24" t="s">
        <v>54</v>
      </c>
      <c r="B11" s="29">
        <f>SQRT(((B19/100)*(1-(B19/100))*B17^2)/((B10*B5-B10)/(B5-B10)))*100</f>
        <v>4.2595023171636281</v>
      </c>
      <c r="C11" s="27"/>
      <c r="D11" s="20"/>
    </row>
    <row r="12" spans="1:8" x14ac:dyDescent="0.3">
      <c r="A12" s="20"/>
      <c r="B12" s="20"/>
      <c r="C12" s="20"/>
      <c r="D12" s="20"/>
    </row>
    <row r="13" spans="1:8" x14ac:dyDescent="0.3">
      <c r="A13" s="76" t="s">
        <v>77</v>
      </c>
      <c r="B13" s="76"/>
      <c r="C13" s="76"/>
      <c r="D13" s="76"/>
    </row>
    <row r="14" spans="1:8" hidden="1" x14ac:dyDescent="0.3"/>
    <row r="15" spans="1:8" hidden="1" x14ac:dyDescent="0.3">
      <c r="A15" s="9" t="s">
        <v>30</v>
      </c>
      <c r="B15" s="1">
        <f>((B19/100)*(1-(B19/100)))/(((B4/100)/B17)^2)</f>
        <v>384.14588206941232</v>
      </c>
    </row>
    <row r="16" spans="1:8" hidden="1" x14ac:dyDescent="0.3">
      <c r="A16" s="9" t="s">
        <v>30</v>
      </c>
      <c r="B16" s="1">
        <f>B15*B5/(B15+B5-1)</f>
        <v>382.92325317273105</v>
      </c>
      <c r="C16" s="8" t="s">
        <v>46</v>
      </c>
    </row>
    <row r="17" spans="1:3" hidden="1" x14ac:dyDescent="0.3">
      <c r="A17" s="9" t="s">
        <v>2</v>
      </c>
      <c r="B17">
        <f>NORMSINV(1-(1-B3)/2)</f>
        <v>1.9599639845400536</v>
      </c>
      <c r="C17" s="8" t="s">
        <v>42</v>
      </c>
    </row>
    <row r="18" spans="1:3" hidden="1" x14ac:dyDescent="0.3">
      <c r="B18" s="17">
        <f>100/(100-(100-B6))</f>
        <v>1</v>
      </c>
      <c r="C18" s="15" t="s">
        <v>38</v>
      </c>
    </row>
    <row r="19" spans="1:3" hidden="1" x14ac:dyDescent="0.3">
      <c r="A19" s="24" t="s">
        <v>50</v>
      </c>
      <c r="B19" s="56">
        <v>50</v>
      </c>
      <c r="C19" s="55" t="s">
        <v>55</v>
      </c>
    </row>
    <row r="20" spans="1:3" hidden="1" x14ac:dyDescent="0.3"/>
  </sheetData>
  <sheetProtection algorithmName="SHA-512" hashValue="oFIYmtmK002cnEQxpbcQDSd3Qn6MV2BHQYYbaJIo6sl2NikaOTVcscZvtuSgLw6z29ZOteDeC59vg4zLHZhCJg==" saltValue="U27X9QPKhTIbbvYeOxhJqQ==" spinCount="100000" sheet="1" objects="1" scenarios="1"/>
  <mergeCells count="1">
    <mergeCell ref="A13:D13"/>
  </mergeCells>
  <dataValidations count="6">
    <dataValidation type="decimal" showInputMessage="1" showErrorMessage="1" sqref="B3" xr:uid="{48AA52A4-717B-42BD-AA14-CFA0F2367D9D}">
      <formula1>0.01</formula1>
      <formula2>0.99</formula2>
    </dataValidation>
    <dataValidation type="decimal" showInputMessage="1" showErrorMessage="1" sqref="B6" xr:uid="{2BEC5256-7833-4C2A-A407-1A5A3699E074}">
      <formula1>1</formula1>
      <formula2>100</formula2>
    </dataValidation>
    <dataValidation type="whole" operator="greaterThan" showInputMessage="1" showErrorMessage="1" sqref="B5" xr:uid="{930530B6-EED1-403B-9112-873E283A853C}">
      <formula1>1</formula1>
    </dataValidation>
    <dataValidation type="whole" operator="greaterThan" allowBlank="1" showInputMessage="1" showErrorMessage="1" sqref="B10" xr:uid="{EA32A7AF-DF84-4BE2-8FFA-754D0FEA60FE}">
      <formula1>1</formula1>
    </dataValidation>
    <dataValidation type="decimal" showInputMessage="1" showErrorMessage="1" sqref="B19" xr:uid="{8F5EE2E5-3FCC-470E-B79D-65C0F1231F7D}">
      <formula1>1</formula1>
      <formula2>99</formula2>
    </dataValidation>
    <dataValidation type="decimal" showInputMessage="1" showErrorMessage="1" sqref="B4" xr:uid="{9CFBF517-F9A4-4377-9463-584CE32E0FE1}">
      <formula1>0.01</formula1>
      <formula2>99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53A2-FD73-48BE-9757-BBBADFE6F70A}">
  <dimension ref="A1:Q27"/>
  <sheetViews>
    <sheetView workbookViewId="0"/>
  </sheetViews>
  <sheetFormatPr defaultColWidth="0" defaultRowHeight="14.4" zeroHeight="1" x14ac:dyDescent="0.3"/>
  <cols>
    <col min="1" max="1" width="8.88671875" customWidth="1"/>
    <col min="2" max="2" width="10" customWidth="1"/>
    <col min="3" max="7" width="8.88671875" customWidth="1"/>
    <col min="8" max="8" width="10.33203125" customWidth="1"/>
    <col min="9" max="9" width="10.88671875" customWidth="1"/>
    <col min="10" max="10" width="8.88671875" customWidth="1"/>
    <col min="11" max="16384" width="8.88671875" hidden="1"/>
  </cols>
  <sheetData>
    <row r="1" spans="1:17" s="20" customFormat="1" x14ac:dyDescent="0.3">
      <c r="J1" s="37" t="s">
        <v>75</v>
      </c>
    </row>
    <row r="2" spans="1:17" x14ac:dyDescent="0.3">
      <c r="A2" s="19" t="s">
        <v>56</v>
      </c>
      <c r="B2" s="20"/>
      <c r="C2" s="20"/>
      <c r="D2" s="19" t="s">
        <v>63</v>
      </c>
      <c r="E2" s="20"/>
      <c r="F2" s="20"/>
      <c r="G2" s="20"/>
      <c r="H2" s="20"/>
      <c r="I2" s="20"/>
      <c r="J2" s="36" t="s">
        <v>76</v>
      </c>
    </row>
    <row r="3" spans="1:17" x14ac:dyDescent="0.3">
      <c r="A3" s="20"/>
      <c r="B3" s="20"/>
      <c r="C3" s="20"/>
      <c r="D3" s="20"/>
      <c r="E3" s="52" t="s">
        <v>82</v>
      </c>
      <c r="F3" s="52" t="s">
        <v>67</v>
      </c>
      <c r="G3" s="52" t="s">
        <v>60</v>
      </c>
      <c r="H3" s="20"/>
      <c r="J3" s="20"/>
    </row>
    <row r="4" spans="1:17" x14ac:dyDescent="0.3">
      <c r="A4" s="22" t="s">
        <v>60</v>
      </c>
      <c r="B4" s="42">
        <v>100</v>
      </c>
      <c r="C4" s="20"/>
      <c r="D4" s="22" t="s">
        <v>65</v>
      </c>
      <c r="E4" s="42">
        <v>10</v>
      </c>
      <c r="F4" s="42">
        <v>5</v>
      </c>
      <c r="G4" s="42">
        <v>10</v>
      </c>
      <c r="H4" s="20"/>
      <c r="I4" s="73" t="s">
        <v>80</v>
      </c>
      <c r="J4" s="47"/>
    </row>
    <row r="5" spans="1:17" x14ac:dyDescent="0.3">
      <c r="A5" s="22" t="s">
        <v>57</v>
      </c>
      <c r="B5" s="42">
        <v>50</v>
      </c>
      <c r="C5" s="20"/>
      <c r="D5" s="22" t="s">
        <v>66</v>
      </c>
      <c r="E5" s="42">
        <v>15</v>
      </c>
      <c r="F5" s="42">
        <v>9</v>
      </c>
      <c r="G5" s="42">
        <v>15</v>
      </c>
      <c r="H5" s="20"/>
      <c r="I5" s="59" t="s">
        <v>64</v>
      </c>
      <c r="J5" s="20"/>
    </row>
    <row r="6" spans="1:17" x14ac:dyDescent="0.3">
      <c r="A6" s="22" t="s">
        <v>58</v>
      </c>
      <c r="B6" s="42">
        <v>20</v>
      </c>
      <c r="C6" s="20"/>
      <c r="D6" s="22" t="s">
        <v>68</v>
      </c>
      <c r="E6" s="42">
        <v>20</v>
      </c>
      <c r="F6" s="42">
        <v>13</v>
      </c>
      <c r="G6" s="42">
        <v>20</v>
      </c>
      <c r="H6" s="20"/>
      <c r="I6" s="58">
        <f>SQRT((F4^2+F5^2+F6^2+F7^2)/COUNT(F4:F7))</f>
        <v>11.874342087037917</v>
      </c>
      <c r="J6" s="20"/>
    </row>
    <row r="7" spans="1:17" x14ac:dyDescent="0.3">
      <c r="A7" s="22" t="s">
        <v>59</v>
      </c>
      <c r="B7" s="42">
        <v>20</v>
      </c>
      <c r="C7" s="20"/>
      <c r="D7" s="22" t="s">
        <v>69</v>
      </c>
      <c r="E7" s="42">
        <v>25</v>
      </c>
      <c r="F7" s="42">
        <v>17</v>
      </c>
      <c r="G7" s="42">
        <v>25</v>
      </c>
      <c r="H7" s="20"/>
      <c r="I7" s="59" t="s">
        <v>78</v>
      </c>
      <c r="J7" s="20"/>
    </row>
    <row r="8" spans="1:17" x14ac:dyDescent="0.3">
      <c r="A8" s="19"/>
      <c r="B8" s="20"/>
      <c r="C8" s="20"/>
      <c r="D8" s="20"/>
      <c r="E8" s="19" t="s">
        <v>83</v>
      </c>
      <c r="F8" s="20"/>
      <c r="G8" s="20"/>
      <c r="H8" s="20"/>
      <c r="I8" s="58">
        <f>SQRT((G4*F4^2+G5*F5^2+G6*F6^2+G7*F7^2)/SUM(G4:G7))</f>
        <v>13.131206015769131</v>
      </c>
      <c r="J8" s="20"/>
    </row>
    <row r="9" spans="1:17" x14ac:dyDescent="0.3">
      <c r="A9" s="22" t="s">
        <v>62</v>
      </c>
      <c r="B9" s="57">
        <f>SQRT(B4)*(B5-B6)/B15</f>
        <v>153.06403707739622</v>
      </c>
      <c r="C9" s="20"/>
      <c r="E9" s="20"/>
      <c r="F9" s="20"/>
      <c r="G9" s="20"/>
      <c r="H9" s="20"/>
      <c r="J9" s="20"/>
    </row>
    <row r="10" spans="1:17" x14ac:dyDescent="0.3">
      <c r="A10" s="22" t="s">
        <v>61</v>
      </c>
      <c r="B10" s="57">
        <f>SQRT(B4)*(B7-B5)/B15</f>
        <v>-153.06403707739622</v>
      </c>
      <c r="C10" s="20"/>
      <c r="D10" s="20"/>
      <c r="E10" s="20"/>
      <c r="F10" s="20"/>
      <c r="G10" s="20"/>
      <c r="H10" s="20"/>
      <c r="I10" s="73" t="s">
        <v>81</v>
      </c>
      <c r="J10" s="47"/>
      <c r="Q10" s="20"/>
    </row>
    <row r="11" spans="1:17" x14ac:dyDescent="0.3">
      <c r="A11" s="20"/>
      <c r="B11" s="20"/>
      <c r="C11" s="20"/>
      <c r="D11" s="20"/>
      <c r="E11" s="20"/>
      <c r="F11" s="20"/>
      <c r="G11" s="20"/>
      <c r="H11" s="20"/>
      <c r="I11" s="59" t="s">
        <v>78</v>
      </c>
      <c r="J11" s="20"/>
    </row>
    <row r="12" spans="1:17" x14ac:dyDescent="0.3">
      <c r="A12" s="20"/>
      <c r="B12" s="20"/>
      <c r="C12" s="20"/>
      <c r="D12" s="20"/>
      <c r="E12" s="20"/>
      <c r="F12" s="20"/>
      <c r="G12" s="20"/>
      <c r="H12" s="20"/>
      <c r="I12" s="58">
        <f>SQRT((F4^2*G4+F5^2*G5+F6^2*G6+F7^2*G7+G4*(E4-B16)^2+G5*(E5-B16)^2+G6*(E6-B16)^2+G7*(E7-B16)^2)/SUM(G4:G7))</f>
        <v>14.159441935272991</v>
      </c>
      <c r="J12" s="20"/>
    </row>
    <row r="13" spans="1:17" x14ac:dyDescent="0.3">
      <c r="A13" s="76" t="s">
        <v>77</v>
      </c>
      <c r="B13" s="76"/>
      <c r="C13" s="76"/>
      <c r="D13" s="76"/>
      <c r="E13" s="76"/>
      <c r="F13" s="76"/>
      <c r="G13" s="76"/>
      <c r="H13" s="76"/>
      <c r="I13" s="76"/>
      <c r="J13" s="76"/>
    </row>
    <row r="14" spans="1:17" hidden="1" x14ac:dyDescent="0.3"/>
    <row r="15" spans="1:17" hidden="1" x14ac:dyDescent="0.3">
      <c r="A15" t="s">
        <v>2</v>
      </c>
      <c r="B15">
        <f>NORMSINV(1-0.05/2)</f>
        <v>1.9599639845400536</v>
      </c>
    </row>
    <row r="16" spans="1:17" ht="28.8" hidden="1" x14ac:dyDescent="0.3">
      <c r="A16" s="49" t="s">
        <v>79</v>
      </c>
      <c r="B16" s="48">
        <f>(E4*G4+E5*G5+E6*G6+E7*G7)/(SUM(G4:G7))</f>
        <v>19.285714285714285</v>
      </c>
    </row>
    <row r="17" hidden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25" hidden="1" x14ac:dyDescent="0.3"/>
    <row r="26" hidden="1" x14ac:dyDescent="0.3"/>
    <row r="27" hidden="1" x14ac:dyDescent="0.3"/>
  </sheetData>
  <sheetProtection algorithmName="SHA-512" hashValue="IIweZ96/K5D2guhm/ckKi0rSBaF4oduljGchkvab9ehMkXZSmcnW0PgVekairYT+FNjLh/P5wJURulnx+z635A==" saltValue="7Oppf3SK9SwtiiRGRIgXrw==" spinCount="100000" sheet="1" objects="1" scenarios="1"/>
  <mergeCells count="1">
    <mergeCell ref="A13:J13"/>
  </mergeCells>
  <dataValidations count="1">
    <dataValidation type="decimal" operator="greaterThan" allowBlank="1" showInputMessage="1" showErrorMessage="1" sqref="B4 E4:E7" xr:uid="{21D4443F-10C6-4FF8-9DF1-1986EFF5A8B2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Means (2 groups)</vt:lpstr>
      <vt:lpstr>Proportions (2 groups)</vt:lpstr>
      <vt:lpstr>2 ROC curves</vt:lpstr>
      <vt:lpstr>Questionaire</vt:lpstr>
      <vt:lpstr>Useful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Januszewski</dc:creator>
  <cp:lastModifiedBy>Andrzej Januszewski</cp:lastModifiedBy>
  <dcterms:created xsi:type="dcterms:W3CDTF">2012-03-22T05:56:55Z</dcterms:created>
  <dcterms:modified xsi:type="dcterms:W3CDTF">2019-08-02T14:12:35Z</dcterms:modified>
</cp:coreProperties>
</file>