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jan\Documents\1 Lab CTC\SPS Sample size\"/>
    </mc:Choice>
  </mc:AlternateContent>
  <xr:revisionPtr revIDLastSave="0" documentId="13_ncr:1_{FDC90AA3-FF79-499B-8F5E-964A96A29DBA}" xr6:coauthVersionLast="47" xr6:coauthVersionMax="47" xr10:uidLastSave="{00000000-0000-0000-0000-000000000000}"/>
  <workbookProtection workbookAlgorithmName="SHA-512" workbookHashValue="BfkLDCoTUb2m0S0kN5Ozv9b+35HTq9fgJLFXjrdGQciq7ke18qBH8pTniz9yj5F5TzxJRv63JCr+7lO6GskJ/A==" workbookSaltValue="67VyxS20O0fdNnpTeJvrZg==" workbookSpinCount="100000" lockStructure="1"/>
  <bookViews>
    <workbookView xWindow="2490" yWindow="2265" windowWidth="13410" windowHeight="17730" tabRatio="825" activeTab="1" xr2:uid="{00000000-000D-0000-FFFF-FFFF00000000}"/>
  </bookViews>
  <sheets>
    <sheet name="Means (2 groups)" sheetId="4" r:id="rId1"/>
    <sheet name="Proportions (2 groups)" sheetId="9" r:id="rId2"/>
    <sheet name="Questionnaire" sheetId="15" r:id="rId3"/>
    <sheet name="Useful calculations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6" l="1"/>
  <c r="F13" i="16"/>
  <c r="B16" i="15"/>
  <c r="B8" i="15" s="1"/>
  <c r="B21" i="15"/>
  <c r="B22" i="15" s="1"/>
  <c r="B23" i="15" s="1"/>
  <c r="B19" i="15"/>
  <c r="B18" i="15"/>
  <c r="B17" i="15" l="1"/>
  <c r="B15" i="9"/>
  <c r="B20" i="16" l="1"/>
  <c r="I9" i="16" l="1"/>
  <c r="I7" i="16"/>
  <c r="I13" i="16"/>
  <c r="B19" i="16" l="1"/>
  <c r="B10" i="16" s="1"/>
  <c r="B11" i="16" l="1"/>
  <c r="B25" i="9" l="1"/>
  <c r="B36" i="9"/>
  <c r="B35" i="9"/>
  <c r="B21" i="4"/>
  <c r="B28" i="9"/>
  <c r="B27" i="9"/>
  <c r="B24" i="9"/>
  <c r="B26" i="9" s="1"/>
  <c r="B14" i="9" l="1"/>
  <c r="B12" i="15"/>
  <c r="B26" i="4"/>
  <c r="B24" i="4"/>
  <c r="B25" i="4"/>
  <c r="B15" i="4"/>
  <c r="C14" i="9" l="1" a="1"/>
  <c r="C14" i="9" s="1"/>
  <c r="B18" i="9"/>
  <c r="B19" i="9" s="1"/>
  <c r="B23" i="4"/>
  <c r="B20" i="4"/>
  <c r="B31" i="9" l="1"/>
  <c r="B29" i="9"/>
  <c r="B30" i="9" l="1"/>
  <c r="B32" i="9"/>
  <c r="B23" i="9" l="1"/>
  <c r="B12" i="9" s="1"/>
  <c r="B33" i="9"/>
  <c r="B11" i="9" l="1"/>
  <c r="B13" i="9" s="1"/>
  <c r="B22" i="4"/>
  <c r="B13" i="4" l="1"/>
  <c r="B12" i="4" s="1"/>
  <c r="B19" i="4"/>
  <c r="B1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<sst xmlns="http://schemas.openxmlformats.org/spreadsheetml/2006/main" count="139" uniqueCount="103">
  <si>
    <t>alpha</t>
  </si>
  <si>
    <t>sigma^2</t>
  </si>
  <si>
    <t>Zalpha</t>
  </si>
  <si>
    <t>Zbeta</t>
  </si>
  <si>
    <t>SD</t>
  </si>
  <si>
    <t>n (per group)</t>
  </si>
  <si>
    <t>1- or 2 tail</t>
  </si>
  <si>
    <t>n (per study)</t>
  </si>
  <si>
    <t>Power (%)</t>
  </si>
  <si>
    <t>sigma = stdev</t>
  </si>
  <si>
    <t>standard normal derivative (value from std normal distribution; function attributes: probability, mean=0, stdev=1) for the type 1 error</t>
  </si>
  <si>
    <t>standard normal derivative (value from std normal distribution; function attributes: probability, mean=0, stdev=1) for the type 2 error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</si>
  <si>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</si>
  <si>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</si>
  <si>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c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</si>
  <si>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</si>
  <si>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>=p</t>
    </r>
    <r>
      <rPr>
        <vertAlign val="subscript"/>
        <sz val="11"/>
        <color theme="1"/>
        <rFont val="Calibri"/>
        <family val="2"/>
      </rPr>
      <t>c-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</si>
  <si>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=(p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+p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)/2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</si>
  <si>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=1-p</t>
    </r>
    <r>
      <rPr>
        <vertAlign val="subscript"/>
        <sz val="11"/>
        <color theme="1"/>
        <rFont val="Calibri"/>
        <family val="2"/>
        <scheme val="minor"/>
      </rPr>
      <t>mean</t>
    </r>
  </si>
  <si>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=1-power</t>
    </r>
  </si>
  <si>
    <t>proportion of subjects having the event in the treatment group (percent in control group reduced by the treatment)</t>
  </si>
  <si>
    <t>proportion of subjects having the event in the control (placebo) group (per annum percent X number of years to study)</t>
  </si>
  <si>
    <t>Average proportion of events in control and treatment groups</t>
  </si>
  <si>
    <r>
      <rPr>
        <b/>
        <sz val="11"/>
        <color theme="1"/>
        <rFont val="Calibri"/>
        <family val="2"/>
      </rPr>
      <t>β=</t>
    </r>
    <r>
      <rPr>
        <b/>
        <sz val="11"/>
        <color theme="1"/>
        <rFont val="Calibri"/>
        <family val="2"/>
        <scheme val="minor"/>
      </rPr>
      <t>1-power</t>
    </r>
  </si>
  <si>
    <t>difference between means expected</t>
  </si>
  <si>
    <t>effect size</t>
  </si>
  <si>
    <r>
      <rPr>
        <b/>
        <sz val="14"/>
        <color rgb="FF7030A0"/>
        <rFont val="Calibri"/>
        <family val="2"/>
        <scheme val="minor"/>
      </rPr>
      <t>ARR</t>
    </r>
    <r>
      <rPr>
        <sz val="11"/>
        <color rgb="FF7030A0"/>
        <rFont val="Calibri"/>
        <family val="2"/>
        <scheme val="minor"/>
      </rPr>
      <t>, Difference of proportions between control and treatment groups</t>
    </r>
  </si>
  <si>
    <t>qt=qc-ARR (absolute value of ARR)</t>
  </si>
  <si>
    <t>qt=qc * RR (RR=pc/pt)</t>
  </si>
  <si>
    <t>Sample size</t>
  </si>
  <si>
    <t>1 - power, type 2 error rate, chance of obtaining false-negative result</t>
  </si>
  <si>
    <t>Difference (d)</t>
  </si>
  <si>
    <t>group 1 to group 2 ratio</t>
  </si>
  <si>
    <t>n group 1</t>
  </si>
  <si>
    <t>n group 2</t>
  </si>
  <si>
    <t>Drop-outs (%)</t>
  </si>
  <si>
    <t>Drop-ins (%)</t>
  </si>
  <si>
    <t>Loss to follow up (%)</t>
  </si>
  <si>
    <t>Factor in increase samples size for loss to follow up</t>
  </si>
  <si>
    <t>Factor to increase sample size for non-compliance</t>
  </si>
  <si>
    <t>Response rate (%)</t>
  </si>
  <si>
    <t>standard normal derivative for the type 1 error</t>
  </si>
  <si>
    <t>n per group</t>
  </si>
  <si>
    <t>Relative risk of event in treated group vs. placebo (%)</t>
  </si>
  <si>
    <t>Taking the surveyed population size into consideration</t>
  </si>
  <si>
    <t>Sample size required</t>
  </si>
  <si>
    <t>Total population available (N)</t>
  </si>
  <si>
    <t>Margin of error (e) (%)</t>
  </si>
  <si>
    <t>type 1 error rate</t>
  </si>
  <si>
    <t>Taking the surveyed population size and response rate into consideration</t>
  </si>
  <si>
    <t>Margin of error (e) achieved (%)</t>
  </si>
  <si>
    <t>95% CIs into SD</t>
  </si>
  <si>
    <t>mean</t>
  </si>
  <si>
    <t xml:space="preserve">  -95% CI</t>
  </si>
  <si>
    <t xml:space="preserve">  +95% CI</t>
  </si>
  <si>
    <t>n</t>
  </si>
  <si>
    <t xml:space="preserve"> +SD</t>
  </si>
  <si>
    <t xml:space="preserve"> -SD</t>
  </si>
  <si>
    <t>NOT weighted SD</t>
  </si>
  <si>
    <t>group 1</t>
  </si>
  <si>
    <t>group 2</t>
  </si>
  <si>
    <t>SDs</t>
  </si>
  <si>
    <t>group 3</t>
  </si>
  <si>
    <t>group 4</t>
  </si>
  <si>
    <t>How reliable we want the results to be?</t>
  </si>
  <si>
    <t>BEFORE COMMENCING THE SURVEY</t>
  </si>
  <si>
    <t>AFTER COLLECTING THE SURVEY</t>
  </si>
  <si>
    <t>1-beta</t>
  </si>
  <si>
    <t>INPUT</t>
  </si>
  <si>
    <t>RESULTS</t>
  </si>
  <si>
    <t>Questions/comments: Andrzej.Januszewski@sydney.edu.au</t>
  </si>
  <si>
    <t>Weighted SD</t>
  </si>
  <si>
    <t>Combined mean</t>
  </si>
  <si>
    <t>Mean NOT known</t>
  </si>
  <si>
    <t>Known mean</t>
  </si>
  <si>
    <t>Mean*</t>
  </si>
  <si>
    <t>* - if mean not known leave it blank</t>
  </si>
  <si>
    <t>Mean (group 1)</t>
  </si>
  <si>
    <t>Mean (group 2)</t>
  </si>
  <si>
    <t>Rate of event in TREATED/experimental (group 2) (%)</t>
  </si>
  <si>
    <t>Rate of event in NON-TREATED/placebo (group 1) (%)</t>
  </si>
  <si>
    <t>Observed number of events</t>
  </si>
  <si>
    <t>Number of events in placebo group under H0</t>
  </si>
  <si>
    <t>Number of events in experimental group under H0</t>
  </si>
  <si>
    <t>Odds ratio treated group vs. placebo</t>
  </si>
  <si>
    <t>Average SD (independent groups)</t>
  </si>
  <si>
    <t>Average SD (dependent groups)</t>
  </si>
  <si>
    <t>correlation between measurements (r)</t>
  </si>
  <si>
    <t>Pooled SD</t>
  </si>
  <si>
    <t>Confidence level (%)</t>
  </si>
  <si>
    <t>Sample size without response rate</t>
  </si>
  <si>
    <t>Adjusted for expected response rate</t>
  </si>
  <si>
    <t>Response distribution (p) (%)</t>
  </si>
  <si>
    <t>group 1 (before)</t>
  </si>
  <si>
    <t>group 2 (after)</t>
  </si>
  <si>
    <t>Difference SD</t>
  </si>
  <si>
    <t>Percentage of your surveyed population that picks a particular answer. 50% is a conservative value!</t>
  </si>
  <si>
    <t>Percentage of questionnaires returned (1-100%)</t>
  </si>
  <si>
    <t>Number or returned questionnaires</t>
  </si>
  <si>
    <t>How many questionnaires were actually returned?</t>
  </si>
  <si>
    <t>Adjusted for finite population. Required valid responses</t>
  </si>
  <si>
    <t>How much the opinions and behaviours of the population you survey is likely to deviate from the total population?</t>
  </si>
  <si>
    <t>Number of years we intend to carry the study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</si>
</sst>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/>
    <xf numFmtId="0" fontId="0" fillId="4" borderId="0" xfId="0" applyFill="1"/>
    <xf numFmtId="0" fontId="4" fillId="3" borderId="0" xfId="0" applyFont="1" applyFill="1" applyProtection="1">
      <protection hidden="1"/>
    </xf>
    <xf numFmtId="0" fontId="4" fillId="4" borderId="0" xfId="0" applyFont="1" applyFill="1" applyAlignment="1">
      <alignment horizontal="right"/>
    </xf>
    <xf numFmtId="0" fontId="2" fillId="4" borderId="0" xfId="0" applyFont="1" applyFill="1"/>
    <xf numFmtId="0" fontId="4" fillId="4" borderId="0" xfId="0" applyFont="1" applyFill="1" applyAlignment="1">
      <alignment horizontal="right" vertical="center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4" fillId="3" borderId="0" xfId="0" applyFont="1" applyFill="1" applyAlignment="1" applyProtection="1">
      <alignment vertical="center"/>
      <protection hidden="1"/>
    </xf>
    <xf numFmtId="165" fontId="4" fillId="3" borderId="0" xfId="0" applyNumberFormat="1" applyFont="1" applyFill="1" applyAlignment="1" applyProtection="1">
      <alignment vertical="center"/>
      <protection hidden="1"/>
    </xf>
    <xf numFmtId="0" fontId="1" fillId="4" borderId="0" xfId="0" applyFont="1" applyFill="1"/>
    <xf numFmtId="0" fontId="13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 applyProtection="1">
      <protection hidden="1"/>
    </xf>
    <xf numFmtId="2" fontId="4" fillId="0" borderId="0" xfId="0" applyNumberFormat="1" applyFont="1" applyProtection="1">
      <protection hidden="1"/>
    </xf>
    <xf numFmtId="2" fontId="4" fillId="4" borderId="0" xfId="0" applyNumberFormat="1" applyFont="1" applyFill="1" applyProtection="1">
      <protection hidden="1"/>
    </xf>
    <xf numFmtId="0" fontId="3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vertical="center"/>
      <protection locked="0"/>
    </xf>
    <xf numFmtId="166" fontId="4" fillId="3" borderId="0" xfId="0" applyNumberFormat="1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4" fillId="4" borderId="0" xfId="0" applyFont="1" applyFill="1" applyProtection="1">
      <protection hidden="1"/>
    </xf>
    <xf numFmtId="0" fontId="5" fillId="4" borderId="0" xfId="0" applyFont="1" applyFill="1" applyAlignment="1">
      <alignment vertical="center" wrapText="1"/>
    </xf>
    <xf numFmtId="164" fontId="4" fillId="4" borderId="0" xfId="0" applyNumberFormat="1" applyFont="1" applyFill="1" applyProtection="1">
      <protection hidden="1"/>
    </xf>
    <xf numFmtId="0" fontId="0" fillId="4" borderId="0" xfId="0" applyFill="1" applyProtection="1">
      <protection hidden="1"/>
    </xf>
    <xf numFmtId="0" fontId="4" fillId="2" borderId="0" xfId="0" applyFont="1" applyFill="1" applyProtection="1"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horizontal="right"/>
      <protection hidden="1"/>
    </xf>
    <xf numFmtId="0" fontId="0" fillId="5" borderId="0" xfId="0" applyFill="1" applyProtection="1">
      <protection hidden="1"/>
    </xf>
    <xf numFmtId="0" fontId="0" fillId="2" borderId="0" xfId="0" applyFill="1" applyProtection="1">
      <protection locked="0" hidden="1"/>
    </xf>
    <xf numFmtId="0" fontId="0" fillId="4" borderId="0" xfId="0" applyFill="1" applyAlignment="1">
      <alignment horizontal="right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/>
    <xf numFmtId="166" fontId="4" fillId="3" borderId="0" xfId="0" applyNumberFormat="1" applyFont="1" applyFill="1" applyProtection="1">
      <protection hidden="1"/>
    </xf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>
      <alignment wrapText="1"/>
    </xf>
    <xf numFmtId="0" fontId="3" fillId="2" borderId="1" xfId="0" applyFont="1" applyFill="1" applyBorder="1" applyAlignment="1" applyProtection="1">
      <alignment vertical="center"/>
      <protection locked="0"/>
    </xf>
    <xf numFmtId="2" fontId="3" fillId="2" borderId="2" xfId="0" applyNumberFormat="1" applyFont="1" applyFill="1" applyBorder="1" applyAlignment="1" applyProtection="1">
      <alignment vertical="center"/>
      <protection locked="0"/>
    </xf>
    <xf numFmtId="0" fontId="5" fillId="4" borderId="2" xfId="0" applyFont="1" applyFill="1" applyBorder="1" applyAlignment="1">
      <alignment wrapText="1"/>
    </xf>
    <xf numFmtId="0" fontId="3" fillId="2" borderId="2" xfId="0" applyFont="1" applyFill="1" applyBorder="1" applyAlignment="1" applyProtection="1">
      <alignment vertical="center"/>
      <protection locked="0"/>
    </xf>
    <xf numFmtId="0" fontId="5" fillId="4" borderId="2" xfId="0" applyFont="1" applyFill="1" applyBorder="1"/>
    <xf numFmtId="0" fontId="0" fillId="2" borderId="2" xfId="0" applyFill="1" applyBorder="1" applyAlignment="1" applyProtection="1">
      <alignment vertical="center"/>
      <protection locked="0"/>
    </xf>
    <xf numFmtId="0" fontId="5" fillId="4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Protection="1">
      <protection locked="0"/>
    </xf>
    <xf numFmtId="0" fontId="14" fillId="4" borderId="0" xfId="0" applyFont="1" applyFill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="120" zoomScaleNormal="120" workbookViewId="0">
      <selection activeCell="B2" sqref="B2"/>
    </sheetView>
  </sheetViews>
  <sheetFormatPr defaultColWidth="0" defaultRowHeight="15" zeroHeight="1" x14ac:dyDescent="0.25"/>
  <cols>
    <col min="1" max="1" width="31" bestFit="1" customWidth="1"/>
    <col min="2" max="2" width="13.28515625" bestFit="1" customWidth="1"/>
    <col min="3" max="5" width="8.85546875" customWidth="1"/>
    <col min="6" max="16384" width="8.85546875" hidden="1"/>
  </cols>
  <sheetData>
    <row r="1" spans="1:5" x14ac:dyDescent="0.25">
      <c r="A1" s="10"/>
      <c r="B1" s="10"/>
      <c r="C1" s="10"/>
      <c r="D1" s="10"/>
      <c r="E1" s="10"/>
    </row>
    <row r="2" spans="1:5" x14ac:dyDescent="0.25">
      <c r="A2" s="12" t="s">
        <v>77</v>
      </c>
      <c r="B2" s="29">
        <v>8.6999999999999993</v>
      </c>
      <c r="C2" s="10"/>
      <c r="D2" s="10"/>
      <c r="E2" s="25" t="s">
        <v>68</v>
      </c>
    </row>
    <row r="3" spans="1:5" x14ac:dyDescent="0.25">
      <c r="A3" s="12" t="s">
        <v>78</v>
      </c>
      <c r="B3" s="29">
        <v>7.2</v>
      </c>
      <c r="C3" s="10"/>
      <c r="D3" s="10"/>
      <c r="E3" s="24" t="s">
        <v>69</v>
      </c>
    </row>
    <row r="4" spans="1:5" x14ac:dyDescent="0.25">
      <c r="A4" s="12" t="s">
        <v>4</v>
      </c>
      <c r="B4" s="29">
        <v>3</v>
      </c>
      <c r="C4" s="10"/>
      <c r="D4" s="10"/>
      <c r="E4" s="10"/>
    </row>
    <row r="5" spans="1:5" x14ac:dyDescent="0.25">
      <c r="A5" s="12" t="s">
        <v>0</v>
      </c>
      <c r="B5" s="30">
        <v>0.05</v>
      </c>
      <c r="C5" s="62" t="s">
        <v>48</v>
      </c>
      <c r="D5" s="10"/>
      <c r="E5" s="10"/>
    </row>
    <row r="6" spans="1:5" x14ac:dyDescent="0.25">
      <c r="A6" s="12" t="s">
        <v>8</v>
      </c>
      <c r="B6" s="30">
        <v>80</v>
      </c>
      <c r="C6" s="62" t="s">
        <v>67</v>
      </c>
      <c r="D6" s="10"/>
      <c r="E6" s="10"/>
    </row>
    <row r="7" spans="1:5" x14ac:dyDescent="0.25">
      <c r="A7" s="12" t="s">
        <v>6</v>
      </c>
      <c r="B7" s="29">
        <v>2</v>
      </c>
      <c r="C7" s="10"/>
      <c r="D7" s="10"/>
      <c r="E7" s="10"/>
    </row>
    <row r="8" spans="1:5" x14ac:dyDescent="0.25">
      <c r="A8" s="12" t="s">
        <v>32</v>
      </c>
      <c r="B8" s="30">
        <v>1</v>
      </c>
      <c r="C8" s="10"/>
      <c r="D8" s="10"/>
      <c r="E8" s="10"/>
    </row>
    <row r="9" spans="1:5" x14ac:dyDescent="0.25">
      <c r="A9" s="12" t="s">
        <v>35</v>
      </c>
      <c r="B9" s="30">
        <v>0</v>
      </c>
      <c r="C9" s="10"/>
      <c r="D9" s="10"/>
      <c r="E9" s="10"/>
    </row>
    <row r="10" spans="1:5" x14ac:dyDescent="0.25">
      <c r="A10" s="12" t="s">
        <v>36</v>
      </c>
      <c r="B10" s="30">
        <v>0</v>
      </c>
      <c r="C10" s="10"/>
      <c r="D10" s="10"/>
      <c r="E10" s="10"/>
    </row>
    <row r="11" spans="1:5" x14ac:dyDescent="0.25">
      <c r="A11" s="12" t="s">
        <v>37</v>
      </c>
      <c r="B11" s="30">
        <v>0</v>
      </c>
      <c r="C11" s="10"/>
      <c r="D11" s="10"/>
      <c r="E11" s="10"/>
    </row>
    <row r="12" spans="1:5" x14ac:dyDescent="0.25">
      <c r="A12" s="12" t="s">
        <v>33</v>
      </c>
      <c r="B12" s="11">
        <f>ROUNDUP((B13*B8),0)</f>
        <v>63</v>
      </c>
      <c r="C12" s="10"/>
      <c r="D12" s="10"/>
      <c r="E12" s="10"/>
    </row>
    <row r="13" spans="1:5" x14ac:dyDescent="0.25">
      <c r="A13" s="12" t="s">
        <v>34</v>
      </c>
      <c r="B13" s="11">
        <f>ROUNDUP(((((2*(B21+B22)^2*$B23/(ABS(B2-B3))^2)*2)*((B8+1)^2)/(4*B8))/(B8+1)*B25*B26),0)</f>
        <v>63</v>
      </c>
      <c r="C13" s="10"/>
      <c r="D13" s="10"/>
      <c r="E13" s="10"/>
    </row>
    <row r="14" spans="1:5" x14ac:dyDescent="0.25">
      <c r="A14" s="12" t="s">
        <v>7</v>
      </c>
      <c r="B14" s="11">
        <f>B13+B12</f>
        <v>126</v>
      </c>
      <c r="C14" s="10"/>
      <c r="D14" s="10"/>
      <c r="E14" s="10"/>
    </row>
    <row r="15" spans="1:5" x14ac:dyDescent="0.25">
      <c r="A15" s="12" t="s">
        <v>25</v>
      </c>
      <c r="B15" s="26">
        <f>(ABS(B2-B3))/B4</f>
        <v>0.49999999999999972</v>
      </c>
      <c r="C15" s="10"/>
      <c r="D15" s="10"/>
      <c r="E15" s="10"/>
    </row>
    <row r="16" spans="1:5" x14ac:dyDescent="0.25">
      <c r="A16" s="12"/>
      <c r="B16" s="27"/>
      <c r="C16" s="10"/>
      <c r="D16" s="10"/>
      <c r="E16" s="10"/>
    </row>
    <row r="17" spans="1:5" x14ac:dyDescent="0.25">
      <c r="A17" s="63" t="s">
        <v>70</v>
      </c>
      <c r="B17" s="63"/>
      <c r="C17" s="63"/>
      <c r="D17" s="63"/>
      <c r="E17" s="63"/>
    </row>
    <row r="19" spans="1:5" hidden="1" x14ac:dyDescent="0.25">
      <c r="A19" s="2" t="s">
        <v>5</v>
      </c>
      <c r="B19">
        <f>(2*(B21+B22)^2*B23)/B24^2</f>
        <v>62.791037874792778</v>
      </c>
    </row>
    <row r="20" spans="1:5" hidden="1" x14ac:dyDescent="0.25">
      <c r="A20" s="2" t="s">
        <v>23</v>
      </c>
      <c r="B20">
        <f>1-(B6/100)</f>
        <v>0.19999999999999996</v>
      </c>
      <c r="C20" s="1" t="s">
        <v>30</v>
      </c>
    </row>
    <row r="21" spans="1:5" hidden="1" x14ac:dyDescent="0.25">
      <c r="A21" s="2" t="s">
        <v>2</v>
      </c>
      <c r="B21">
        <f>NORMSINV(1-B5/B7)</f>
        <v>1.9599639845400536</v>
      </c>
      <c r="C21" s="1" t="s">
        <v>10</v>
      </c>
    </row>
    <row r="22" spans="1:5" hidden="1" x14ac:dyDescent="0.25">
      <c r="A22" s="2" t="s">
        <v>3</v>
      </c>
      <c r="B22">
        <f>NORMSINV(1-B20)</f>
        <v>0.84162123357291474</v>
      </c>
      <c r="C22" s="1" t="s">
        <v>11</v>
      </c>
    </row>
    <row r="23" spans="1:5" hidden="1" x14ac:dyDescent="0.25">
      <c r="A23" s="2" t="s">
        <v>1</v>
      </c>
      <c r="B23">
        <f>B4^2</f>
        <v>9</v>
      </c>
      <c r="C23" s="1" t="s">
        <v>9</v>
      </c>
    </row>
    <row r="24" spans="1:5" hidden="1" x14ac:dyDescent="0.25">
      <c r="A24" s="2" t="s">
        <v>31</v>
      </c>
      <c r="B24">
        <f>ABS(B2-B3)</f>
        <v>1.4999999999999991</v>
      </c>
      <c r="C24" s="1" t="s">
        <v>24</v>
      </c>
    </row>
    <row r="25" spans="1:5" hidden="1" x14ac:dyDescent="0.25">
      <c r="B25">
        <f>1/((1-(B9/100)-(B10/100))^2)</f>
        <v>1</v>
      </c>
      <c r="C25" s="7" t="s">
        <v>39</v>
      </c>
    </row>
    <row r="26" spans="1:5" hidden="1" x14ac:dyDescent="0.25">
      <c r="B26" s="8">
        <f>100/(100-B11)</f>
        <v>1</v>
      </c>
      <c r="C26" s="7" t="s">
        <v>38</v>
      </c>
    </row>
  </sheetData>
  <sheetProtection algorithmName="SHA-512" hashValue="EGb2PHTc9a4jip6irSBoxxORS/tHUnoOdaT35g7gSM/tlPEahwVKqtpNYZwOas+gFJ0hKjFodkYh8C5SIrCuKg==" saltValue="wiDjh+aE0sWUd+Vbc6NQbQ==" spinCount="100000" sheet="1" objects="1" scenarios="1"/>
  <mergeCells count="1">
    <mergeCell ref="A17:E17"/>
  </mergeCells>
  <dataValidations count="4">
    <dataValidation type="decimal" showInputMessage="1" showErrorMessage="1" sqref="B5" xr:uid="{6FEE219C-4614-44C1-B1F9-118D1DF4ED0D}">
      <formula1>0.00001</formula1>
      <formula2>0.99999</formula2>
    </dataValidation>
    <dataValidation type="decimal" showInputMessage="1" showErrorMessage="1" sqref="B6" xr:uid="{9CF3D0F5-C91D-4A78-9E43-CEA6850703D7}">
      <formula1>0.1</formula1>
      <formula2>99</formula2>
    </dataValidation>
    <dataValidation type="whole" showInputMessage="1" showErrorMessage="1" sqref="B7" xr:uid="{5CF2FF19-A5D0-4093-B0AC-07566EB57A91}">
      <formula1>1</formula1>
      <formula2>2</formula2>
    </dataValidation>
    <dataValidation type="decimal" operator="lessThanOrEqual" allowBlank="1" showInputMessage="1" showErrorMessage="1" sqref="B9:B11" xr:uid="{62297512-F527-43F3-9577-78FDF1AE83F8}">
      <formula1>99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tabSelected="1" zoomScale="120" zoomScaleNormal="120" workbookViewId="0">
      <selection activeCell="B2" sqref="B2"/>
    </sheetView>
  </sheetViews>
  <sheetFormatPr defaultColWidth="0" defaultRowHeight="15" zeroHeight="1" x14ac:dyDescent="0.25"/>
  <cols>
    <col min="1" max="1" width="56.28515625" bestFit="1" customWidth="1"/>
    <col min="2" max="2" width="13.85546875" customWidth="1"/>
    <col min="3" max="5" width="9.28515625" customWidth="1"/>
    <col min="6" max="16384" width="9.28515625" hidden="1"/>
  </cols>
  <sheetData>
    <row r="1" spans="1:5" ht="15" customHeight="1" x14ac:dyDescent="0.25">
      <c r="A1" s="10"/>
      <c r="B1" s="21"/>
      <c r="C1" s="10"/>
      <c r="D1" s="10"/>
      <c r="E1" s="10"/>
    </row>
    <row r="2" spans="1:5" ht="15" customHeight="1" x14ac:dyDescent="0.25">
      <c r="A2" s="22" t="s">
        <v>80</v>
      </c>
      <c r="B2" s="30">
        <v>15</v>
      </c>
      <c r="C2" s="10"/>
      <c r="D2" s="10"/>
      <c r="E2" s="25" t="s">
        <v>68</v>
      </c>
    </row>
    <row r="3" spans="1:5" ht="15" customHeight="1" x14ac:dyDescent="0.25">
      <c r="A3" s="22" t="s">
        <v>79</v>
      </c>
      <c r="B3" s="30">
        <v>25</v>
      </c>
      <c r="C3" s="15"/>
      <c r="D3" s="10"/>
      <c r="E3" s="24" t="s">
        <v>69</v>
      </c>
    </row>
    <row r="4" spans="1:5" ht="15" customHeight="1" x14ac:dyDescent="0.25">
      <c r="A4" s="23" t="s">
        <v>0</v>
      </c>
      <c r="B4" s="30">
        <v>0.05</v>
      </c>
      <c r="C4" s="62" t="s">
        <v>48</v>
      </c>
      <c r="D4" s="10"/>
      <c r="E4" s="10"/>
    </row>
    <row r="5" spans="1:5" ht="15" customHeight="1" x14ac:dyDescent="0.25">
      <c r="A5" s="23" t="s">
        <v>8</v>
      </c>
      <c r="B5" s="30">
        <v>80</v>
      </c>
      <c r="C5" s="62" t="s">
        <v>67</v>
      </c>
      <c r="D5" s="10"/>
      <c r="E5" s="10"/>
    </row>
    <row r="6" spans="1:5" ht="15" customHeight="1" x14ac:dyDescent="0.25">
      <c r="A6" s="12" t="s">
        <v>6</v>
      </c>
      <c r="B6" s="30">
        <v>2</v>
      </c>
      <c r="C6" s="15"/>
      <c r="D6" s="10"/>
      <c r="E6" s="10"/>
    </row>
    <row r="7" spans="1:5" ht="15" customHeight="1" x14ac:dyDescent="0.25">
      <c r="A7" s="12" t="s">
        <v>32</v>
      </c>
      <c r="B7" s="30">
        <v>1</v>
      </c>
      <c r="C7" s="15"/>
      <c r="D7" s="10"/>
      <c r="E7" s="10"/>
    </row>
    <row r="8" spans="1:5" ht="15" customHeight="1" x14ac:dyDescent="0.25">
      <c r="A8" s="12" t="s">
        <v>35</v>
      </c>
      <c r="B8" s="30">
        <v>0</v>
      </c>
      <c r="C8" s="15"/>
      <c r="D8" s="10"/>
      <c r="E8" s="10"/>
    </row>
    <row r="9" spans="1:5" ht="15" customHeight="1" x14ac:dyDescent="0.25">
      <c r="A9" s="12" t="s">
        <v>36</v>
      </c>
      <c r="B9" s="30">
        <v>0</v>
      </c>
      <c r="C9" s="15"/>
      <c r="D9" s="10"/>
      <c r="E9" s="10"/>
    </row>
    <row r="10" spans="1:5" ht="15" customHeight="1" x14ac:dyDescent="0.25">
      <c r="A10" s="12" t="s">
        <v>37</v>
      </c>
      <c r="B10" s="30">
        <v>0</v>
      </c>
      <c r="C10" s="10"/>
      <c r="D10" s="10"/>
      <c r="E10" s="10"/>
    </row>
    <row r="11" spans="1:5" ht="15" customHeight="1" x14ac:dyDescent="0.25">
      <c r="A11" s="12" t="s">
        <v>33</v>
      </c>
      <c r="B11" s="11">
        <f>IFERROR(ROUNDUP((B12*B7),0),"???")</f>
        <v>248</v>
      </c>
      <c r="C11" s="10"/>
      <c r="D11" s="10"/>
      <c r="E11" s="10"/>
    </row>
    <row r="12" spans="1:5" ht="15" customHeight="1" x14ac:dyDescent="0.25">
      <c r="A12" s="12" t="s">
        <v>34</v>
      </c>
      <c r="B12" s="11">
        <f>IFERROR(ROUNDUP((((B23*2)*((B7+1)^2)/(4*B7))/(B7+1)*B35*B36),0),"???")</f>
        <v>248</v>
      </c>
      <c r="C12" s="10"/>
      <c r="D12" s="10"/>
      <c r="E12" s="10"/>
    </row>
    <row r="13" spans="1:5" ht="15" customHeight="1" x14ac:dyDescent="0.25">
      <c r="A13" s="12" t="s">
        <v>7</v>
      </c>
      <c r="B13" s="11">
        <f>IFERROR(B12+B11,"???")</f>
        <v>496</v>
      </c>
      <c r="C13" s="10"/>
      <c r="D13" s="10"/>
      <c r="E13" s="10"/>
    </row>
    <row r="14" spans="1:5" ht="15" customHeight="1" x14ac:dyDescent="0.25">
      <c r="A14" s="22" t="s">
        <v>43</v>
      </c>
      <c r="B14" s="26">
        <f>B28/B27*100</f>
        <v>166.66666666666669</v>
      </c>
      <c r="C14" s="36" t="str" cm="1">
        <f t="array" ref="C14">_xlfn.IFS(B14=100,"same risk in both groups???",B14&lt;100,CONCATENATE("i.e. ",ROUND(100-B14,2),"% risk reduction"),B14&gt;100,CONCATENATE("i.e. ",ROUND(-1*(100-B14),2),"% risk increase"))</f>
        <v>i.e. 66.67% risk increase</v>
      </c>
      <c r="D14" s="10"/>
      <c r="E14" s="10"/>
    </row>
    <row r="15" spans="1:5" ht="15" customHeight="1" x14ac:dyDescent="0.25">
      <c r="A15" s="22" t="s">
        <v>84</v>
      </c>
      <c r="B15" s="26">
        <f>(B3/100/(1-B3/100))/(B2/100/(1-B2/100))</f>
        <v>1.8888888888888886</v>
      </c>
      <c r="C15" s="36"/>
      <c r="D15" s="10"/>
      <c r="E15" s="10"/>
    </row>
    <row r="16" spans="1:5" ht="15" customHeight="1" x14ac:dyDescent="0.25">
      <c r="A16" s="22"/>
      <c r="B16" s="28"/>
      <c r="C16" s="36"/>
      <c r="D16" s="10"/>
      <c r="E16" s="10"/>
    </row>
    <row r="17" spans="1:5" ht="15" customHeight="1" x14ac:dyDescent="0.25">
      <c r="A17" s="22" t="s">
        <v>81</v>
      </c>
      <c r="B17" s="61">
        <v>112</v>
      </c>
      <c r="C17" s="36"/>
      <c r="D17" s="10"/>
      <c r="E17" s="10"/>
    </row>
    <row r="18" spans="1:5" ht="15" customHeight="1" x14ac:dyDescent="0.25">
      <c r="A18" s="22" t="s">
        <v>82</v>
      </c>
      <c r="B18" s="11">
        <f>ROUND(B17/((B14+100)/100),0)</f>
        <v>42</v>
      </c>
      <c r="C18" s="36"/>
      <c r="D18" s="10"/>
      <c r="E18" s="10"/>
    </row>
    <row r="19" spans="1:5" ht="15" customHeight="1" x14ac:dyDescent="0.25">
      <c r="A19" s="22" t="s">
        <v>83</v>
      </c>
      <c r="B19" s="11">
        <f>B17-B18</f>
        <v>70</v>
      </c>
      <c r="C19" s="36"/>
      <c r="D19" s="10"/>
      <c r="E19" s="10"/>
    </row>
    <row r="20" spans="1:5" ht="15" customHeight="1" x14ac:dyDescent="0.25">
      <c r="A20" s="22"/>
      <c r="B20" s="28"/>
      <c r="C20" s="10"/>
      <c r="D20" s="10"/>
      <c r="E20" s="10"/>
    </row>
    <row r="21" spans="1:5" ht="15" customHeight="1" x14ac:dyDescent="0.25">
      <c r="A21" s="63" t="s">
        <v>70</v>
      </c>
      <c r="B21" s="63"/>
      <c r="C21" s="63"/>
      <c r="D21" s="63"/>
      <c r="E21" s="63"/>
    </row>
    <row r="22" spans="1:5" ht="15" hidden="1" customHeight="1" x14ac:dyDescent="0.25"/>
    <row r="23" spans="1:5" ht="15" hidden="1" customHeight="1" x14ac:dyDescent="0.25">
      <c r="A23" s="3" t="s">
        <v>42</v>
      </c>
      <c r="B23">
        <f>((B27*B29+B28*B30)*(B25+B26)^2)/(B31^2)</f>
        <v>247.23971163199624</v>
      </c>
    </row>
    <row r="24" spans="1:5" ht="15" hidden="1" customHeight="1" x14ac:dyDescent="0.25">
      <c r="A24" s="5" t="s">
        <v>19</v>
      </c>
      <c r="B24">
        <f>1-(B5/100)</f>
        <v>0.19999999999999996</v>
      </c>
      <c r="C24" s="1" t="s">
        <v>30</v>
      </c>
    </row>
    <row r="25" spans="1:5" ht="15" hidden="1" customHeight="1" x14ac:dyDescent="0.25">
      <c r="A25" s="2" t="s">
        <v>2</v>
      </c>
      <c r="B25">
        <f>NORMSINV(1-B4/B6)</f>
        <v>1.9599639845400536</v>
      </c>
      <c r="C25" s="1" t="s">
        <v>10</v>
      </c>
    </row>
    <row r="26" spans="1:5" ht="15" hidden="1" customHeight="1" x14ac:dyDescent="0.25">
      <c r="A26" s="2" t="s">
        <v>3</v>
      </c>
      <c r="B26">
        <f>NORMSINV(1-B24)</f>
        <v>0.84162123357291474</v>
      </c>
      <c r="C26" s="1" t="s">
        <v>11</v>
      </c>
    </row>
    <row r="27" spans="1:5" ht="15" hidden="1" customHeight="1" x14ac:dyDescent="0.35">
      <c r="A27" s="2" t="s">
        <v>12</v>
      </c>
      <c r="B27">
        <f>(B34*B2)/100</f>
        <v>0.15</v>
      </c>
      <c r="C27" s="1" t="s">
        <v>21</v>
      </c>
    </row>
    <row r="28" spans="1:5" ht="15" hidden="1" customHeight="1" x14ac:dyDescent="0.35">
      <c r="A28" s="2" t="s">
        <v>13</v>
      </c>
      <c r="B28">
        <f>(B34*B3)/100</f>
        <v>0.25</v>
      </c>
      <c r="C28" s="1" t="s">
        <v>20</v>
      </c>
    </row>
    <row r="29" spans="1:5" ht="15" hidden="1" customHeight="1" x14ac:dyDescent="0.35">
      <c r="A29" s="4" t="s">
        <v>14</v>
      </c>
      <c r="B29">
        <f>1-B27</f>
        <v>0.85</v>
      </c>
      <c r="C29" s="1"/>
    </row>
    <row r="30" spans="1:5" ht="15" hidden="1" customHeight="1" x14ac:dyDescent="0.35">
      <c r="A30" s="4" t="s">
        <v>15</v>
      </c>
      <c r="B30">
        <f>1-B28</f>
        <v>0.75</v>
      </c>
      <c r="C30" s="1"/>
    </row>
    <row r="31" spans="1:5" ht="15" hidden="1" customHeight="1" x14ac:dyDescent="0.35">
      <c r="A31" s="4" t="s">
        <v>16</v>
      </c>
      <c r="B31" s="6">
        <f>B27-B28</f>
        <v>-0.1</v>
      </c>
      <c r="C31" s="1" t="s">
        <v>26</v>
      </c>
    </row>
    <row r="32" spans="1:5" ht="15" hidden="1" customHeight="1" x14ac:dyDescent="0.35">
      <c r="A32" s="5" t="s">
        <v>17</v>
      </c>
      <c r="B32">
        <f>(B27+B28)/2</f>
        <v>0.2</v>
      </c>
      <c r="C32" s="1" t="s">
        <v>22</v>
      </c>
    </row>
    <row r="33" spans="1:3" ht="15" hidden="1" customHeight="1" x14ac:dyDescent="0.35">
      <c r="A33" s="5" t="s">
        <v>18</v>
      </c>
      <c r="B33">
        <f>1-B32</f>
        <v>0.8</v>
      </c>
      <c r="C33" s="1"/>
    </row>
    <row r="34" spans="1:3" ht="15" hidden="1" customHeight="1" x14ac:dyDescent="0.25">
      <c r="B34">
        <v>1</v>
      </c>
      <c r="C34" s="7" t="s">
        <v>102</v>
      </c>
    </row>
    <row r="35" spans="1:3" ht="15" hidden="1" customHeight="1" x14ac:dyDescent="0.25">
      <c r="A35" s="2"/>
      <c r="B35">
        <f>1/((1-(B8/100)-(B9/100))^2)</f>
        <v>1</v>
      </c>
      <c r="C35" s="7" t="s">
        <v>39</v>
      </c>
    </row>
    <row r="36" spans="1:3" ht="15" hidden="1" customHeight="1" x14ac:dyDescent="0.25">
      <c r="B36" s="9">
        <f>100/(100-B10)</f>
        <v>1</v>
      </c>
      <c r="C36" s="7" t="s">
        <v>38</v>
      </c>
    </row>
    <row r="37" spans="1:3" ht="15" hidden="1" customHeight="1" x14ac:dyDescent="0.25">
      <c r="A37" s="2"/>
      <c r="C37" s="1"/>
    </row>
    <row r="38" spans="1:3" ht="15" hidden="1" customHeight="1" x14ac:dyDescent="0.25">
      <c r="A38" s="2"/>
      <c r="B38" t="s">
        <v>27</v>
      </c>
      <c r="C38" s="1"/>
    </row>
    <row r="39" spans="1:3" hidden="1" x14ac:dyDescent="0.25">
      <c r="B39" t="s">
        <v>28</v>
      </c>
    </row>
  </sheetData>
  <sheetProtection algorithmName="SHA-512" hashValue="7/nYAynb8NPKEuuHZ17Mu7IWMuTP2L3ECmC1D+0XrNE7oeohyZfUUk61Qy0YOxoCHgLTk0/nXADGqAnZc4DHjQ==" saltValue="m/qGS96BozBloPrb+I+kVQ==" spinCount="100000" sheet="1" objects="1" scenarios="1"/>
  <mergeCells count="1">
    <mergeCell ref="A21:E21"/>
  </mergeCells>
  <dataValidations count="4">
    <dataValidation type="decimal" showInputMessage="1" showErrorMessage="1" sqref="B4" xr:uid="{686385FF-8BE9-45CD-8977-660BFE8121E7}">
      <formula1>0.00001</formula1>
      <formula2>0.99999</formula2>
    </dataValidation>
    <dataValidation type="decimal" showInputMessage="1" showErrorMessage="1" sqref="B5" xr:uid="{6464586C-CCE6-4736-B4C2-D030801D3100}">
      <formula1>0.1</formula1>
      <formula2>99</formula2>
    </dataValidation>
    <dataValidation type="decimal" operator="lessThanOrEqual" showInputMessage="1" showErrorMessage="1" sqref="B8:B10" xr:uid="{80709A3F-185B-49D6-B4F2-0D5C38ED2BE4}">
      <formula1>99</formula1>
    </dataValidation>
    <dataValidation type="whole" showInputMessage="1" showErrorMessage="1" sqref="B6" xr:uid="{D6C5A6C1-C5E1-4E57-994A-5C85D5DFCB0F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20" zoomScaleNormal="120" workbookViewId="0"/>
  </sheetViews>
  <sheetFormatPr defaultColWidth="0" defaultRowHeight="15" zeroHeight="1" x14ac:dyDescent="0.25"/>
  <cols>
    <col min="1" max="1" width="55.42578125" bestFit="1" customWidth="1"/>
    <col min="2" max="2" width="11" customWidth="1"/>
    <col min="3" max="3" width="44.5703125" customWidth="1"/>
    <col min="4" max="4" width="8.85546875" customWidth="1"/>
    <col min="5" max="9" width="0" hidden="1" customWidth="1"/>
    <col min="10" max="16384" width="8.85546875" hidden="1"/>
  </cols>
  <sheetData>
    <row r="1" spans="1:7" s="10" customFormat="1" x14ac:dyDescent="0.25">
      <c r="D1" s="39"/>
    </row>
    <row r="2" spans="1:7" x14ac:dyDescent="0.25">
      <c r="A2" s="34" t="s">
        <v>65</v>
      </c>
      <c r="B2" s="13"/>
      <c r="C2" s="10"/>
      <c r="D2" s="40" t="s">
        <v>68</v>
      </c>
    </row>
    <row r="3" spans="1:7" s="60" customFormat="1" x14ac:dyDescent="0.25">
      <c r="A3" s="14" t="s">
        <v>89</v>
      </c>
      <c r="B3" s="52">
        <v>95</v>
      </c>
      <c r="C3" s="59" t="s">
        <v>64</v>
      </c>
      <c r="D3" s="19" t="s">
        <v>69</v>
      </c>
    </row>
    <row r="4" spans="1:7" ht="45" x14ac:dyDescent="0.25">
      <c r="A4" s="14" t="s">
        <v>47</v>
      </c>
      <c r="B4" s="53">
        <v>5</v>
      </c>
      <c r="C4" s="54" t="s">
        <v>101</v>
      </c>
      <c r="D4" s="39"/>
    </row>
    <row r="5" spans="1:7" x14ac:dyDescent="0.25">
      <c r="A5" s="14" t="s">
        <v>46</v>
      </c>
      <c r="B5" s="55">
        <v>2000</v>
      </c>
      <c r="C5" s="56"/>
      <c r="D5" s="39"/>
    </row>
    <row r="6" spans="1:7" ht="30" customHeight="1" x14ac:dyDescent="0.25">
      <c r="A6" s="14" t="s">
        <v>92</v>
      </c>
      <c r="B6" s="57">
        <v>50</v>
      </c>
      <c r="C6" s="58" t="s">
        <v>96</v>
      </c>
      <c r="D6" s="39"/>
    </row>
    <row r="7" spans="1:7" x14ac:dyDescent="0.25">
      <c r="A7" s="14" t="s">
        <v>40</v>
      </c>
      <c r="B7" s="57">
        <v>25</v>
      </c>
      <c r="C7" s="54" t="s">
        <v>97</v>
      </c>
      <c r="D7" s="39"/>
    </row>
    <row r="8" spans="1:7" ht="30" x14ac:dyDescent="0.25">
      <c r="A8" s="14" t="s">
        <v>45</v>
      </c>
      <c r="B8" s="50">
        <f>ROUNDUP((B16*B5/(B16+B5-1)*B19),0)</f>
        <v>1292</v>
      </c>
      <c r="C8" s="51" t="s">
        <v>49</v>
      </c>
      <c r="D8" s="39"/>
    </row>
    <row r="9" spans="1:7" x14ac:dyDescent="0.25">
      <c r="A9" s="14"/>
      <c r="B9" s="17"/>
      <c r="C9" s="16"/>
      <c r="D9" s="39"/>
    </row>
    <row r="10" spans="1:7" x14ac:dyDescent="0.25">
      <c r="A10" s="35" t="s">
        <v>66</v>
      </c>
      <c r="B10" s="17"/>
      <c r="C10" s="18"/>
      <c r="D10" s="39"/>
    </row>
    <row r="11" spans="1:7" ht="15" customHeight="1" x14ac:dyDescent="0.25">
      <c r="A11" s="14" t="s">
        <v>98</v>
      </c>
      <c r="B11" s="31">
        <v>323</v>
      </c>
      <c r="C11" s="37" t="s">
        <v>99</v>
      </c>
      <c r="D11" s="39"/>
      <c r="F11" s="2"/>
      <c r="G11" s="6"/>
    </row>
    <row r="12" spans="1:7" x14ac:dyDescent="0.25">
      <c r="A12" s="14" t="s">
        <v>50</v>
      </c>
      <c r="B12" s="20">
        <f>SQRT(((B6/100)*(1-(B6/100))*B18^2)/((B11*B5-B11)/(B5-B11)))*100</f>
        <v>4.9943269352181474</v>
      </c>
      <c r="C12" s="18"/>
      <c r="D12" s="39"/>
    </row>
    <row r="13" spans="1:7" x14ac:dyDescent="0.25">
      <c r="A13" s="10"/>
      <c r="B13" s="10"/>
      <c r="C13" s="10"/>
      <c r="D13" s="39"/>
    </row>
    <row r="14" spans="1:7" x14ac:dyDescent="0.25">
      <c r="A14" s="63" t="s">
        <v>70</v>
      </c>
      <c r="B14" s="63"/>
      <c r="C14" s="63"/>
      <c r="D14" s="63"/>
      <c r="E14" s="63"/>
    </row>
    <row r="16" spans="1:7" hidden="1" x14ac:dyDescent="0.25">
      <c r="A16" s="2" t="s">
        <v>29</v>
      </c>
      <c r="B16">
        <f>ROUNDUP(((B6/100)*(1-(B6/100)))/(((B4/100)/B18)^2),0)</f>
        <v>385</v>
      </c>
      <c r="C16" s="1" t="s">
        <v>90</v>
      </c>
    </row>
    <row r="17" spans="1:3" hidden="1" x14ac:dyDescent="0.25">
      <c r="A17" s="2" t="s">
        <v>29</v>
      </c>
      <c r="B17">
        <f>ROUNDUP(B16*B5/(B16+B5-1),0)</f>
        <v>323</v>
      </c>
      <c r="C17" s="1" t="s">
        <v>44</v>
      </c>
    </row>
    <row r="18" spans="1:3" hidden="1" x14ac:dyDescent="0.25">
      <c r="A18" s="2" t="s">
        <v>2</v>
      </c>
      <c r="B18">
        <f>NORMSINV(1-(1-(B3/100))/2)</f>
        <v>1.9599639845400536</v>
      </c>
      <c r="C18" s="1" t="s">
        <v>41</v>
      </c>
    </row>
    <row r="19" spans="1:3" hidden="1" x14ac:dyDescent="0.25">
      <c r="B19" s="9">
        <f>100/(100-(100-B7))</f>
        <v>4</v>
      </c>
      <c r="C19" s="7" t="s">
        <v>38</v>
      </c>
    </row>
    <row r="20" spans="1:3" hidden="1" x14ac:dyDescent="0.25">
      <c r="C20" s="1"/>
    </row>
    <row r="21" spans="1:3" hidden="1" x14ac:dyDescent="0.25">
      <c r="B21">
        <f>ROUNDUP((B18^2*(B6/100)*(1-(B6/100)))/(B4/100)^2,0)</f>
        <v>385</v>
      </c>
      <c r="C21" s="1" t="s">
        <v>90</v>
      </c>
    </row>
    <row r="22" spans="1:3" hidden="1" x14ac:dyDescent="0.25">
      <c r="B22">
        <f>ROUNDUP(B21/(1+((B21-1)/B5)),0)</f>
        <v>323</v>
      </c>
      <c r="C22" s="1" t="s">
        <v>100</v>
      </c>
    </row>
    <row r="23" spans="1:3" hidden="1" x14ac:dyDescent="0.25">
      <c r="B23">
        <f>B22/(B7/100)</f>
        <v>1292</v>
      </c>
      <c r="C23" s="1" t="s">
        <v>91</v>
      </c>
    </row>
  </sheetData>
  <sheetProtection algorithmName="SHA-512" hashValue="o8xOABkNysEeThmTXnw3YBohhFOSoKppRMt8BFzyjYATlObb7EotpF3VXEQm0Zi/v6m1N8jK0kci97m4FJEF8Q==" saltValue="2wlztT6i3EOtlaA7OkZ6nQ==" spinCount="100000" sheet="1" objects="1" scenarios="1"/>
  <mergeCells count="1">
    <mergeCell ref="A14:E14"/>
  </mergeCells>
  <dataValidations count="6">
    <dataValidation type="whole" showInputMessage="1" showErrorMessage="1" sqref="B3" xr:uid="{48AA52A4-717B-42BD-AA14-CFA0F2367D9D}">
      <formula1>1</formula1>
      <formula2>99</formula2>
    </dataValidation>
    <dataValidation type="decimal" showInputMessage="1" showErrorMessage="1" sqref="B7" xr:uid="{2BEC5256-7833-4C2A-A407-1A5A3699E074}">
      <formula1>1</formula1>
      <formula2>100</formula2>
    </dataValidation>
    <dataValidation type="whole" operator="greaterThan" showInputMessage="1" showErrorMessage="1" sqref="B5" xr:uid="{930530B6-EED1-403B-9112-873E283A853C}">
      <formula1>1</formula1>
    </dataValidation>
    <dataValidation type="whole" operator="greaterThan" allowBlank="1" showInputMessage="1" showErrorMessage="1" sqref="B11" xr:uid="{EA32A7AF-DF84-4BE2-8FFA-754D0FEA60FE}">
      <formula1>1</formula1>
    </dataValidation>
    <dataValidation type="decimal" showInputMessage="1" showErrorMessage="1" sqref="B6" xr:uid="{8F5EE2E5-3FCC-470E-B79D-65C0F1231F7D}">
      <formula1>1</formula1>
      <formula2>99</formula2>
    </dataValidation>
    <dataValidation type="decimal" showInputMessage="1" showErrorMessage="1" sqref="B4" xr:uid="{9CFBF517-F9A4-4377-9463-584CE32E0FE1}">
      <formula1>0.01</formula1>
      <formula2>99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3A2-FD73-48BE-9757-BBBADFE6F70A}">
  <dimension ref="A1:Q39"/>
  <sheetViews>
    <sheetView zoomScale="120" zoomScaleNormal="120" workbookViewId="0">
      <selection activeCell="A19" sqref="A19"/>
    </sheetView>
  </sheetViews>
  <sheetFormatPr defaultColWidth="0" defaultRowHeight="15" zeroHeight="1" x14ac:dyDescent="0.25"/>
  <cols>
    <col min="1" max="1" width="8.85546875" customWidth="1"/>
    <col min="2" max="2" width="12" bestFit="1" customWidth="1"/>
    <col min="3" max="5" width="8.85546875" customWidth="1"/>
    <col min="6" max="6" width="10" bestFit="1" customWidth="1"/>
    <col min="7" max="7" width="8.85546875" customWidth="1"/>
    <col min="8" max="8" width="10.28515625" customWidth="1"/>
    <col min="9" max="9" width="10.85546875" customWidth="1"/>
    <col min="10" max="10" width="8.85546875" customWidth="1"/>
    <col min="11" max="16384" width="8.85546875" hidden="1"/>
  </cols>
  <sheetData>
    <row r="1" spans="1:17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7" s="10" customFormat="1" x14ac:dyDescent="0.25">
      <c r="A2" s="39"/>
      <c r="B2" s="39"/>
      <c r="C2" s="39"/>
      <c r="D2" s="39"/>
      <c r="E2" s="39"/>
      <c r="F2" s="39"/>
      <c r="G2" s="39"/>
      <c r="H2" s="39"/>
      <c r="I2" s="39"/>
      <c r="J2" s="40" t="s">
        <v>68</v>
      </c>
    </row>
    <row r="3" spans="1:17" x14ac:dyDescent="0.25">
      <c r="A3" s="46" t="s">
        <v>51</v>
      </c>
      <c r="B3" s="39"/>
      <c r="C3" s="39"/>
      <c r="D3" s="46" t="s">
        <v>85</v>
      </c>
      <c r="E3" s="39"/>
      <c r="F3" s="39"/>
      <c r="G3" s="39"/>
      <c r="H3" s="39"/>
      <c r="I3" s="39"/>
      <c r="J3" s="11" t="s">
        <v>69</v>
      </c>
    </row>
    <row r="4" spans="1:17" x14ac:dyDescent="0.25">
      <c r="A4" s="39"/>
      <c r="B4" s="39"/>
      <c r="C4" s="39"/>
      <c r="D4" s="39"/>
      <c r="E4" s="47" t="s">
        <v>75</v>
      </c>
      <c r="F4" s="47" t="s">
        <v>61</v>
      </c>
      <c r="G4" s="47" t="s">
        <v>55</v>
      </c>
      <c r="H4" s="39"/>
      <c r="I4" s="41"/>
      <c r="J4" s="39"/>
    </row>
    <row r="5" spans="1:17" x14ac:dyDescent="0.25">
      <c r="A5" s="45" t="s">
        <v>55</v>
      </c>
      <c r="B5" s="44">
        <v>588</v>
      </c>
      <c r="C5" s="39"/>
      <c r="D5" s="45" t="s">
        <v>59</v>
      </c>
      <c r="E5" s="44">
        <v>10</v>
      </c>
      <c r="F5" s="44">
        <v>5</v>
      </c>
      <c r="G5" s="44">
        <v>10</v>
      </c>
      <c r="H5" s="39"/>
      <c r="I5" s="48" t="s">
        <v>73</v>
      </c>
      <c r="J5" s="43"/>
    </row>
    <row r="6" spans="1:17" x14ac:dyDescent="0.25">
      <c r="A6" s="45" t="s">
        <v>52</v>
      </c>
      <c r="B6" s="44">
        <v>-0.4</v>
      </c>
      <c r="C6" s="39"/>
      <c r="D6" s="45" t="s">
        <v>60</v>
      </c>
      <c r="E6" s="44">
        <v>15</v>
      </c>
      <c r="F6" s="44">
        <v>6</v>
      </c>
      <c r="G6" s="44">
        <v>25</v>
      </c>
      <c r="H6" s="39"/>
      <c r="I6" t="s">
        <v>58</v>
      </c>
      <c r="J6" s="39"/>
    </row>
    <row r="7" spans="1:17" x14ac:dyDescent="0.25">
      <c r="A7" s="45" t="s">
        <v>53</v>
      </c>
      <c r="B7" s="44">
        <v>-0.52</v>
      </c>
      <c r="C7" s="39"/>
      <c r="D7" s="45" t="s">
        <v>62</v>
      </c>
      <c r="E7" s="44">
        <v>20</v>
      </c>
      <c r="F7" s="44">
        <v>7</v>
      </c>
      <c r="G7" s="44">
        <v>13</v>
      </c>
      <c r="H7" s="39"/>
      <c r="I7" s="49">
        <f>SQRT((F5^2+F6^2+F7^2+F8^2)/COUNT(F5:F8))</f>
        <v>6.5954529791364598</v>
      </c>
      <c r="J7" s="39"/>
    </row>
    <row r="8" spans="1:17" x14ac:dyDescent="0.25">
      <c r="A8" s="45" t="s">
        <v>54</v>
      </c>
      <c r="B8" s="44">
        <v>-0.36</v>
      </c>
      <c r="C8" s="39"/>
      <c r="D8" s="45" t="s">
        <v>63</v>
      </c>
      <c r="E8" s="44">
        <v>25</v>
      </c>
      <c r="F8" s="44">
        <v>8</v>
      </c>
      <c r="G8" s="44">
        <v>13</v>
      </c>
      <c r="H8" s="39"/>
      <c r="I8" t="s">
        <v>71</v>
      </c>
      <c r="J8" s="39"/>
    </row>
    <row r="9" spans="1:17" x14ac:dyDescent="0.25">
      <c r="A9" s="39"/>
      <c r="B9" s="39"/>
      <c r="C9" s="39"/>
      <c r="D9" s="39"/>
      <c r="E9" s="10" t="s">
        <v>76</v>
      </c>
      <c r="F9" s="39"/>
      <c r="G9" s="39"/>
      <c r="H9" s="39"/>
      <c r="I9" s="49">
        <f>SQRT((G5*F5^2+G6*F6^2+G7*F7^2+G8*F8^2)/SUM(G5:G8))</f>
        <v>6.5524366635251194</v>
      </c>
      <c r="J9" s="39"/>
    </row>
    <row r="10" spans="1:17" x14ac:dyDescent="0.25">
      <c r="A10" s="45" t="s">
        <v>57</v>
      </c>
      <c r="B10" s="49">
        <f>SQRT(B5)*(B6-B7)/B19</f>
        <v>1.4846422585660775</v>
      </c>
      <c r="C10" s="39"/>
      <c r="D10" s="41"/>
      <c r="E10" s="39"/>
      <c r="F10" s="39"/>
      <c r="G10" s="39"/>
      <c r="H10" s="39"/>
      <c r="I10" s="41"/>
      <c r="J10" s="39"/>
    </row>
    <row r="11" spans="1:17" x14ac:dyDescent="0.25">
      <c r="A11" s="45" t="s">
        <v>56</v>
      </c>
      <c r="B11" s="49">
        <f>SQRT(B5)*(B8-B6)/B19</f>
        <v>0.49488075285535965</v>
      </c>
      <c r="C11" s="39"/>
      <c r="D11" s="46" t="s">
        <v>86</v>
      </c>
      <c r="E11" s="39"/>
      <c r="F11" s="39"/>
      <c r="G11" s="39"/>
      <c r="H11" s="39"/>
      <c r="I11" s="48" t="s">
        <v>74</v>
      </c>
      <c r="J11" s="43"/>
      <c r="Q11" s="10"/>
    </row>
    <row r="12" spans="1:17" x14ac:dyDescent="0.25">
      <c r="A12" s="39"/>
      <c r="B12" s="39"/>
      <c r="C12" s="39"/>
      <c r="D12" s="41"/>
      <c r="E12" s="10" t="s">
        <v>61</v>
      </c>
      <c r="F12" s="48" t="s">
        <v>95</v>
      </c>
      <c r="G12" s="43"/>
      <c r="H12" s="39"/>
      <c r="I12" t="s">
        <v>71</v>
      </c>
      <c r="J12" s="39"/>
    </row>
    <row r="13" spans="1:17" x14ac:dyDescent="0.25">
      <c r="A13" s="39"/>
      <c r="B13" s="39"/>
      <c r="C13" s="39"/>
      <c r="D13" s="45" t="s">
        <v>93</v>
      </c>
      <c r="E13" s="44">
        <v>10</v>
      </c>
      <c r="F13" s="49">
        <f>SQRT(E13^2+E14^2-2*E13*E14*E15)</f>
        <v>8.2462112512353212</v>
      </c>
      <c r="G13" s="39"/>
      <c r="H13" s="39"/>
      <c r="I13" s="49">
        <f>SQRT((F5^2*G5+F6^2*G6+F7^2*G7+F8^2*G8+G5*(E5-B20)^2+G6*(E6-B20)^2+G7*(E7-B20)^2+G8*(E8-B20)^2)/SUM(G5:G8))</f>
        <v>8.2475310452185369</v>
      </c>
      <c r="J13" s="39"/>
    </row>
    <row r="14" spans="1:17" x14ac:dyDescent="0.25">
      <c r="A14" s="39"/>
      <c r="B14" s="39"/>
      <c r="C14" s="39"/>
      <c r="D14" s="45" t="s">
        <v>94</v>
      </c>
      <c r="E14" s="44">
        <v>8</v>
      </c>
      <c r="F14" s="48" t="s">
        <v>88</v>
      </c>
      <c r="G14" s="43"/>
      <c r="H14" s="39"/>
      <c r="I14" s="38"/>
      <c r="J14" s="39"/>
    </row>
    <row r="15" spans="1:17" x14ac:dyDescent="0.25">
      <c r="A15" s="39"/>
      <c r="B15" s="39"/>
      <c r="C15" s="39"/>
      <c r="D15" s="45" t="s">
        <v>87</v>
      </c>
      <c r="E15" s="44">
        <v>0.6</v>
      </c>
      <c r="F15" s="49">
        <f>SQRT((E13^2+E14^2-2*E13*E14*E15)/2)</f>
        <v>5.8309518948453007</v>
      </c>
      <c r="G15" s="39"/>
      <c r="H15" s="39"/>
      <c r="I15" s="39"/>
      <c r="J15" s="39"/>
    </row>
    <row r="16" spans="1:17" x14ac:dyDescent="0.25">
      <c r="A16" s="39"/>
      <c r="B16" s="39"/>
      <c r="C16" s="39"/>
      <c r="D16" s="42"/>
      <c r="E16" s="39"/>
      <c r="F16" s="39"/>
      <c r="G16" s="39"/>
      <c r="H16" s="39"/>
      <c r="I16" s="39"/>
      <c r="J16" s="39"/>
    </row>
    <row r="17" spans="1:10" x14ac:dyDescent="0.25">
      <c r="A17" s="63" t="s">
        <v>70</v>
      </c>
      <c r="B17" s="63"/>
      <c r="C17" s="63"/>
      <c r="D17" s="63"/>
      <c r="E17" s="63"/>
      <c r="F17" s="63"/>
      <c r="G17" s="63"/>
      <c r="H17" s="63"/>
      <c r="I17" s="63"/>
      <c r="J17" s="63"/>
    </row>
    <row r="19" spans="1:10" hidden="1" x14ac:dyDescent="0.25">
      <c r="A19" t="s">
        <v>2</v>
      </c>
      <c r="B19">
        <f>NORMSINV(1-0.05/2)</f>
        <v>1.9599639845400536</v>
      </c>
    </row>
    <row r="20" spans="1:10" ht="30" hidden="1" x14ac:dyDescent="0.25">
      <c r="A20" s="33" t="s">
        <v>72</v>
      </c>
      <c r="B20" s="32">
        <f>(E5*G5+E6*G6+E7*G7+E8*G8)/(SUM(G5:G8))</f>
        <v>17.377049180327869</v>
      </c>
    </row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</sheetData>
  <sheetProtection algorithmName="SHA-512" hashValue="ddrMBHWiPUe9cpcem/BtoqqOIJG5KWyiGofq7D0K3I/feADCSKgK4wWgyd8XUalgExrEQDMvHQgpLoATd69QiA==" saltValue="q9owF47pztcSufWx0m/RUw==" spinCount="100000" sheet="1" objects="1" scenarios="1"/>
  <mergeCells count="1">
    <mergeCell ref="A17:J17"/>
  </mergeCells>
  <dataValidations count="1">
    <dataValidation type="decimal" operator="greaterThan" allowBlank="1" showInputMessage="1" showErrorMessage="1" sqref="B5 E5:E8" xr:uid="{21D4443F-10C6-4FF8-9DF1-1986EFF5A8B2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Means (2 groups)</vt:lpstr>
      <vt:lpstr>Proportions (2 groups)</vt:lpstr>
      <vt:lpstr>Questionnaire</vt:lpstr>
      <vt:lpstr>Useful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Januszewski</dc:creator>
  <cp:lastModifiedBy>Andrzej Januszewski</cp:lastModifiedBy>
  <dcterms:created xsi:type="dcterms:W3CDTF">2012-03-22T05:56:55Z</dcterms:created>
  <dcterms:modified xsi:type="dcterms:W3CDTF">2025-05-08T00:30:31Z</dcterms:modified>
</cp:coreProperties>
</file>