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LEDCeliling\"/>
    </mc:Choice>
  </mc:AlternateContent>
  <xr:revisionPtr revIDLastSave="0" documentId="13_ncr:1_{0B4F33AC-C25C-4F3A-8FA1-BA61C8547C40}" xr6:coauthVersionLast="47" xr6:coauthVersionMax="47" xr10:uidLastSave="{00000000-0000-0000-0000-000000000000}"/>
  <bookViews>
    <workbookView xWindow="-120" yWindow="-120" windowWidth="29040" windowHeight="16440" activeTab="3" xr2:uid="{D6D1EC37-0E77-49E0-A009-E3CFC35EA154}"/>
  </bookViews>
  <sheets>
    <sheet name="LED間隔2cm" sheetId="5" r:id="rId1"/>
    <sheet name="LED間隔3cm" sheetId="4" r:id="rId2"/>
    <sheet name="LED間隔5cm" sheetId="1" r:id="rId3"/>
    <sheet name="P4" sheetId="8" r:id="rId4"/>
    <sheet name="LED間隔0.5cm" sheetId="7" r:id="rId5"/>
    <sheet name="LED間隔1cm 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8" l="1"/>
  <c r="D7" i="8"/>
  <c r="J7" i="8"/>
  <c r="E6" i="8"/>
  <c r="N2" i="8"/>
  <c r="M2" i="8"/>
  <c r="L3" i="8"/>
  <c r="C6" i="8" s="1"/>
  <c r="K3" i="8"/>
  <c r="B6" i="8" s="1"/>
  <c r="H22" i="7"/>
  <c r="H18" i="7" s="1"/>
  <c r="G22" i="7"/>
  <c r="K18" i="7"/>
  <c r="E14" i="7"/>
  <c r="E12" i="7"/>
  <c r="L5" i="7"/>
  <c r="K5" i="7"/>
  <c r="M5" i="7" s="1"/>
  <c r="M7" i="7" s="1"/>
  <c r="C15" i="7" s="1"/>
  <c r="E15" i="7" s="1"/>
  <c r="H5" i="7"/>
  <c r="P2" i="7" s="1"/>
  <c r="G5" i="7"/>
  <c r="I5" i="7" s="1"/>
  <c r="C5" i="7"/>
  <c r="B5" i="7"/>
  <c r="O2" i="7" s="1"/>
  <c r="Q2" i="7" s="1"/>
  <c r="E17" i="5"/>
  <c r="H22" i="6"/>
  <c r="G22" i="6"/>
  <c r="I22" i="6" s="1"/>
  <c r="L2" i="6" s="1"/>
  <c r="K18" i="6"/>
  <c r="E14" i="6"/>
  <c r="E12" i="6"/>
  <c r="C5" i="6"/>
  <c r="L5" i="6" s="1"/>
  <c r="B5" i="6"/>
  <c r="O2" i="6" s="1"/>
  <c r="H22" i="5"/>
  <c r="G22" i="5"/>
  <c r="K18" i="5"/>
  <c r="E14" i="5"/>
  <c r="E12" i="5"/>
  <c r="L5" i="5"/>
  <c r="K5" i="5"/>
  <c r="M5" i="5" s="1"/>
  <c r="M7" i="5" s="1"/>
  <c r="C15" i="5" s="1"/>
  <c r="E15" i="5" s="1"/>
  <c r="H5" i="5"/>
  <c r="P2" i="5" s="1"/>
  <c r="C5" i="5"/>
  <c r="B5" i="5"/>
  <c r="G5" i="5" s="1"/>
  <c r="O2" i="5"/>
  <c r="H22" i="4"/>
  <c r="I22" i="4" s="1"/>
  <c r="L2" i="4" s="1"/>
  <c r="G22" i="4"/>
  <c r="K18" i="4"/>
  <c r="E14" i="4"/>
  <c r="E12" i="4"/>
  <c r="C5" i="4"/>
  <c r="L5" i="4" s="1"/>
  <c r="B5" i="4"/>
  <c r="O2" i="4" s="1"/>
  <c r="G20" i="1"/>
  <c r="E14" i="1"/>
  <c r="E12" i="1"/>
  <c r="L5" i="1"/>
  <c r="K5" i="1"/>
  <c r="C11" i="1"/>
  <c r="K18" i="1"/>
  <c r="H22" i="1"/>
  <c r="G22" i="1"/>
  <c r="C5" i="1"/>
  <c r="H5" i="1" s="1"/>
  <c r="P2" i="1" s="1"/>
  <c r="B5" i="1"/>
  <c r="G5" i="1" s="1"/>
  <c r="D6" i="8" l="1"/>
  <c r="S3" i="8"/>
  <c r="S2" i="8"/>
  <c r="I22" i="7"/>
  <c r="L2" i="7" s="1"/>
  <c r="I9" i="7"/>
  <c r="C11" i="7" s="1"/>
  <c r="E11" i="7" s="1"/>
  <c r="I7" i="7"/>
  <c r="G7" i="7"/>
  <c r="G18" i="7"/>
  <c r="G5" i="6"/>
  <c r="H5" i="6"/>
  <c r="K5" i="6"/>
  <c r="M5" i="6" s="1"/>
  <c r="M7" i="6" s="1"/>
  <c r="C15" i="6" s="1"/>
  <c r="E15" i="6" s="1"/>
  <c r="I22" i="5"/>
  <c r="L2" i="5" s="1"/>
  <c r="G18" i="5"/>
  <c r="I5" i="5"/>
  <c r="Q2" i="5"/>
  <c r="H18" i="5"/>
  <c r="H18" i="4"/>
  <c r="G5" i="4"/>
  <c r="H5" i="4"/>
  <c r="P2" i="4" s="1"/>
  <c r="Q2" i="4" s="1"/>
  <c r="K5" i="4"/>
  <c r="M5" i="4" s="1"/>
  <c r="M7" i="4" s="1"/>
  <c r="C15" i="4" s="1"/>
  <c r="E15" i="4" s="1"/>
  <c r="I22" i="1"/>
  <c r="L2" i="1" s="1"/>
  <c r="G18" i="1"/>
  <c r="H18" i="1"/>
  <c r="O2" i="1"/>
  <c r="Q2" i="1"/>
  <c r="I5" i="1"/>
  <c r="Q2" i="8" l="1"/>
  <c r="G20" i="7"/>
  <c r="I18" i="7"/>
  <c r="K7" i="7" s="1"/>
  <c r="L7" i="7" s="1"/>
  <c r="P2" i="6"/>
  <c r="Q2" i="6" s="1"/>
  <c r="H18" i="6"/>
  <c r="G18" i="6"/>
  <c r="I5" i="6"/>
  <c r="I7" i="5"/>
  <c r="I9" i="5" s="1"/>
  <c r="C11" i="5" s="1"/>
  <c r="E11" i="5" s="1"/>
  <c r="G7" i="5"/>
  <c r="G20" i="5"/>
  <c r="I18" i="5"/>
  <c r="K7" i="5" s="1"/>
  <c r="L7" i="5" s="1"/>
  <c r="G18" i="4"/>
  <c r="I5" i="4"/>
  <c r="I18" i="1"/>
  <c r="I7" i="1"/>
  <c r="I9" i="1" s="1"/>
  <c r="G7" i="1"/>
  <c r="E11" i="1" s="1"/>
  <c r="M5" i="1"/>
  <c r="M7" i="1" s="1"/>
  <c r="C15" i="1" s="1"/>
  <c r="E15" i="1" s="1"/>
  <c r="C10" i="7" l="1"/>
  <c r="E10" i="7" s="1"/>
  <c r="L18" i="7"/>
  <c r="C13" i="7"/>
  <c r="E13" i="7" s="1"/>
  <c r="I7" i="6"/>
  <c r="I9" i="6" s="1"/>
  <c r="C11" i="6" s="1"/>
  <c r="E11" i="6" s="1"/>
  <c r="G7" i="6"/>
  <c r="I18" i="6"/>
  <c r="K7" i="6" s="1"/>
  <c r="L7" i="6" s="1"/>
  <c r="G20" i="6"/>
  <c r="C10" i="5"/>
  <c r="E10" i="5" s="1"/>
  <c r="L18" i="5"/>
  <c r="C13" i="5"/>
  <c r="E13" i="5" s="1"/>
  <c r="G20" i="4"/>
  <c r="I18" i="4"/>
  <c r="K7" i="4" s="1"/>
  <c r="L7" i="4" s="1"/>
  <c r="I7" i="4"/>
  <c r="I9" i="4" s="1"/>
  <c r="C11" i="4" s="1"/>
  <c r="E11" i="4" s="1"/>
  <c r="G7" i="4"/>
  <c r="K7" i="1"/>
  <c r="L7" i="1" s="1"/>
  <c r="C10" i="1"/>
  <c r="E10" i="1" s="1"/>
  <c r="C13" i="1"/>
  <c r="E13" i="1" s="1"/>
  <c r="L18" i="1"/>
  <c r="E17" i="7" l="1"/>
  <c r="C10" i="6"/>
  <c r="E10" i="6" s="1"/>
  <c r="L18" i="6"/>
  <c r="C13" i="6"/>
  <c r="E13" i="6" s="1"/>
  <c r="C10" i="4"/>
  <c r="E10" i="4" s="1"/>
  <c r="L18" i="4"/>
  <c r="C13" i="4"/>
  <c r="E13" i="4" s="1"/>
  <c r="E17" i="1"/>
  <c r="E17" i="6" l="1"/>
  <c r="E17" i="4"/>
</calcChain>
</file>

<file path=xl/sharedStrings.xml><?xml version="1.0" encoding="utf-8"?>
<sst xmlns="http://schemas.openxmlformats.org/spreadsheetml/2006/main" count="285" uniqueCount="59">
  <si>
    <t>WS2812B5050</t>
    <phoneticPr fontId="1" type="noConversion"/>
  </si>
  <si>
    <t>品名</t>
    <phoneticPr fontId="1" type="noConversion"/>
  </si>
  <si>
    <t>單價</t>
    <phoneticPr fontId="1" type="noConversion"/>
  </si>
  <si>
    <t>額外費用</t>
    <phoneticPr fontId="1" type="noConversion"/>
  </si>
  <si>
    <t>數量</t>
    <phoneticPr fontId="1" type="noConversion"/>
  </si>
  <si>
    <t>場地</t>
    <phoneticPr fontId="1" type="noConversion"/>
  </si>
  <si>
    <t>長</t>
    <phoneticPr fontId="1" type="noConversion"/>
  </si>
  <si>
    <t>寬</t>
    <phoneticPr fontId="1" type="noConversion"/>
  </si>
  <si>
    <t>角鋼</t>
    <phoneticPr fontId="1" type="noConversion"/>
  </si>
  <si>
    <t>有效長寬</t>
    <phoneticPr fontId="1" type="noConversion"/>
  </si>
  <si>
    <t>立柱</t>
    <phoneticPr fontId="1" type="noConversion"/>
  </si>
  <si>
    <t>天花板邊長</t>
    <phoneticPr fontId="1" type="noConversion"/>
  </si>
  <si>
    <t>天花板數量</t>
    <phoneticPr fontId="1" type="noConversion"/>
  </si>
  <si>
    <t>X軸數量</t>
    <phoneticPr fontId="1" type="noConversion"/>
  </si>
  <si>
    <t>Y軸數量</t>
    <phoneticPr fontId="1" type="noConversion"/>
  </si>
  <si>
    <t>總價</t>
    <phoneticPr fontId="1" type="noConversion"/>
  </si>
  <si>
    <t>角鋼長度</t>
    <phoneticPr fontId="1" type="noConversion"/>
  </si>
  <si>
    <t>角鋼數量</t>
    <phoneticPr fontId="1" type="noConversion"/>
  </si>
  <si>
    <t>角鋼總長度</t>
    <phoneticPr fontId="1" type="noConversion"/>
  </si>
  <si>
    <t>LED間隔</t>
    <phoneticPr fontId="1" type="noConversion"/>
  </si>
  <si>
    <t>LED數量</t>
    <phoneticPr fontId="1" type="noConversion"/>
  </si>
  <si>
    <t>單位X軸LED數量</t>
    <phoneticPr fontId="1" type="noConversion"/>
  </si>
  <si>
    <t>單位Y軸LED數量</t>
    <phoneticPr fontId="1" type="noConversion"/>
  </si>
  <si>
    <t>單位LED總數量</t>
    <phoneticPr fontId="1" type="noConversion"/>
  </si>
  <si>
    <t>天花板面積</t>
    <phoneticPr fontId="1" type="noConversion"/>
  </si>
  <si>
    <t>密迪板(4尺*8尺)*10片</t>
    <phoneticPr fontId="1" type="noConversion"/>
  </si>
  <si>
    <t>pcb板</t>
    <phoneticPr fontId="1" type="noConversion"/>
  </si>
  <si>
    <t>電容</t>
    <phoneticPr fontId="1" type="noConversion"/>
  </si>
  <si>
    <t>電路加工費</t>
    <phoneticPr fontId="1" type="noConversion"/>
  </si>
  <si>
    <t>PCB板大小</t>
    <phoneticPr fontId="1" type="noConversion"/>
  </si>
  <si>
    <t>拼板大小</t>
    <phoneticPr fontId="1" type="noConversion"/>
  </si>
  <si>
    <t>總需要數量</t>
    <phoneticPr fontId="1" type="noConversion"/>
  </si>
  <si>
    <t>拼板上數量</t>
    <phoneticPr fontId="1" type="noConversion"/>
  </si>
  <si>
    <t>額外預備片數</t>
    <phoneticPr fontId="1" type="noConversion"/>
  </si>
  <si>
    <t>額外預備片數比例</t>
    <phoneticPr fontId="1" type="noConversion"/>
  </si>
  <si>
    <t>天花板總數量</t>
    <phoneticPr fontId="1" type="noConversion"/>
  </si>
  <si>
    <t>esp32 X軸數量</t>
    <phoneticPr fontId="1" type="noConversion"/>
  </si>
  <si>
    <t>esp32 Y軸數量</t>
    <phoneticPr fontId="1" type="noConversion"/>
  </si>
  <si>
    <t>X</t>
    <phoneticPr fontId="1" type="noConversion"/>
  </si>
  <si>
    <t>Y</t>
    <phoneticPr fontId="1" type="noConversion"/>
  </si>
  <si>
    <t>esp32總數量</t>
    <phoneticPr fontId="1" type="noConversion"/>
  </si>
  <si>
    <t>WS2812最大數量</t>
    <phoneticPr fontId="1" type="noConversion"/>
  </si>
  <si>
    <t>每片乘載LED</t>
    <phoneticPr fontId="1" type="noConversion"/>
  </si>
  <si>
    <t>每片需要pin</t>
    <phoneticPr fontId="1" type="noConversion"/>
  </si>
  <si>
    <t>LED總數量</t>
    <phoneticPr fontId="1" type="noConversion"/>
  </si>
  <si>
    <t>esp32數量</t>
    <phoneticPr fontId="1" type="noConversion"/>
  </si>
  <si>
    <t>esp32 掃描半徑</t>
    <phoneticPr fontId="1" type="noConversion"/>
  </si>
  <si>
    <t>全部價格</t>
    <phoneticPr fontId="1" type="noConversion"/>
  </si>
  <si>
    <t>esp32、天線</t>
    <phoneticPr fontId="1" type="noConversion"/>
  </si>
  <si>
    <t>ESP32-S3-WROOM-1U N8R8</t>
    <phoneticPr fontId="1" type="noConversion"/>
  </si>
  <si>
    <t>模組</t>
    <phoneticPr fontId="1" type="noConversion"/>
  </si>
  <si>
    <t>單片LED</t>
    <phoneticPr fontId="1" type="noConversion"/>
  </si>
  <si>
    <t>長度</t>
    <phoneticPr fontId="1" type="noConversion"/>
  </si>
  <si>
    <t>場地模組數量</t>
    <phoneticPr fontId="1" type="noConversion"/>
  </si>
  <si>
    <t>總數</t>
    <phoneticPr fontId="1" type="noConversion"/>
  </si>
  <si>
    <t>單片esp32控制數量</t>
    <phoneticPr fontId="1" type="noConversion"/>
  </si>
  <si>
    <t>esp32總量</t>
    <phoneticPr fontId="1" type="noConversion"/>
  </si>
  <si>
    <t>占地長寬</t>
    <phoneticPr fontId="1" type="noConversion"/>
  </si>
  <si>
    <t>HUB75腳位數量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</si>
</sst>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3C3C3C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1F-4182-8017-7539DA3D64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1F-4182-8017-7539DA3D64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1F-4182-8017-7539DA3D64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1F-4182-8017-7539DA3D64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1F-4182-8017-7539DA3D64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1F-4182-8017-7539DA3D64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LED間隔2cm!$A$10:$A$15</c:f>
              <c:strCache>
                <c:ptCount val="6"/>
                <c:pt idx="0">
                  <c:v>WS2812B5050</c:v>
                </c:pt>
                <c:pt idx="1">
                  <c:v>密迪板(4尺*8尺)*10片</c:v>
                </c:pt>
                <c:pt idx="2">
                  <c:v>pcb板</c:v>
                </c:pt>
                <c:pt idx="3">
                  <c:v>電容</c:v>
                </c:pt>
                <c:pt idx="4">
                  <c:v>電路加工費</c:v>
                </c:pt>
                <c:pt idx="5">
                  <c:v>esp32、天線</c:v>
                </c:pt>
              </c:strCache>
            </c:strRef>
          </c:cat>
          <c:val>
            <c:numRef>
              <c:f>LED間隔2cm!$E$10:$E$15</c:f>
              <c:numCache>
                <c:formatCode>General</c:formatCode>
                <c:ptCount val="6"/>
                <c:pt idx="0">
                  <c:v>66339</c:v>
                </c:pt>
                <c:pt idx="1">
                  <c:v>1200</c:v>
                </c:pt>
                <c:pt idx="2">
                  <c:v>30000</c:v>
                </c:pt>
                <c:pt idx="3">
                  <c:v>778.37760000000003</c:v>
                </c:pt>
                <c:pt idx="4">
                  <c:v>1600</c:v>
                </c:pt>
                <c:pt idx="5">
                  <c:v>12060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1F-4182-8017-7539DA3D648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05-4B79-B337-14E638AB19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05-4B79-B337-14E638AB19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05-4B79-B337-14E638AB19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05-4B79-B337-14E638AB19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05-4B79-B337-14E638AB19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305-4B79-B337-14E638AB19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LED間隔3cm!$A$10:$A$15</c:f>
              <c:strCache>
                <c:ptCount val="6"/>
                <c:pt idx="0">
                  <c:v>WS2812B5050</c:v>
                </c:pt>
                <c:pt idx="1">
                  <c:v>密迪板(4尺*8尺)*10片</c:v>
                </c:pt>
                <c:pt idx="2">
                  <c:v>pcb板</c:v>
                </c:pt>
                <c:pt idx="3">
                  <c:v>電容</c:v>
                </c:pt>
                <c:pt idx="4">
                  <c:v>電路加工費</c:v>
                </c:pt>
                <c:pt idx="5">
                  <c:v>esp32、天線</c:v>
                </c:pt>
              </c:strCache>
            </c:strRef>
          </c:cat>
          <c:val>
            <c:numRef>
              <c:f>LED間隔3cm!$E$10:$E$15</c:f>
              <c:numCache>
                <c:formatCode>General</c:formatCode>
                <c:ptCount val="6"/>
                <c:pt idx="0">
                  <c:v>43833</c:v>
                </c:pt>
                <c:pt idx="1">
                  <c:v>1200</c:v>
                </c:pt>
                <c:pt idx="2">
                  <c:v>12300</c:v>
                </c:pt>
                <c:pt idx="3">
                  <c:v>345.94560000000001</c:v>
                </c:pt>
                <c:pt idx="4">
                  <c:v>1200</c:v>
                </c:pt>
                <c:pt idx="5">
                  <c:v>12060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05-4B79-B337-14E638AB190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9100551456162354"/>
          <c:y val="0.12555911243025664"/>
          <c:w val="0.6104099920359477"/>
          <c:h val="0.766050264462590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87-4CCC-9230-08A61A7F1A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87-4CCC-9230-08A61A7F1A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87-4CCC-9230-08A61A7F1A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87-4CCC-9230-08A61A7F1A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87-4CCC-9230-08A61A7F1A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87-4CCC-9230-08A61A7F1A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LED間隔5cm!$A$10:$A$15</c:f>
              <c:strCache>
                <c:ptCount val="6"/>
                <c:pt idx="0">
                  <c:v>WS2812B5050</c:v>
                </c:pt>
                <c:pt idx="1">
                  <c:v>密迪板(4尺*8尺)*10片</c:v>
                </c:pt>
                <c:pt idx="2">
                  <c:v>pcb板</c:v>
                </c:pt>
                <c:pt idx="3">
                  <c:v>電容</c:v>
                </c:pt>
                <c:pt idx="4">
                  <c:v>電路加工費</c:v>
                </c:pt>
                <c:pt idx="5">
                  <c:v>esp32、天線</c:v>
                </c:pt>
              </c:strCache>
            </c:strRef>
          </c:cat>
          <c:val>
            <c:numRef>
              <c:f>LED間隔5cm!$E$10:$E$15</c:f>
              <c:numCache>
                <c:formatCode>General</c:formatCode>
                <c:ptCount val="6"/>
                <c:pt idx="0">
                  <c:v>23711</c:v>
                </c:pt>
                <c:pt idx="1">
                  <c:v>1200</c:v>
                </c:pt>
                <c:pt idx="2">
                  <c:v>5200</c:v>
                </c:pt>
                <c:pt idx="3">
                  <c:v>124.5728</c:v>
                </c:pt>
                <c:pt idx="4">
                  <c:v>1100</c:v>
                </c:pt>
                <c:pt idx="5">
                  <c:v>12060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D-4823-80AC-827171DDBEF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3E-4840-91F0-71BAF141D8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3E-4840-91F0-71BAF141D8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3E-4840-91F0-71BAF141D8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3E-4840-91F0-71BAF141D8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3E-4840-91F0-71BAF141D8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A3E-4840-91F0-71BAF141D8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LED間隔0.5cm!$A$10:$A$15</c:f>
              <c:strCache>
                <c:ptCount val="6"/>
                <c:pt idx="0">
                  <c:v>WS2812B5050</c:v>
                </c:pt>
                <c:pt idx="1">
                  <c:v>密迪板(4尺*8尺)*10片</c:v>
                </c:pt>
                <c:pt idx="2">
                  <c:v>pcb板</c:v>
                </c:pt>
                <c:pt idx="3">
                  <c:v>電容</c:v>
                </c:pt>
                <c:pt idx="4">
                  <c:v>電路加工費</c:v>
                </c:pt>
                <c:pt idx="5">
                  <c:v>esp32、天線</c:v>
                </c:pt>
              </c:strCache>
            </c:strRef>
          </c:cat>
          <c:val>
            <c:numRef>
              <c:f>LED間隔0.5cm!$E$10:$E$15</c:f>
              <c:numCache>
                <c:formatCode>General</c:formatCode>
                <c:ptCount val="6"/>
                <c:pt idx="0">
                  <c:v>176904</c:v>
                </c:pt>
                <c:pt idx="1">
                  <c:v>1200</c:v>
                </c:pt>
                <c:pt idx="2">
                  <c:v>30000</c:v>
                </c:pt>
                <c:pt idx="3">
                  <c:v>12454.0416</c:v>
                </c:pt>
                <c:pt idx="4">
                  <c:v>1600</c:v>
                </c:pt>
                <c:pt idx="5">
                  <c:v>12060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3E-4840-91F0-71BAF141D82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2-4E5D-A130-D20397FF0A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A2-4E5D-A130-D20397FF0A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A2-4E5D-A130-D20397FF0A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A2-4E5D-A130-D20397FF0A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A2-4E5D-A130-D20397FF0A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A2-4E5D-A130-D20397FF0A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'LED間隔1cm '!$A$10:$A$15</c:f>
              <c:strCache>
                <c:ptCount val="6"/>
                <c:pt idx="0">
                  <c:v>WS2812B5050</c:v>
                </c:pt>
                <c:pt idx="1">
                  <c:v>密迪板(4尺*8尺)*10片</c:v>
                </c:pt>
                <c:pt idx="2">
                  <c:v>pcb板</c:v>
                </c:pt>
                <c:pt idx="3">
                  <c:v>電容</c:v>
                </c:pt>
                <c:pt idx="4">
                  <c:v>電路加工費</c:v>
                </c:pt>
                <c:pt idx="5">
                  <c:v>esp32、天線</c:v>
                </c:pt>
              </c:strCache>
            </c:strRef>
          </c:cat>
          <c:val>
            <c:numRef>
              <c:f>'LED間隔1cm '!$E$10:$E$15</c:f>
              <c:numCache>
                <c:formatCode>General</c:formatCode>
                <c:ptCount val="6"/>
                <c:pt idx="0">
                  <c:v>70762</c:v>
                </c:pt>
                <c:pt idx="1">
                  <c:v>1200</c:v>
                </c:pt>
                <c:pt idx="2">
                  <c:v>30000</c:v>
                </c:pt>
                <c:pt idx="3">
                  <c:v>3113.5104000000001</c:v>
                </c:pt>
                <c:pt idx="4">
                  <c:v>1600</c:v>
                </c:pt>
                <c:pt idx="5">
                  <c:v>12060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DA2-4E5D-A130-D20397FF0A5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767291</xdr:colOff>
      <xdr:row>20</xdr:row>
      <xdr:rowOff>9524</xdr:rowOff>
    </xdr:from>
    <xdr:to>
      <xdr:col>17</xdr:col>
      <xdr:colOff>169333</xdr:colOff>
      <xdr:row>45</xdr:row>
      <xdr:rowOff>158749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14D132C-90AB-4D6C-9B01-19303E645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767291</xdr:colOff>
      <xdr:row>20</xdr:row>
      <xdr:rowOff>9524</xdr:rowOff>
    </xdr:from>
    <xdr:to>
      <xdr:col>17</xdr:col>
      <xdr:colOff>169333</xdr:colOff>
      <xdr:row>45</xdr:row>
      <xdr:rowOff>158749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859BED5-0054-4DA3-BE2A-AF750A948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396874</xdr:colOff>
      <xdr:row>20</xdr:row>
      <xdr:rowOff>115357</xdr:rowOff>
    </xdr:from>
    <xdr:to>
      <xdr:col>16</xdr:col>
      <xdr:colOff>687916</xdr:colOff>
      <xdr:row>46</xdr:row>
      <xdr:rowOff>52915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61F1DF0-510E-454D-B47A-1BBE2623E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767291</xdr:colOff>
      <xdr:row>20</xdr:row>
      <xdr:rowOff>9524</xdr:rowOff>
    </xdr:from>
    <xdr:to>
      <xdr:col>17</xdr:col>
      <xdr:colOff>169333</xdr:colOff>
      <xdr:row>45</xdr:row>
      <xdr:rowOff>158749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2B0A58D-1D80-4891-BC46-A8BCF2372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767291</xdr:colOff>
      <xdr:row>20</xdr:row>
      <xdr:rowOff>9524</xdr:rowOff>
    </xdr:from>
    <xdr:to>
      <xdr:col>17</xdr:col>
      <xdr:colOff>169333</xdr:colOff>
      <xdr:row>45</xdr:row>
      <xdr:rowOff>158749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CF6A0C1-2C4D-4736-A106-69E8EB95A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2FC0-6DED-4924-9434-D9B56F9F48C3}">
  <dimension ref="A1:Q22"/>
  <sheetViews>
    <sheetView topLeftCell="A13" zoomScale="126" zoomScaleNormal="90" workbookViewId="0">
      <selection activeCell="G22" sqref="G22"/>
    </sheetView>
  </sheetViews>
  <sheetFormatPr defaultColWidth="12.625" defaultRowHeight="16.5"/>
  <cols>
    <col min="1" max="1" width="21.875" bestFit="1" customWidth="1"/>
    <col min="2" max="2" width="6.625" bestFit="1" customWidth="1"/>
    <col min="3" max="3" width="7.75" bestFit="1" customWidth="1"/>
    <col min="4" max="4" width="9.5" bestFit="1" customWidth="1"/>
    <col min="5" max="5" width="10.5" bestFit="1" customWidth="1"/>
    <col min="6" max="6" width="11.625" bestFit="1" customWidth="1"/>
    <col min="7" max="7" width="17.375" bestFit="1" customWidth="1"/>
    <col min="8" max="8" width="18.5" bestFit="1" customWidth="1"/>
    <col min="9" max="9" width="15.75" bestFit="1" customWidth="1"/>
    <col min="10" max="10" width="17.25" bestFit="1" customWidth="1"/>
    <col min="11" max="11" width="15.25" bestFit="1" customWidth="1"/>
    <col min="12" max="12" width="18.375" customWidth="1"/>
    <col min="13" max="13" width="12.5" bestFit="1" customWidth="1"/>
    <col min="14" max="14" width="11.625" bestFit="1" customWidth="1"/>
    <col min="15" max="16" width="9.5" bestFit="1" customWidth="1"/>
    <col min="17" max="17" width="11.75" bestFit="1" customWidth="1"/>
    <col min="18" max="18" width="9.5" bestFit="1" customWidth="1"/>
    <col min="19" max="19" width="11.625" bestFit="1" customWidth="1"/>
  </cols>
  <sheetData>
    <row r="1" spans="1:17">
      <c r="A1" t="s">
        <v>5</v>
      </c>
      <c r="B1" t="s">
        <v>6</v>
      </c>
      <c r="C1" t="s">
        <v>7</v>
      </c>
      <c r="D1" t="s">
        <v>8</v>
      </c>
      <c r="E1" t="s">
        <v>10</v>
      </c>
      <c r="G1" t="s">
        <v>11</v>
      </c>
      <c r="K1" t="s">
        <v>46</v>
      </c>
      <c r="L1" t="s">
        <v>41</v>
      </c>
      <c r="O1" t="s">
        <v>16</v>
      </c>
      <c r="P1" t="s">
        <v>17</v>
      </c>
      <c r="Q1" t="s">
        <v>18</v>
      </c>
    </row>
    <row r="2" spans="1:17">
      <c r="B2" s="1">
        <v>1200</v>
      </c>
      <c r="C2" s="1">
        <v>900</v>
      </c>
      <c r="D2">
        <v>30</v>
      </c>
      <c r="E2">
        <v>6</v>
      </c>
      <c r="G2">
        <v>60</v>
      </c>
      <c r="K2">
        <v>60</v>
      </c>
      <c r="L2">
        <f>I22/2</f>
        <v>450</v>
      </c>
      <c r="O2">
        <f>B5</f>
        <v>1100</v>
      </c>
      <c r="P2">
        <f>H5+1</f>
        <v>14</v>
      </c>
      <c r="Q2">
        <f>O2*P2</f>
        <v>15400</v>
      </c>
    </row>
    <row r="4" spans="1:17">
      <c r="A4" t="s">
        <v>9</v>
      </c>
      <c r="B4" t="s">
        <v>38</v>
      </c>
      <c r="C4" t="s">
        <v>39</v>
      </c>
      <c r="G4" t="s">
        <v>13</v>
      </c>
      <c r="H4" t="s">
        <v>14</v>
      </c>
      <c r="I4" t="s">
        <v>12</v>
      </c>
      <c r="K4" t="s">
        <v>36</v>
      </c>
      <c r="L4" t="s">
        <v>37</v>
      </c>
      <c r="M4" t="s">
        <v>45</v>
      </c>
    </row>
    <row r="5" spans="1:17">
      <c r="B5">
        <f>ROUNDDOWN(B2-2*D2, -2)</f>
        <v>1100</v>
      </c>
      <c r="C5">
        <f>ROUNDDOWN(C2-2*D2, -2)</f>
        <v>800</v>
      </c>
      <c r="G5">
        <f>ROUNDDOWN(B5/G2, 0)</f>
        <v>18</v>
      </c>
      <c r="H5">
        <f>ROUND(C5/G2, 0)</f>
        <v>13</v>
      </c>
      <c r="I5">
        <f>G5*H5</f>
        <v>234</v>
      </c>
      <c r="K5">
        <f>ROUNDUP((B5-K2)/(K2*2), 0)</f>
        <v>9</v>
      </c>
      <c r="L5">
        <f>ROUNDUP((C5-K2)/(K2*2), 0)</f>
        <v>7</v>
      </c>
      <c r="M5">
        <f>K5*L5</f>
        <v>63</v>
      </c>
    </row>
    <row r="6" spans="1:17">
      <c r="G6" t="s">
        <v>24</v>
      </c>
      <c r="H6" t="s">
        <v>34</v>
      </c>
      <c r="I6" t="s">
        <v>33</v>
      </c>
      <c r="K6" t="s">
        <v>42</v>
      </c>
      <c r="L6" t="s">
        <v>43</v>
      </c>
      <c r="M6" t="s">
        <v>40</v>
      </c>
    </row>
    <row r="7" spans="1:17">
      <c r="G7">
        <f>I5*G2*G2</f>
        <v>842400</v>
      </c>
      <c r="H7">
        <v>0.05</v>
      </c>
      <c r="I7">
        <f>ROUND(I5*H7,0)</f>
        <v>12</v>
      </c>
      <c r="K7">
        <f>ROUNDUP(I18/M5,-1)</f>
        <v>3350</v>
      </c>
      <c r="L7">
        <f>ROUNDUP(K7/L2,0)</f>
        <v>8</v>
      </c>
      <c r="M7">
        <f>ROUNDUP(M5*(1+H7),0)</f>
        <v>67</v>
      </c>
    </row>
    <row r="8" spans="1:17">
      <c r="I8" t="s">
        <v>35</v>
      </c>
    </row>
    <row r="9" spans="1:17">
      <c r="A9" t="s">
        <v>1</v>
      </c>
      <c r="B9" t="s">
        <v>2</v>
      </c>
      <c r="C9" t="s">
        <v>4</v>
      </c>
      <c r="D9" t="s">
        <v>3</v>
      </c>
      <c r="E9" t="s">
        <v>15</v>
      </c>
      <c r="I9">
        <f>I5+I7</f>
        <v>246</v>
      </c>
    </row>
    <row r="10" spans="1:17">
      <c r="A10" t="s">
        <v>0</v>
      </c>
      <c r="B10">
        <v>0.3</v>
      </c>
      <c r="C10">
        <f>G20</f>
        <v>221130</v>
      </c>
      <c r="E10">
        <f>ROUND(B10*C10,0)</f>
        <v>66339</v>
      </c>
    </row>
    <row r="11" spans="1:17">
      <c r="A11" t="s">
        <v>25</v>
      </c>
      <c r="B11">
        <v>300</v>
      </c>
      <c r="C11">
        <f>ROUNDUP(I9/8/10,0)</f>
        <v>4</v>
      </c>
      <c r="E11">
        <f>B11*C11</f>
        <v>1200</v>
      </c>
    </row>
    <row r="12" spans="1:17">
      <c r="A12" t="s">
        <v>26</v>
      </c>
      <c r="B12">
        <v>30000</v>
      </c>
      <c r="C12">
        <v>1</v>
      </c>
      <c r="E12">
        <f>B12*C12</f>
        <v>30000</v>
      </c>
    </row>
    <row r="13" spans="1:17">
      <c r="A13" t="s">
        <v>27</v>
      </c>
      <c r="B13">
        <v>3.5200000000000001E-3</v>
      </c>
      <c r="C13">
        <f>G20</f>
        <v>221130</v>
      </c>
      <c r="E13">
        <f>B13*C13</f>
        <v>778.37760000000003</v>
      </c>
    </row>
    <row r="14" spans="1:17">
      <c r="A14" t="s">
        <v>28</v>
      </c>
      <c r="B14">
        <v>1600</v>
      </c>
      <c r="C14">
        <v>1</v>
      </c>
      <c r="E14">
        <f>C14*B14</f>
        <v>1600</v>
      </c>
      <c r="G14" t="s">
        <v>19</v>
      </c>
      <c r="K14" t="s">
        <v>29</v>
      </c>
      <c r="L14" t="s">
        <v>30</v>
      </c>
    </row>
    <row r="15" spans="1:17">
      <c r="A15" t="s">
        <v>48</v>
      </c>
      <c r="B15">
        <v>180</v>
      </c>
      <c r="C15">
        <f>M7</f>
        <v>67</v>
      </c>
      <c r="E15">
        <f>C15*B15</f>
        <v>12060</v>
      </c>
      <c r="G15">
        <v>2</v>
      </c>
      <c r="K15">
        <v>1</v>
      </c>
      <c r="L15">
        <v>10</v>
      </c>
    </row>
    <row r="17" spans="1:12" ht="30">
      <c r="A17" s="2" t="s">
        <v>49</v>
      </c>
      <c r="D17" t="s">
        <v>47</v>
      </c>
      <c r="E17">
        <f>SUM(E10:E15)</f>
        <v>111977.37760000001</v>
      </c>
      <c r="G17" t="s">
        <v>13</v>
      </c>
      <c r="H17" t="s">
        <v>14</v>
      </c>
      <c r="I17" t="s">
        <v>20</v>
      </c>
      <c r="K17" t="s">
        <v>32</v>
      </c>
      <c r="L17" t="s">
        <v>31</v>
      </c>
    </row>
    <row r="18" spans="1:12">
      <c r="G18">
        <f>G5*G22</f>
        <v>540</v>
      </c>
      <c r="H18">
        <f>H22*H5</f>
        <v>390</v>
      </c>
      <c r="I18">
        <f>G18*H18</f>
        <v>210600</v>
      </c>
      <c r="K18">
        <f>L15*L15/K15</f>
        <v>100</v>
      </c>
      <c r="L18">
        <f>ROUNDUP(G20/K18,-1)</f>
        <v>2220</v>
      </c>
    </row>
    <row r="19" spans="1:12">
      <c r="G19" t="s">
        <v>44</v>
      </c>
    </row>
    <row r="20" spans="1:12">
      <c r="G20">
        <f>ROUNDUP(G18*H18*(H7+1),-1)</f>
        <v>221130</v>
      </c>
    </row>
    <row r="21" spans="1:12">
      <c r="G21" t="s">
        <v>21</v>
      </c>
      <c r="H21" t="s">
        <v>22</v>
      </c>
      <c r="I21" t="s">
        <v>23</v>
      </c>
    </row>
    <row r="22" spans="1:12">
      <c r="G22">
        <f>G2/G15</f>
        <v>30</v>
      </c>
      <c r="H22">
        <f>G2/G15</f>
        <v>30</v>
      </c>
      <c r="I22">
        <f>G22*H22</f>
        <v>900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36F8-9218-476A-8A8F-05D1C8DB1A4D}">
  <dimension ref="A1:Q22"/>
  <sheetViews>
    <sheetView topLeftCell="A4" zoomScale="108" zoomScaleNormal="90" workbookViewId="0">
      <selection activeCell="E25" sqref="E25"/>
    </sheetView>
  </sheetViews>
  <sheetFormatPr defaultColWidth="12.625" defaultRowHeight="16.5"/>
  <cols>
    <col min="1" max="1" width="21.875" bestFit="1" customWidth="1"/>
    <col min="2" max="3" width="6.5" bestFit="1" customWidth="1"/>
    <col min="4" max="4" width="9.5" bestFit="1" customWidth="1"/>
    <col min="5" max="5" width="10.5" bestFit="1" customWidth="1"/>
    <col min="6" max="6" width="11.625" bestFit="1" customWidth="1"/>
    <col min="7" max="7" width="17.25" bestFit="1" customWidth="1"/>
    <col min="8" max="8" width="18.375" bestFit="1" customWidth="1"/>
    <col min="9" max="9" width="15.625" bestFit="1" customWidth="1"/>
    <col min="10" max="10" width="17.25" bestFit="1" customWidth="1"/>
    <col min="11" max="11" width="15.125" bestFit="1" customWidth="1"/>
    <col min="12" max="12" width="18.375" customWidth="1"/>
    <col min="13" max="13" width="12.375" bestFit="1" customWidth="1"/>
    <col min="14" max="14" width="11.625" bestFit="1" customWidth="1"/>
    <col min="15" max="16" width="9.5" bestFit="1" customWidth="1"/>
    <col min="17" max="17" width="11.625" bestFit="1" customWidth="1"/>
    <col min="18" max="18" width="9.5" bestFit="1" customWidth="1"/>
    <col min="19" max="19" width="11.625" bestFit="1" customWidth="1"/>
  </cols>
  <sheetData>
    <row r="1" spans="1:17">
      <c r="A1" t="s">
        <v>5</v>
      </c>
      <c r="B1" t="s">
        <v>6</v>
      </c>
      <c r="C1" t="s">
        <v>7</v>
      </c>
      <c r="D1" t="s">
        <v>8</v>
      </c>
      <c r="E1" t="s">
        <v>10</v>
      </c>
      <c r="G1" t="s">
        <v>11</v>
      </c>
      <c r="K1" t="s">
        <v>46</v>
      </c>
      <c r="L1" t="s">
        <v>41</v>
      </c>
      <c r="O1" t="s">
        <v>16</v>
      </c>
      <c r="P1" t="s">
        <v>17</v>
      </c>
      <c r="Q1" t="s">
        <v>18</v>
      </c>
    </row>
    <row r="2" spans="1:17">
      <c r="B2" s="1">
        <v>1200</v>
      </c>
      <c r="C2" s="1">
        <v>900</v>
      </c>
      <c r="D2">
        <v>30</v>
      </c>
      <c r="E2">
        <v>6</v>
      </c>
      <c r="G2">
        <v>60</v>
      </c>
      <c r="K2">
        <v>60</v>
      </c>
      <c r="L2">
        <f>I22/2</f>
        <v>200</v>
      </c>
      <c r="O2">
        <f>B5</f>
        <v>1100</v>
      </c>
      <c r="P2">
        <f>H5+1</f>
        <v>14</v>
      </c>
      <c r="Q2">
        <f>O2*P2</f>
        <v>15400</v>
      </c>
    </row>
    <row r="4" spans="1:17">
      <c r="A4" t="s">
        <v>9</v>
      </c>
      <c r="B4" t="s">
        <v>38</v>
      </c>
      <c r="C4" t="s">
        <v>39</v>
      </c>
      <c r="G4" t="s">
        <v>13</v>
      </c>
      <c r="H4" t="s">
        <v>14</v>
      </c>
      <c r="I4" t="s">
        <v>12</v>
      </c>
      <c r="K4" t="s">
        <v>36</v>
      </c>
      <c r="L4" t="s">
        <v>37</v>
      </c>
      <c r="M4" t="s">
        <v>45</v>
      </c>
    </row>
    <row r="5" spans="1:17">
      <c r="B5">
        <f>ROUNDDOWN(B2-2*D2, -2)</f>
        <v>1100</v>
      </c>
      <c r="C5">
        <f>ROUNDDOWN(C2-2*D2, -2)</f>
        <v>800</v>
      </c>
      <c r="G5">
        <f>ROUNDDOWN(B5/G2, 0)</f>
        <v>18</v>
      </c>
      <c r="H5">
        <f>ROUND(C5/G2, 0)</f>
        <v>13</v>
      </c>
      <c r="I5">
        <f>G5*H5</f>
        <v>234</v>
      </c>
      <c r="K5">
        <f>ROUNDUP((B5-K2)/(K2*2), 0)</f>
        <v>9</v>
      </c>
      <c r="L5">
        <f>ROUNDUP((C5-K2)/(K2*2), 0)</f>
        <v>7</v>
      </c>
      <c r="M5">
        <f>K5*L5</f>
        <v>63</v>
      </c>
    </row>
    <row r="6" spans="1:17">
      <c r="G6" t="s">
        <v>24</v>
      </c>
      <c r="H6" t="s">
        <v>34</v>
      </c>
      <c r="I6" t="s">
        <v>33</v>
      </c>
      <c r="K6" t="s">
        <v>42</v>
      </c>
      <c r="L6" t="s">
        <v>43</v>
      </c>
      <c r="M6" t="s">
        <v>40</v>
      </c>
    </row>
    <row r="7" spans="1:17">
      <c r="G7">
        <f>I5*G2*G2</f>
        <v>842400</v>
      </c>
      <c r="H7">
        <v>0.05</v>
      </c>
      <c r="I7">
        <f>ROUND(I5*H7,0)</f>
        <v>12</v>
      </c>
      <c r="K7">
        <f>ROUNDUP(I18/M5,-1)</f>
        <v>1490</v>
      </c>
      <c r="L7">
        <f>ROUNDUP(K7/L2,0)</f>
        <v>8</v>
      </c>
      <c r="M7">
        <f>ROUNDUP(M5*(1+H7),0)</f>
        <v>67</v>
      </c>
    </row>
    <row r="8" spans="1:17">
      <c r="I8" t="s">
        <v>35</v>
      </c>
    </row>
    <row r="9" spans="1:17">
      <c r="A9" t="s">
        <v>1</v>
      </c>
      <c r="B9" t="s">
        <v>2</v>
      </c>
      <c r="C9" t="s">
        <v>4</v>
      </c>
      <c r="D9" t="s">
        <v>3</v>
      </c>
      <c r="E9" t="s">
        <v>15</v>
      </c>
      <c r="I9">
        <f>I5+I7</f>
        <v>246</v>
      </c>
    </row>
    <row r="10" spans="1:17">
      <c r="A10" t="s">
        <v>0</v>
      </c>
      <c r="B10">
        <v>0.44600000000000001</v>
      </c>
      <c r="C10">
        <f>G20</f>
        <v>98280</v>
      </c>
      <c r="E10">
        <f>ROUND(B10*C10,0)</f>
        <v>43833</v>
      </c>
    </row>
    <row r="11" spans="1:17">
      <c r="A11" t="s">
        <v>25</v>
      </c>
      <c r="B11">
        <v>300</v>
      </c>
      <c r="C11">
        <f>ROUNDUP(I9/8/10,0)</f>
        <v>4</v>
      </c>
      <c r="E11">
        <f>B11*C11</f>
        <v>1200</v>
      </c>
    </row>
    <row r="12" spans="1:17">
      <c r="A12" t="s">
        <v>26</v>
      </c>
      <c r="B12">
        <v>12300</v>
      </c>
      <c r="C12">
        <v>1</v>
      </c>
      <c r="E12">
        <f>B12*C12</f>
        <v>12300</v>
      </c>
    </row>
    <row r="13" spans="1:17">
      <c r="A13" t="s">
        <v>27</v>
      </c>
      <c r="B13">
        <v>3.5200000000000001E-3</v>
      </c>
      <c r="C13">
        <f>G20</f>
        <v>98280</v>
      </c>
      <c r="E13">
        <f>B13*C13</f>
        <v>345.94560000000001</v>
      </c>
    </row>
    <row r="14" spans="1:17">
      <c r="A14" t="s">
        <v>28</v>
      </c>
      <c r="B14">
        <v>1200</v>
      </c>
      <c r="C14">
        <v>1</v>
      </c>
      <c r="E14">
        <f>C14*B14</f>
        <v>1200</v>
      </c>
      <c r="G14" t="s">
        <v>19</v>
      </c>
      <c r="K14" t="s">
        <v>29</v>
      </c>
      <c r="L14" t="s">
        <v>30</v>
      </c>
    </row>
    <row r="15" spans="1:17">
      <c r="A15" t="s">
        <v>48</v>
      </c>
      <c r="B15">
        <v>180</v>
      </c>
      <c r="C15">
        <f>M7</f>
        <v>67</v>
      </c>
      <c r="E15">
        <f>C15*B15</f>
        <v>12060</v>
      </c>
      <c r="G15">
        <v>3</v>
      </c>
      <c r="K15">
        <v>1</v>
      </c>
      <c r="L15">
        <v>10</v>
      </c>
    </row>
    <row r="17" spans="1:12" ht="30">
      <c r="A17" s="2" t="s">
        <v>49</v>
      </c>
      <c r="D17" t="s">
        <v>47</v>
      </c>
      <c r="E17">
        <f>SUM(E10:E15)</f>
        <v>70938.945600000006</v>
      </c>
      <c r="G17" t="s">
        <v>13</v>
      </c>
      <c r="H17" t="s">
        <v>14</v>
      </c>
      <c r="I17" t="s">
        <v>20</v>
      </c>
      <c r="K17" t="s">
        <v>32</v>
      </c>
      <c r="L17" t="s">
        <v>31</v>
      </c>
    </row>
    <row r="18" spans="1:12">
      <c r="G18">
        <f>G5*G22</f>
        <v>360</v>
      </c>
      <c r="H18">
        <f>H22*H5</f>
        <v>260</v>
      </c>
      <c r="I18">
        <f>G18*H18</f>
        <v>93600</v>
      </c>
      <c r="K18">
        <f>L15*L15/K15</f>
        <v>100</v>
      </c>
      <c r="L18">
        <f>ROUNDUP(G20/K18,-1)</f>
        <v>990</v>
      </c>
    </row>
    <row r="19" spans="1:12">
      <c r="G19" t="s">
        <v>44</v>
      </c>
    </row>
    <row r="20" spans="1:12">
      <c r="G20">
        <f>ROUNDUP(G18*H18*(H7+1),-1)</f>
        <v>98280</v>
      </c>
    </row>
    <row r="21" spans="1:12">
      <c r="G21" t="s">
        <v>21</v>
      </c>
      <c r="H21" t="s">
        <v>22</v>
      </c>
      <c r="I21" t="s">
        <v>23</v>
      </c>
    </row>
    <row r="22" spans="1:12">
      <c r="G22">
        <f>G2/G15</f>
        <v>20</v>
      </c>
      <c r="H22">
        <f>G2/G15</f>
        <v>20</v>
      </c>
      <c r="I22">
        <f>G22*H22</f>
        <v>400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BD14-63B3-477E-9B8D-90A7E5616075}">
  <dimension ref="A1:Q22"/>
  <sheetViews>
    <sheetView zoomScale="99" zoomScaleNormal="90" workbookViewId="0">
      <selection activeCell="F16" sqref="F16"/>
    </sheetView>
  </sheetViews>
  <sheetFormatPr defaultColWidth="12.625" defaultRowHeight="16.5"/>
  <cols>
    <col min="1" max="1" width="21.875" bestFit="1" customWidth="1"/>
    <col min="2" max="3" width="6.5" bestFit="1" customWidth="1"/>
    <col min="4" max="4" width="9.5" bestFit="1" customWidth="1"/>
    <col min="5" max="5" width="10.5" bestFit="1" customWidth="1"/>
    <col min="6" max="6" width="11.625" bestFit="1" customWidth="1"/>
    <col min="7" max="7" width="17.25" bestFit="1" customWidth="1"/>
    <col min="8" max="8" width="18.375" bestFit="1" customWidth="1"/>
    <col min="9" max="9" width="15.625" bestFit="1" customWidth="1"/>
    <col min="10" max="10" width="17.25" bestFit="1" customWidth="1"/>
    <col min="11" max="11" width="15.125" bestFit="1" customWidth="1"/>
    <col min="12" max="12" width="18.375" customWidth="1"/>
    <col min="13" max="13" width="12.375" bestFit="1" customWidth="1"/>
    <col min="14" max="14" width="11.625" bestFit="1" customWidth="1"/>
    <col min="15" max="16" width="9.5" bestFit="1" customWidth="1"/>
    <col min="17" max="17" width="11.625" bestFit="1" customWidth="1"/>
    <col min="18" max="18" width="9.5" bestFit="1" customWidth="1"/>
    <col min="19" max="19" width="11.625" bestFit="1" customWidth="1"/>
  </cols>
  <sheetData>
    <row r="1" spans="1:17">
      <c r="A1" t="s">
        <v>5</v>
      </c>
      <c r="B1" t="s">
        <v>6</v>
      </c>
      <c r="C1" t="s">
        <v>7</v>
      </c>
      <c r="D1" t="s">
        <v>8</v>
      </c>
      <c r="E1" t="s">
        <v>10</v>
      </c>
      <c r="G1" t="s">
        <v>11</v>
      </c>
      <c r="K1" t="s">
        <v>46</v>
      </c>
      <c r="L1" t="s">
        <v>41</v>
      </c>
      <c r="O1" t="s">
        <v>16</v>
      </c>
      <c r="P1" t="s">
        <v>17</v>
      </c>
      <c r="Q1" t="s">
        <v>18</v>
      </c>
    </row>
    <row r="2" spans="1:17">
      <c r="B2" s="1">
        <v>1200</v>
      </c>
      <c r="C2" s="1">
        <v>900</v>
      </c>
      <c r="D2">
        <v>30</v>
      </c>
      <c r="E2">
        <v>6</v>
      </c>
      <c r="G2">
        <v>60</v>
      </c>
      <c r="K2">
        <v>60</v>
      </c>
      <c r="L2">
        <f>I22/2</f>
        <v>72</v>
      </c>
      <c r="O2">
        <f>B5</f>
        <v>1100</v>
      </c>
      <c r="P2">
        <f>H5+1</f>
        <v>14</v>
      </c>
      <c r="Q2">
        <f>O2*P2</f>
        <v>15400</v>
      </c>
    </row>
    <row r="4" spans="1:17">
      <c r="A4" t="s">
        <v>9</v>
      </c>
      <c r="B4" t="s">
        <v>38</v>
      </c>
      <c r="C4" t="s">
        <v>39</v>
      </c>
      <c r="G4" t="s">
        <v>13</v>
      </c>
      <c r="H4" t="s">
        <v>14</v>
      </c>
      <c r="I4" t="s">
        <v>12</v>
      </c>
      <c r="K4" t="s">
        <v>36</v>
      </c>
      <c r="L4" t="s">
        <v>37</v>
      </c>
      <c r="M4" t="s">
        <v>45</v>
      </c>
    </row>
    <row r="5" spans="1:17">
      <c r="B5">
        <f>ROUNDDOWN(B2-2*D2, -2)</f>
        <v>1100</v>
      </c>
      <c r="C5">
        <f>ROUNDDOWN(C2-2*D2, -2)</f>
        <v>800</v>
      </c>
      <c r="G5">
        <f>ROUNDDOWN(B5/G2, 0)</f>
        <v>18</v>
      </c>
      <c r="H5">
        <f>ROUND(C5/G2, 0)</f>
        <v>13</v>
      </c>
      <c r="I5">
        <f>G5*H5</f>
        <v>234</v>
      </c>
      <c r="K5">
        <f>ROUNDUP((B5-K2)/(K2*2), 0)</f>
        <v>9</v>
      </c>
      <c r="L5">
        <f>ROUNDUP((C5-K2)/(K2*2), 0)</f>
        <v>7</v>
      </c>
      <c r="M5">
        <f>K5*L5</f>
        <v>63</v>
      </c>
    </row>
    <row r="6" spans="1:17">
      <c r="G6" t="s">
        <v>24</v>
      </c>
      <c r="H6" t="s">
        <v>34</v>
      </c>
      <c r="I6" t="s">
        <v>33</v>
      </c>
      <c r="K6" t="s">
        <v>42</v>
      </c>
      <c r="L6" t="s">
        <v>43</v>
      </c>
      <c r="M6" t="s">
        <v>40</v>
      </c>
    </row>
    <row r="7" spans="1:17">
      <c r="G7">
        <f>I5*G2*G2</f>
        <v>842400</v>
      </c>
      <c r="H7">
        <v>0.05</v>
      </c>
      <c r="I7">
        <f>ROUND(I5*H7,0)</f>
        <v>12</v>
      </c>
      <c r="K7">
        <f>ROUNDUP(I18/M5,-1)</f>
        <v>540</v>
      </c>
      <c r="L7">
        <f>ROUNDUP(K7/L2,0)</f>
        <v>8</v>
      </c>
      <c r="M7">
        <f>ROUNDUP(M5*(1+H7),0)</f>
        <v>67</v>
      </c>
    </row>
    <row r="8" spans="1:17">
      <c r="I8" t="s">
        <v>35</v>
      </c>
    </row>
    <row r="9" spans="1:17">
      <c r="A9" t="s">
        <v>1</v>
      </c>
      <c r="B9" t="s">
        <v>2</v>
      </c>
      <c r="C9" t="s">
        <v>4</v>
      </c>
      <c r="D9" t="s">
        <v>3</v>
      </c>
      <c r="E9" t="s">
        <v>15</v>
      </c>
      <c r="I9">
        <f>I5+I7</f>
        <v>246</v>
      </c>
    </row>
    <row r="10" spans="1:17">
      <c r="A10" t="s">
        <v>0</v>
      </c>
      <c r="B10">
        <v>0.67</v>
      </c>
      <c r="C10">
        <f>G20</f>
        <v>35390</v>
      </c>
      <c r="E10">
        <f>ROUND(B10*C10,0)</f>
        <v>23711</v>
      </c>
    </row>
    <row r="11" spans="1:17">
      <c r="A11" t="s">
        <v>25</v>
      </c>
      <c r="B11">
        <v>300</v>
      </c>
      <c r="C11">
        <f>ROUNDUP(I9/8/10,0)</f>
        <v>4</v>
      </c>
      <c r="E11">
        <f>B11*C11</f>
        <v>1200</v>
      </c>
    </row>
    <row r="12" spans="1:17">
      <c r="A12" t="s">
        <v>26</v>
      </c>
      <c r="B12">
        <v>5200</v>
      </c>
      <c r="C12">
        <v>1</v>
      </c>
      <c r="E12">
        <f>B12*C12</f>
        <v>5200</v>
      </c>
    </row>
    <row r="13" spans="1:17">
      <c r="A13" t="s">
        <v>27</v>
      </c>
      <c r="B13">
        <v>3.5200000000000001E-3</v>
      </c>
      <c r="C13">
        <f>G20</f>
        <v>35390</v>
      </c>
      <c r="E13">
        <f>B13*C13</f>
        <v>124.5728</v>
      </c>
    </row>
    <row r="14" spans="1:17">
      <c r="A14" t="s">
        <v>28</v>
      </c>
      <c r="B14">
        <v>1100</v>
      </c>
      <c r="C14">
        <v>1</v>
      </c>
      <c r="E14">
        <f>C14*B14</f>
        <v>1100</v>
      </c>
      <c r="G14" t="s">
        <v>19</v>
      </c>
      <c r="K14" t="s">
        <v>29</v>
      </c>
      <c r="L14" t="s">
        <v>30</v>
      </c>
    </row>
    <row r="15" spans="1:17">
      <c r="A15" t="s">
        <v>48</v>
      </c>
      <c r="B15">
        <v>180</v>
      </c>
      <c r="C15">
        <f>M7</f>
        <v>67</v>
      </c>
      <c r="E15">
        <f>C15*B15</f>
        <v>12060</v>
      </c>
      <c r="G15">
        <v>5</v>
      </c>
      <c r="K15">
        <v>1</v>
      </c>
      <c r="L15">
        <v>10</v>
      </c>
    </row>
    <row r="17" spans="1:12" ht="30">
      <c r="A17" s="2" t="s">
        <v>49</v>
      </c>
      <c r="D17" t="s">
        <v>47</v>
      </c>
      <c r="E17">
        <f>SUM(E10:E15)</f>
        <v>43395.572800000002</v>
      </c>
      <c r="G17" t="s">
        <v>13</v>
      </c>
      <c r="H17" t="s">
        <v>14</v>
      </c>
      <c r="I17" t="s">
        <v>20</v>
      </c>
      <c r="K17" t="s">
        <v>32</v>
      </c>
      <c r="L17" t="s">
        <v>31</v>
      </c>
    </row>
    <row r="18" spans="1:12">
      <c r="G18">
        <f>G5*G22</f>
        <v>216</v>
      </c>
      <c r="H18">
        <f>H22*H5</f>
        <v>156</v>
      </c>
      <c r="I18">
        <f>G18*H18</f>
        <v>33696</v>
      </c>
      <c r="K18">
        <f>L15*L15/K15</f>
        <v>100</v>
      </c>
      <c r="L18">
        <f>ROUNDUP(G20/K18,-1)</f>
        <v>360</v>
      </c>
    </row>
    <row r="19" spans="1:12">
      <c r="G19" t="s">
        <v>44</v>
      </c>
    </row>
    <row r="20" spans="1:12">
      <c r="G20">
        <f>ROUNDUP(G18*H18*(H7+1),-1)</f>
        <v>35390</v>
      </c>
    </row>
    <row r="21" spans="1:12">
      <c r="G21" t="s">
        <v>21</v>
      </c>
      <c r="H21" t="s">
        <v>22</v>
      </c>
      <c r="I21" t="s">
        <v>23</v>
      </c>
    </row>
    <row r="22" spans="1:12">
      <c r="G22">
        <f>G2/G15</f>
        <v>12</v>
      </c>
      <c r="H22">
        <f>G2/G15</f>
        <v>12</v>
      </c>
      <c r="I22">
        <f>G22*H22</f>
        <v>144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73DD-DF0A-48B7-A4AE-DCBB4403099C}">
  <dimension ref="A1:U10"/>
  <sheetViews>
    <sheetView tabSelected="1" workbookViewId="0">
      <selection activeCell="J12" sqref="J12"/>
    </sheetView>
  </sheetViews>
  <sheetFormatPr defaultRowHeight="16.5"/>
  <cols>
    <col min="1" max="1" width="15.375" bestFit="1" customWidth="1"/>
    <col min="2" max="2" width="5.5" bestFit="1" customWidth="1"/>
    <col min="3" max="3" width="4.5" bestFit="1" customWidth="1"/>
    <col min="4" max="4" width="6" bestFit="1" customWidth="1"/>
    <col min="5" max="5" width="10" bestFit="1" customWidth="1"/>
    <col min="6" max="7" width="5.5" bestFit="1" customWidth="1"/>
    <col min="8" max="8" width="6" bestFit="1" customWidth="1"/>
    <col min="10" max="10" width="6" bestFit="1" customWidth="1"/>
    <col min="11" max="12" width="5.5" bestFit="1" customWidth="1"/>
    <col min="13" max="14" width="6" bestFit="1" customWidth="1"/>
    <col min="16" max="16" width="20.5" bestFit="1" customWidth="1"/>
    <col min="17" max="17" width="10.625" bestFit="1" customWidth="1"/>
    <col min="19" max="19" width="9.625" bestFit="1" customWidth="1"/>
  </cols>
  <sheetData>
    <row r="1" spans="1:21">
      <c r="A1" t="s">
        <v>5</v>
      </c>
      <c r="B1" t="s">
        <v>6</v>
      </c>
      <c r="C1" t="s">
        <v>7</v>
      </c>
      <c r="E1" t="s">
        <v>51</v>
      </c>
      <c r="F1" t="s">
        <v>6</v>
      </c>
      <c r="G1" t="s">
        <v>7</v>
      </c>
      <c r="H1" t="s">
        <v>2</v>
      </c>
      <c r="J1" t="s">
        <v>50</v>
      </c>
      <c r="K1" t="s">
        <v>6</v>
      </c>
      <c r="L1" t="s">
        <v>7</v>
      </c>
      <c r="M1" t="s">
        <v>4</v>
      </c>
      <c r="N1" t="s">
        <v>2</v>
      </c>
      <c r="P1" t="s">
        <v>55</v>
      </c>
      <c r="Q1" t="s">
        <v>56</v>
      </c>
      <c r="R1" t="s">
        <v>57</v>
      </c>
      <c r="U1" t="s">
        <v>58</v>
      </c>
    </row>
    <row r="2" spans="1:21">
      <c r="B2">
        <v>1200</v>
      </c>
      <c r="C2">
        <v>900</v>
      </c>
      <c r="F2">
        <v>32</v>
      </c>
      <c r="G2">
        <v>16</v>
      </c>
      <c r="H2">
        <v>50</v>
      </c>
      <c r="J2" t="s">
        <v>4</v>
      </c>
      <c r="K2">
        <v>2</v>
      </c>
      <c r="L2">
        <v>4</v>
      </c>
      <c r="M2">
        <f>L2*K2</f>
        <v>8</v>
      </c>
      <c r="N2">
        <f>M2*H2</f>
        <v>400</v>
      </c>
      <c r="P2">
        <v>4</v>
      </c>
      <c r="Q2">
        <f>ROUNDUP(D6/P2,0)</f>
        <v>63</v>
      </c>
      <c r="R2" t="s">
        <v>6</v>
      </c>
      <c r="S2">
        <f>SQRT(P2)*K3</f>
        <v>128</v>
      </c>
    </row>
    <row r="3" spans="1:21">
      <c r="J3" t="s">
        <v>52</v>
      </c>
      <c r="K3">
        <f>K2*F2</f>
        <v>64</v>
      </c>
      <c r="L3">
        <f>L2*G2</f>
        <v>64</v>
      </c>
      <c r="R3" t="s">
        <v>7</v>
      </c>
      <c r="S3">
        <f>SQRT(P2)*L3</f>
        <v>128</v>
      </c>
    </row>
    <row r="5" spans="1:21">
      <c r="A5" t="s">
        <v>53</v>
      </c>
      <c r="B5" t="s">
        <v>6</v>
      </c>
      <c r="C5" t="s">
        <v>7</v>
      </c>
      <c r="D5" t="s">
        <v>54</v>
      </c>
      <c r="E5" t="s">
        <v>15</v>
      </c>
    </row>
    <row r="6" spans="1:21">
      <c r="B6">
        <f>ROUNDDOWN(B2/K3,0)</f>
        <v>18</v>
      </c>
      <c r="C6">
        <f>ROUNDDOWN(C2/L3,0)</f>
        <v>14</v>
      </c>
      <c r="D6">
        <f>B6*C6</f>
        <v>252</v>
      </c>
      <c r="E6">
        <f>D6*N2</f>
        <v>100800</v>
      </c>
      <c r="J6">
        <v>3.65E-3</v>
      </c>
    </row>
    <row r="7" spans="1:21">
      <c r="D7">
        <f>D6*M2</f>
        <v>2016</v>
      </c>
      <c r="J7">
        <f>64*32*J6*4.5</f>
        <v>33.638399999999997</v>
      </c>
    </row>
    <row r="8" spans="1:21">
      <c r="J8">
        <f>33000/2400*4.5</f>
        <v>61.875</v>
      </c>
    </row>
    <row r="10" spans="1:21">
      <c r="J10">
        <v>203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43226-C0A0-4E95-B84F-8AB86B1BD93B}">
  <dimension ref="A1:Q22"/>
  <sheetViews>
    <sheetView zoomScale="90" zoomScaleNormal="90" workbookViewId="0">
      <selection activeCell="B10" sqref="B10"/>
    </sheetView>
  </sheetViews>
  <sheetFormatPr defaultColWidth="12.625" defaultRowHeight="16.5"/>
  <cols>
    <col min="1" max="1" width="21.875" bestFit="1" customWidth="1"/>
    <col min="2" max="2" width="6.5" bestFit="1" customWidth="1"/>
    <col min="3" max="3" width="15.5" customWidth="1"/>
    <col min="4" max="4" width="9.5" bestFit="1" customWidth="1"/>
    <col min="5" max="5" width="10.5" bestFit="1" customWidth="1"/>
    <col min="6" max="6" width="11.625" bestFit="1" customWidth="1"/>
    <col min="7" max="7" width="17.25" bestFit="1" customWidth="1"/>
    <col min="8" max="8" width="18.375" bestFit="1" customWidth="1"/>
    <col min="9" max="9" width="15.625" bestFit="1" customWidth="1"/>
    <col min="10" max="10" width="17.25" bestFit="1" customWidth="1"/>
    <col min="11" max="11" width="15.125" bestFit="1" customWidth="1"/>
    <col min="12" max="12" width="18.375" customWidth="1"/>
    <col min="13" max="13" width="12.375" bestFit="1" customWidth="1"/>
    <col min="14" max="14" width="11.625" bestFit="1" customWidth="1"/>
    <col min="15" max="16" width="9.5" bestFit="1" customWidth="1"/>
    <col min="17" max="17" width="11.625" bestFit="1" customWidth="1"/>
    <col min="18" max="18" width="9.5" bestFit="1" customWidth="1"/>
    <col min="19" max="19" width="11.625" bestFit="1" customWidth="1"/>
  </cols>
  <sheetData>
    <row r="1" spans="1:17">
      <c r="A1" t="s">
        <v>5</v>
      </c>
      <c r="B1" t="s">
        <v>6</v>
      </c>
      <c r="C1" t="s">
        <v>7</v>
      </c>
      <c r="D1" t="s">
        <v>8</v>
      </c>
      <c r="E1" t="s">
        <v>10</v>
      </c>
      <c r="G1" t="s">
        <v>11</v>
      </c>
      <c r="K1" t="s">
        <v>46</v>
      </c>
      <c r="L1" t="s">
        <v>41</v>
      </c>
      <c r="O1" t="s">
        <v>16</v>
      </c>
      <c r="P1" t="s">
        <v>17</v>
      </c>
      <c r="Q1" t="s">
        <v>18</v>
      </c>
    </row>
    <row r="2" spans="1:17">
      <c r="B2" s="1">
        <v>1200</v>
      </c>
      <c r="C2" s="1">
        <v>900</v>
      </c>
      <c r="D2">
        <v>30</v>
      </c>
      <c r="E2">
        <v>6</v>
      </c>
      <c r="G2">
        <v>60</v>
      </c>
      <c r="K2">
        <v>60</v>
      </c>
      <c r="L2">
        <f>I22/2</f>
        <v>7200</v>
      </c>
      <c r="O2">
        <f>B5</f>
        <v>1100</v>
      </c>
      <c r="P2">
        <f>H5+1</f>
        <v>14</v>
      </c>
      <c r="Q2">
        <f>O2*P2</f>
        <v>15400</v>
      </c>
    </row>
    <row r="4" spans="1:17">
      <c r="A4" t="s">
        <v>9</v>
      </c>
      <c r="B4" t="s">
        <v>38</v>
      </c>
      <c r="C4" t="s">
        <v>39</v>
      </c>
      <c r="G4" t="s">
        <v>13</v>
      </c>
      <c r="H4" t="s">
        <v>14</v>
      </c>
      <c r="I4" t="s">
        <v>12</v>
      </c>
      <c r="K4" t="s">
        <v>36</v>
      </c>
      <c r="L4" t="s">
        <v>37</v>
      </c>
      <c r="M4" t="s">
        <v>45</v>
      </c>
    </row>
    <row r="5" spans="1:17">
      <c r="B5">
        <f>ROUNDDOWN(B2-2*D2, -2)</f>
        <v>1100</v>
      </c>
      <c r="C5">
        <f>ROUNDDOWN(C2-2*D2, -2)</f>
        <v>800</v>
      </c>
      <c r="G5">
        <f>ROUNDDOWN(B5/G2, 0)</f>
        <v>18</v>
      </c>
      <c r="H5">
        <f>ROUND(C5/G2, 0)</f>
        <v>13</v>
      </c>
      <c r="I5">
        <f>G5*H5</f>
        <v>234</v>
      </c>
      <c r="K5">
        <f>ROUNDUP((B5-K2)/(K2*2), 0)</f>
        <v>9</v>
      </c>
      <c r="L5">
        <f>ROUNDUP((C5-K2)/(K2*2), 0)</f>
        <v>7</v>
      </c>
      <c r="M5">
        <f>K5*L5</f>
        <v>63</v>
      </c>
    </row>
    <row r="6" spans="1:17">
      <c r="G6" t="s">
        <v>24</v>
      </c>
      <c r="H6" t="s">
        <v>34</v>
      </c>
      <c r="I6" t="s">
        <v>33</v>
      </c>
      <c r="K6" t="s">
        <v>42</v>
      </c>
      <c r="L6" t="s">
        <v>43</v>
      </c>
      <c r="M6" t="s">
        <v>40</v>
      </c>
    </row>
    <row r="7" spans="1:17">
      <c r="G7">
        <f>I5*G2*G2</f>
        <v>842400</v>
      </c>
      <c r="H7">
        <v>0.05</v>
      </c>
      <c r="I7">
        <f>ROUND(I5*H7,0)</f>
        <v>12</v>
      </c>
      <c r="K7">
        <f>ROUNDUP(I18/M5,-1)</f>
        <v>53490</v>
      </c>
      <c r="L7">
        <f>ROUNDUP(K7/L2,0)</f>
        <v>8</v>
      </c>
      <c r="M7">
        <f>ROUNDUP(M5*(1+H7),0)</f>
        <v>67</v>
      </c>
    </row>
    <row r="8" spans="1:17">
      <c r="I8" t="s">
        <v>35</v>
      </c>
    </row>
    <row r="9" spans="1:17">
      <c r="A9" t="s">
        <v>1</v>
      </c>
      <c r="B9" t="s">
        <v>2</v>
      </c>
      <c r="C9" t="s">
        <v>4</v>
      </c>
      <c r="D9" t="s">
        <v>3</v>
      </c>
      <c r="E9" t="s">
        <v>15</v>
      </c>
      <c r="I9">
        <f>I5+I7</f>
        <v>246</v>
      </c>
    </row>
    <row r="10" spans="1:17">
      <c r="A10" t="s">
        <v>0</v>
      </c>
      <c r="B10">
        <v>0.05</v>
      </c>
      <c r="C10">
        <f>G20</f>
        <v>3538080</v>
      </c>
      <c r="E10">
        <f>ROUND(B10*C10,0)</f>
        <v>176904</v>
      </c>
    </row>
    <row r="11" spans="1:17">
      <c r="A11" t="s">
        <v>25</v>
      </c>
      <c r="B11">
        <v>300</v>
      </c>
      <c r="C11">
        <f>ROUNDUP(I9/8/10,0)</f>
        <v>4</v>
      </c>
      <c r="E11">
        <f>B11*C11</f>
        <v>1200</v>
      </c>
    </row>
    <row r="12" spans="1:17">
      <c r="A12" t="s">
        <v>26</v>
      </c>
      <c r="B12">
        <v>30000</v>
      </c>
      <c r="C12">
        <v>1</v>
      </c>
      <c r="E12">
        <f>B12*C12</f>
        <v>30000</v>
      </c>
    </row>
    <row r="13" spans="1:17">
      <c r="A13" t="s">
        <v>27</v>
      </c>
      <c r="B13">
        <v>3.5200000000000001E-3</v>
      </c>
      <c r="C13">
        <f>G20</f>
        <v>3538080</v>
      </c>
      <c r="E13">
        <f>B13*C13</f>
        <v>12454.0416</v>
      </c>
    </row>
    <row r="14" spans="1:17">
      <c r="A14" t="s">
        <v>28</v>
      </c>
      <c r="B14">
        <v>1600</v>
      </c>
      <c r="C14">
        <v>1</v>
      </c>
      <c r="E14">
        <f>C14*B14</f>
        <v>1600</v>
      </c>
      <c r="G14" t="s">
        <v>19</v>
      </c>
      <c r="K14" t="s">
        <v>29</v>
      </c>
      <c r="L14" t="s">
        <v>30</v>
      </c>
    </row>
    <row r="15" spans="1:17">
      <c r="A15" t="s">
        <v>48</v>
      </c>
      <c r="B15">
        <v>180</v>
      </c>
      <c r="C15">
        <f>M7</f>
        <v>67</v>
      </c>
      <c r="E15">
        <f>C15*B15</f>
        <v>12060</v>
      </c>
      <c r="G15">
        <v>0.5</v>
      </c>
      <c r="K15">
        <v>1</v>
      </c>
      <c r="L15">
        <v>10</v>
      </c>
    </row>
    <row r="17" spans="1:12" ht="30">
      <c r="A17" s="2" t="s">
        <v>49</v>
      </c>
      <c r="D17" t="s">
        <v>47</v>
      </c>
      <c r="E17">
        <f>SUM(E10:E15)</f>
        <v>234218.0416</v>
      </c>
      <c r="G17" t="s">
        <v>13</v>
      </c>
      <c r="H17" t="s">
        <v>14</v>
      </c>
      <c r="I17" t="s">
        <v>20</v>
      </c>
      <c r="K17" t="s">
        <v>32</v>
      </c>
      <c r="L17" t="s">
        <v>31</v>
      </c>
    </row>
    <row r="18" spans="1:12">
      <c r="G18">
        <f>G5*G22</f>
        <v>2160</v>
      </c>
      <c r="H18">
        <f>H22*H5</f>
        <v>1560</v>
      </c>
      <c r="I18">
        <f>G18*H18</f>
        <v>3369600</v>
      </c>
      <c r="K18">
        <f>L15*L15/K15</f>
        <v>100</v>
      </c>
      <c r="L18">
        <f>ROUNDUP(G20/K18,-1)</f>
        <v>35390</v>
      </c>
    </row>
    <row r="19" spans="1:12">
      <c r="G19" t="s">
        <v>44</v>
      </c>
    </row>
    <row r="20" spans="1:12">
      <c r="G20">
        <f>ROUNDUP(G18*H18*(H7+1),-1)</f>
        <v>3538080</v>
      </c>
    </row>
    <row r="21" spans="1:12">
      <c r="G21" t="s">
        <v>21</v>
      </c>
      <c r="H21" t="s">
        <v>22</v>
      </c>
      <c r="I21" t="s">
        <v>23</v>
      </c>
    </row>
    <row r="22" spans="1:12">
      <c r="G22">
        <f>G2/G15</f>
        <v>120</v>
      </c>
      <c r="H22">
        <f>G2/G15</f>
        <v>120</v>
      </c>
      <c r="I22">
        <f>G22*H22</f>
        <v>14400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19E5-D101-4B94-AE16-800776264026}">
  <dimension ref="A1:Q22"/>
  <sheetViews>
    <sheetView zoomScale="87" zoomScaleNormal="90" workbookViewId="0">
      <selection activeCell="E23" sqref="E23"/>
    </sheetView>
  </sheetViews>
  <sheetFormatPr defaultColWidth="12.625" defaultRowHeight="16.5"/>
  <cols>
    <col min="1" max="1" width="21.875" bestFit="1" customWidth="1"/>
    <col min="2" max="2" width="6.625" bestFit="1" customWidth="1"/>
    <col min="3" max="3" width="7.625" bestFit="1" customWidth="1"/>
    <col min="4" max="4" width="9.5" bestFit="1" customWidth="1"/>
    <col min="5" max="5" width="10.5" bestFit="1" customWidth="1"/>
    <col min="6" max="6" width="11.625" bestFit="1" customWidth="1"/>
    <col min="7" max="7" width="17.375" bestFit="1" customWidth="1"/>
    <col min="8" max="8" width="18.5" bestFit="1" customWidth="1"/>
    <col min="9" max="9" width="15.75" bestFit="1" customWidth="1"/>
    <col min="10" max="10" width="17.25" bestFit="1" customWidth="1"/>
    <col min="11" max="11" width="15.25" bestFit="1" customWidth="1"/>
    <col min="12" max="12" width="18.375" customWidth="1"/>
    <col min="13" max="13" width="12.5" bestFit="1" customWidth="1"/>
    <col min="14" max="14" width="11.625" bestFit="1" customWidth="1"/>
    <col min="15" max="16" width="9.5" bestFit="1" customWidth="1"/>
    <col min="17" max="17" width="11.75" bestFit="1" customWidth="1"/>
    <col min="18" max="18" width="9.5" bestFit="1" customWidth="1"/>
    <col min="19" max="19" width="11.625" bestFit="1" customWidth="1"/>
  </cols>
  <sheetData>
    <row r="1" spans="1:17">
      <c r="A1" t="s">
        <v>5</v>
      </c>
      <c r="B1" t="s">
        <v>6</v>
      </c>
      <c r="C1" t="s">
        <v>7</v>
      </c>
      <c r="D1" t="s">
        <v>8</v>
      </c>
      <c r="E1" t="s">
        <v>10</v>
      </c>
      <c r="G1" t="s">
        <v>11</v>
      </c>
      <c r="K1" t="s">
        <v>46</v>
      </c>
      <c r="L1" t="s">
        <v>41</v>
      </c>
      <c r="O1" t="s">
        <v>16</v>
      </c>
      <c r="P1" t="s">
        <v>17</v>
      </c>
      <c r="Q1" t="s">
        <v>18</v>
      </c>
    </row>
    <row r="2" spans="1:17">
      <c r="B2" s="1">
        <v>1200</v>
      </c>
      <c r="C2" s="1">
        <v>900</v>
      </c>
      <c r="D2">
        <v>30</v>
      </c>
      <c r="E2">
        <v>6</v>
      </c>
      <c r="G2">
        <v>60</v>
      </c>
      <c r="K2">
        <v>60</v>
      </c>
      <c r="L2">
        <f>I22/2</f>
        <v>1800</v>
      </c>
      <c r="O2">
        <f>B5</f>
        <v>1100</v>
      </c>
      <c r="P2">
        <f>H5+1</f>
        <v>14</v>
      </c>
      <c r="Q2">
        <f>O2*P2</f>
        <v>15400</v>
      </c>
    </row>
    <row r="4" spans="1:17">
      <c r="A4" t="s">
        <v>9</v>
      </c>
      <c r="B4" t="s">
        <v>38</v>
      </c>
      <c r="C4" t="s">
        <v>39</v>
      </c>
      <c r="G4" t="s">
        <v>13</v>
      </c>
      <c r="H4" t="s">
        <v>14</v>
      </c>
      <c r="I4" t="s">
        <v>12</v>
      </c>
      <c r="K4" t="s">
        <v>36</v>
      </c>
      <c r="L4" t="s">
        <v>37</v>
      </c>
      <c r="M4" t="s">
        <v>45</v>
      </c>
    </row>
    <row r="5" spans="1:17">
      <c r="B5">
        <f>ROUNDDOWN(B2-2*D2, -2)</f>
        <v>1100</v>
      </c>
      <c r="C5">
        <f>ROUNDDOWN(C2-2*D2, -2)</f>
        <v>800</v>
      </c>
      <c r="G5">
        <f>ROUNDDOWN(B5/G2, 0)</f>
        <v>18</v>
      </c>
      <c r="H5">
        <f>ROUND(C5/G2, 0)</f>
        <v>13</v>
      </c>
      <c r="I5">
        <f>G5*H5</f>
        <v>234</v>
      </c>
      <c r="K5">
        <f>ROUNDUP((B5-K2)/(K2*2), 0)</f>
        <v>9</v>
      </c>
      <c r="L5">
        <f>ROUNDUP((C5-K2)/(K2*2), 0)</f>
        <v>7</v>
      </c>
      <c r="M5">
        <f>K5*L5</f>
        <v>63</v>
      </c>
    </row>
    <row r="6" spans="1:17">
      <c r="G6" t="s">
        <v>24</v>
      </c>
      <c r="H6" t="s">
        <v>34</v>
      </c>
      <c r="I6" t="s">
        <v>33</v>
      </c>
      <c r="K6" t="s">
        <v>42</v>
      </c>
      <c r="L6" t="s">
        <v>43</v>
      </c>
      <c r="M6" t="s">
        <v>40</v>
      </c>
    </row>
    <row r="7" spans="1:17">
      <c r="G7">
        <f>I5*G2*G2</f>
        <v>842400</v>
      </c>
      <c r="H7">
        <v>0.05</v>
      </c>
      <c r="I7">
        <f>ROUND(I5*H7,0)</f>
        <v>12</v>
      </c>
      <c r="K7">
        <f>ROUNDUP(I18/M5,-1)</f>
        <v>13380</v>
      </c>
      <c r="L7">
        <f>ROUNDUP(K7/L2,0)</f>
        <v>8</v>
      </c>
      <c r="M7">
        <f>ROUNDUP(M5*(1+H7),0)</f>
        <v>67</v>
      </c>
    </row>
    <row r="8" spans="1:17">
      <c r="I8" t="s">
        <v>35</v>
      </c>
    </row>
    <row r="9" spans="1:17">
      <c r="A9" t="s">
        <v>1</v>
      </c>
      <c r="B9" t="s">
        <v>2</v>
      </c>
      <c r="C9" t="s">
        <v>4</v>
      </c>
      <c r="D9" t="s">
        <v>3</v>
      </c>
      <c r="E9" t="s">
        <v>15</v>
      </c>
      <c r="I9">
        <f>I5+I7</f>
        <v>246</v>
      </c>
    </row>
    <row r="10" spans="1:17">
      <c r="A10" t="s">
        <v>0</v>
      </c>
      <c r="B10">
        <v>0.08</v>
      </c>
      <c r="C10">
        <f>G20</f>
        <v>884520</v>
      </c>
      <c r="E10">
        <f>ROUND(B10*C10,0)</f>
        <v>70762</v>
      </c>
    </row>
    <row r="11" spans="1:17">
      <c r="A11" t="s">
        <v>25</v>
      </c>
      <c r="B11">
        <v>300</v>
      </c>
      <c r="C11">
        <f>ROUNDUP(I9/8/10,0)</f>
        <v>4</v>
      </c>
      <c r="E11">
        <f>B11*C11</f>
        <v>1200</v>
      </c>
    </row>
    <row r="12" spans="1:17">
      <c r="A12" t="s">
        <v>26</v>
      </c>
      <c r="B12">
        <v>30000</v>
      </c>
      <c r="C12">
        <v>1</v>
      </c>
      <c r="E12">
        <f>B12*C12</f>
        <v>30000</v>
      </c>
    </row>
    <row r="13" spans="1:17">
      <c r="A13" t="s">
        <v>27</v>
      </c>
      <c r="B13">
        <v>3.5200000000000001E-3</v>
      </c>
      <c r="C13">
        <f>G20</f>
        <v>884520</v>
      </c>
      <c r="E13">
        <f>B13*C13</f>
        <v>3113.5104000000001</v>
      </c>
    </row>
    <row r="14" spans="1:17">
      <c r="A14" t="s">
        <v>28</v>
      </c>
      <c r="B14">
        <v>1600</v>
      </c>
      <c r="C14">
        <v>1</v>
      </c>
      <c r="E14">
        <f>C14*B14</f>
        <v>1600</v>
      </c>
      <c r="G14" t="s">
        <v>19</v>
      </c>
      <c r="K14" t="s">
        <v>29</v>
      </c>
      <c r="L14" t="s">
        <v>30</v>
      </c>
    </row>
    <row r="15" spans="1:17">
      <c r="A15" t="s">
        <v>48</v>
      </c>
      <c r="B15">
        <v>180</v>
      </c>
      <c r="C15">
        <f>M7</f>
        <v>67</v>
      </c>
      <c r="E15">
        <f>C15*B15</f>
        <v>12060</v>
      </c>
      <c r="G15">
        <v>1</v>
      </c>
      <c r="K15">
        <v>1</v>
      </c>
      <c r="L15">
        <v>10</v>
      </c>
    </row>
    <row r="17" spans="1:12" ht="30">
      <c r="A17" s="2" t="s">
        <v>49</v>
      </c>
      <c r="D17" t="s">
        <v>47</v>
      </c>
      <c r="E17">
        <f>SUM(E10:E15)</f>
        <v>118735.5104</v>
      </c>
      <c r="G17" t="s">
        <v>13</v>
      </c>
      <c r="H17" t="s">
        <v>14</v>
      </c>
      <c r="I17" t="s">
        <v>20</v>
      </c>
      <c r="K17" t="s">
        <v>32</v>
      </c>
      <c r="L17" t="s">
        <v>31</v>
      </c>
    </row>
    <row r="18" spans="1:12">
      <c r="G18">
        <f>G5*G22</f>
        <v>1080</v>
      </c>
      <c r="H18">
        <f>H22*H5</f>
        <v>780</v>
      </c>
      <c r="I18">
        <f>G18*H18</f>
        <v>842400</v>
      </c>
      <c r="K18">
        <f>L15*L15/K15</f>
        <v>100</v>
      </c>
      <c r="L18">
        <f>ROUNDUP(G20/K18,-1)</f>
        <v>8850</v>
      </c>
    </row>
    <row r="19" spans="1:12">
      <c r="G19" t="s">
        <v>44</v>
      </c>
    </row>
    <row r="20" spans="1:12">
      <c r="G20">
        <f>ROUNDUP(G18*H18*(H7+1),-1)</f>
        <v>884520</v>
      </c>
    </row>
    <row r="21" spans="1:12">
      <c r="G21" t="s">
        <v>21</v>
      </c>
      <c r="H21" t="s">
        <v>22</v>
      </c>
      <c r="I21" t="s">
        <v>23</v>
      </c>
    </row>
    <row r="22" spans="1:12">
      <c r="G22">
        <f>G2/G15</f>
        <v>60</v>
      </c>
      <c r="H22">
        <f>G2/G15</f>
        <v>60</v>
      </c>
      <c r="I22">
        <f>G22*H22</f>
        <v>3600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LED間隔2cm</vt:lpstr>
      <vt:lpstr>LED間隔3cm</vt:lpstr>
      <vt:lpstr>LED間隔5cm</vt:lpstr>
      <vt:lpstr>P4</vt:lpstr>
      <vt:lpstr>LED間隔0.5cm</vt:lpstr>
      <vt:lpstr>LED間隔1cm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Cheng</dc:creator>
  <cp:lastModifiedBy>Andy Cheng</cp:lastModifiedBy>
  <dcterms:created xsi:type="dcterms:W3CDTF">2022-09-22T05:09:21Z</dcterms:created>
  <dcterms:modified xsi:type="dcterms:W3CDTF">2022-10-07T03:07:08Z</dcterms:modified>
</cp:coreProperties>
</file>