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D:\Definitivo Proyecto Adso\3 Trimestre\Formatos\"/>
    </mc:Choice>
  </mc:AlternateContent>
  <xr:revisionPtr revIDLastSave="0" documentId="8_{CA03FE68-9FEC-4AE5-A9C3-224E6ED10C90}" xr6:coauthVersionLast="47" xr6:coauthVersionMax="47" xr10:uidLastSave="{00000000-0000-0000-0000-000000000000}"/>
  <bookViews>
    <workbookView xWindow="-108" yWindow="-108" windowWidth="23256" windowHeight="12456" tabRatio="766" xr2:uid="{00000000-000D-0000-FFFF-FFFF00000000}"/>
  </bookViews>
  <sheets>
    <sheet name="Costos Software" sheetId="1" r:id="rId1"/>
    <sheet name="Materiales y Consumibles" sheetId="4" r:id="rId2"/>
    <sheet name="Cosolidado" sheetId="5" r:id="rId3"/>
    <sheet name="Evaluacion de Proveedores " sheetId="6" r:id="rId4"/>
    <sheet name="Evaluación Financiera" sheetId="7" r:id="rId5"/>
    <sheet name="DATOS" sheetId="2" r:id="rId6"/>
  </sheets>
  <externalReferences>
    <externalReference r:id="rId7"/>
    <externalReference r:id="rId8"/>
  </externalReferences>
  <definedNames>
    <definedName name="_xlnm.Print_Area" localSheetId="0">'Costos Software'!$B$1:$L$45</definedName>
    <definedName name="_xlnm.Print_Area" localSheetId="5">DATOS!$B$1:$K$27</definedName>
    <definedName name="Type">'[1]Maintenance Work Order'!#REF!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5" l="1"/>
  <c r="AG4" i="7"/>
  <c r="AD5" i="7"/>
  <c r="AE5" i="7"/>
  <c r="J6" i="7"/>
  <c r="K6" i="7"/>
  <c r="L6" i="7"/>
  <c r="J7" i="7"/>
  <c r="K7" i="7"/>
  <c r="L7" i="7"/>
  <c r="J8" i="7"/>
  <c r="K8" i="7"/>
  <c r="L8" i="7"/>
  <c r="D9" i="7"/>
  <c r="AD4" i="7" s="1"/>
  <c r="E9" i="7"/>
  <c r="AH5" i="7" s="1"/>
  <c r="F9" i="7"/>
  <c r="AF5" i="7" s="1"/>
  <c r="G9" i="7"/>
  <c r="AG5" i="7" s="1"/>
  <c r="H9" i="7"/>
  <c r="AH4" i="7" s="1"/>
  <c r="I9" i="7"/>
  <c r="AI4" i="7" s="1"/>
  <c r="N6" i="6"/>
  <c r="N7" i="6" s="1"/>
  <c r="D7" i="6"/>
  <c r="F7" i="6"/>
  <c r="H7" i="6"/>
  <c r="J7" i="6"/>
  <c r="L7" i="6"/>
  <c r="P7" i="6"/>
  <c r="D8" i="6"/>
  <c r="F8" i="6"/>
  <c r="H8" i="6"/>
  <c r="J8" i="6"/>
  <c r="L8" i="6"/>
  <c r="P8" i="6"/>
  <c r="D9" i="6"/>
  <c r="F9" i="6"/>
  <c r="H9" i="6"/>
  <c r="J9" i="6"/>
  <c r="L9" i="6"/>
  <c r="P9" i="6"/>
  <c r="D10" i="6"/>
  <c r="F10" i="6"/>
  <c r="H10" i="6"/>
  <c r="J10" i="6"/>
  <c r="L10" i="6"/>
  <c r="P10" i="6"/>
  <c r="D15" i="6"/>
  <c r="F15" i="6"/>
  <c r="H15" i="6"/>
  <c r="J15" i="6"/>
  <c r="L15" i="6"/>
  <c r="N15" i="6"/>
  <c r="P15" i="6"/>
  <c r="D16" i="6"/>
  <c r="Q16" i="6" s="1"/>
  <c r="F16" i="6"/>
  <c r="H16" i="6"/>
  <c r="J16" i="6"/>
  <c r="L16" i="6"/>
  <c r="N16" i="6"/>
  <c r="P16" i="6"/>
  <c r="D17" i="6"/>
  <c r="Q17" i="6" s="1"/>
  <c r="F17" i="6"/>
  <c r="H17" i="6"/>
  <c r="J17" i="6"/>
  <c r="L17" i="6"/>
  <c r="N17" i="6"/>
  <c r="P17" i="6"/>
  <c r="D18" i="6"/>
  <c r="Q18" i="6" s="1"/>
  <c r="F18" i="6"/>
  <c r="H18" i="6"/>
  <c r="J18" i="6"/>
  <c r="L18" i="6"/>
  <c r="N18" i="6"/>
  <c r="P18" i="6"/>
  <c r="D19" i="6"/>
  <c r="Q19" i="6" s="1"/>
  <c r="F19" i="6"/>
  <c r="H19" i="6"/>
  <c r="J19" i="6"/>
  <c r="L19" i="6"/>
  <c r="N19" i="6"/>
  <c r="P19" i="6"/>
  <c r="D24" i="6"/>
  <c r="F24" i="6"/>
  <c r="H24" i="6"/>
  <c r="J24" i="6"/>
  <c r="L24" i="6"/>
  <c r="N24" i="6"/>
  <c r="P24" i="6"/>
  <c r="D25" i="6"/>
  <c r="F25" i="6"/>
  <c r="Q25" i="6" s="1"/>
  <c r="H25" i="6"/>
  <c r="J25" i="6"/>
  <c r="L25" i="6"/>
  <c r="N25" i="6"/>
  <c r="P25" i="6"/>
  <c r="D26" i="6"/>
  <c r="F26" i="6"/>
  <c r="Q26" i="6" s="1"/>
  <c r="H26" i="6"/>
  <c r="J26" i="6"/>
  <c r="L26" i="6"/>
  <c r="N26" i="6"/>
  <c r="P26" i="6"/>
  <c r="D27" i="6"/>
  <c r="F27" i="6"/>
  <c r="Q27" i="6" s="1"/>
  <c r="H27" i="6"/>
  <c r="J27" i="6"/>
  <c r="L27" i="6"/>
  <c r="N27" i="6"/>
  <c r="P27" i="6"/>
  <c r="D28" i="6"/>
  <c r="F28" i="6"/>
  <c r="Q28" i="6" s="1"/>
  <c r="H28" i="6"/>
  <c r="J28" i="6"/>
  <c r="L28" i="6"/>
  <c r="N28" i="6"/>
  <c r="P28" i="6"/>
  <c r="AE4" i="7" l="1"/>
  <c r="AI5" i="7"/>
  <c r="AF4" i="7"/>
  <c r="Q7" i="6"/>
  <c r="Q8" i="6"/>
  <c r="N10" i="6"/>
  <c r="Q10" i="6" s="1"/>
  <c r="N9" i="6"/>
  <c r="Q9" i="6" s="1"/>
  <c r="N8" i="6"/>
  <c r="D35" i="1" l="1"/>
  <c r="C35" i="1"/>
  <c r="F5" i="4"/>
  <c r="F6" i="4"/>
  <c r="F7" i="4"/>
  <c r="F8" i="4"/>
  <c r="F9" i="4"/>
  <c r="F10" i="4"/>
  <c r="F11" i="4"/>
  <c r="F12" i="4"/>
  <c r="F4" i="4"/>
  <c r="E21" i="1"/>
  <c r="E18" i="1" l="1"/>
  <c r="E20" i="1"/>
  <c r="F13" i="4"/>
  <c r="D5" i="5" s="1"/>
  <c r="E13" i="4"/>
  <c r="D4" i="5" s="1"/>
  <c r="D13" i="4"/>
  <c r="H42" i="1" l="1"/>
  <c r="H41" i="1"/>
  <c r="H40" i="1"/>
  <c r="H39" i="1"/>
  <c r="H38" i="1"/>
  <c r="H37" i="1"/>
  <c r="F35" i="1"/>
  <c r="E35" i="1"/>
  <c r="G32" i="1"/>
  <c r="G31" i="1"/>
  <c r="G25" i="1"/>
  <c r="C25" i="1"/>
  <c r="G24" i="1"/>
  <c r="C24" i="1"/>
  <c r="G23" i="1"/>
  <c r="C23" i="1"/>
  <c r="C22" i="1"/>
  <c r="E16" i="1"/>
  <c r="I37" i="1" s="1"/>
  <c r="C8" i="1"/>
  <c r="G18" i="1" l="1"/>
  <c r="G19" i="1"/>
  <c r="G21" i="1"/>
  <c r="G17" i="1"/>
  <c r="G16" i="1"/>
  <c r="H16" i="1" s="1"/>
  <c r="K16" i="1"/>
  <c r="E17" i="1"/>
  <c r="I38" i="1" s="1"/>
  <c r="G20" i="1"/>
  <c r="L16" i="1" l="1"/>
  <c r="F16" i="1" s="1"/>
  <c r="H17" i="1"/>
  <c r="E19" i="1"/>
  <c r="H19" i="1" s="1"/>
  <c r="K17" i="1"/>
  <c r="L17" i="1" s="1"/>
  <c r="F17" i="1" s="1"/>
  <c r="I16" i="1" l="1"/>
  <c r="I17" i="1" s="1"/>
  <c r="I40" i="1"/>
  <c r="K18" i="1"/>
  <c r="L18" i="1" s="1"/>
  <c r="F18" i="1" s="1"/>
  <c r="H20" i="1"/>
  <c r="H18" i="1"/>
  <c r="I39" i="1"/>
  <c r="K19" i="1"/>
  <c r="L19" i="1" s="1"/>
  <c r="F19" i="1" s="1"/>
  <c r="I18" i="1" l="1"/>
  <c r="I19" i="1" s="1"/>
  <c r="H21" i="1"/>
  <c r="H22" i="1" s="1"/>
  <c r="K20" i="1"/>
  <c r="L20" i="1" s="1"/>
  <c r="F20" i="1" s="1"/>
  <c r="I41" i="1"/>
  <c r="E23" i="1"/>
  <c r="I20" i="1" l="1"/>
  <c r="I42" i="1"/>
  <c r="I43" i="1" s="1"/>
  <c r="E22" i="1"/>
  <c r="K21" i="1"/>
  <c r="L21" i="1" s="1"/>
  <c r="H23" i="1"/>
  <c r="K23" i="1"/>
  <c r="E24" i="1"/>
  <c r="F21" i="1" l="1"/>
  <c r="F22" i="1" s="1"/>
  <c r="F23" i="1" s="1"/>
  <c r="L23" i="1" s="1"/>
  <c r="K22" i="1"/>
  <c r="L22" i="1"/>
  <c r="E25" i="1"/>
  <c r="I44" i="1" s="1"/>
  <c r="I45" i="1" s="1"/>
  <c r="K24" i="1"/>
  <c r="H24" i="1"/>
  <c r="I21" i="1" l="1"/>
  <c r="F24" i="1"/>
  <c r="L24" i="1" s="1"/>
  <c r="C12" i="1"/>
  <c r="E26" i="1"/>
  <c r="E27" i="1" s="1"/>
  <c r="K25" i="1"/>
  <c r="H25" i="1"/>
  <c r="H26" i="1" s="1"/>
  <c r="F25" i="1" l="1"/>
  <c r="L25" i="1" s="1"/>
  <c r="H27" i="1"/>
  <c r="H29" i="1" s="1"/>
  <c r="H30" i="1" s="1"/>
  <c r="H32" i="1" l="1"/>
  <c r="D3" i="5" s="1"/>
  <c r="D8" i="5" s="1"/>
  <c r="H31" i="1"/>
</calcChain>
</file>

<file path=xl/sharedStrings.xml><?xml version="1.0" encoding="utf-8"?>
<sst xmlns="http://schemas.openxmlformats.org/spreadsheetml/2006/main" count="204" uniqueCount="141">
  <si>
    <t>PLANTILLA DE ESTIMACIÓN DE DESARROLLO DE SOFTWARE</t>
  </si>
  <si>
    <t xml:space="preserve">Ingrese información en celdas blancas, solamente; las celdas sombreadas se rellenan automáticamente.  Escriba Tarifas, Roles y más en la pestaña DATOS. </t>
  </si>
  <si>
    <t>INTRODUZCA LAS VARIABLES DE ESTIMACIÓN, A CONTINUACIÓN</t>
  </si>
  <si>
    <t>FASE</t>
  </si>
  <si>
    <t>HORAS ESTIMADAS</t>
  </si>
  <si>
    <t>REAL 
HORAS</t>
  </si>
  <si>
    <t>ESFUERZO DE GESTIÓN DE PROYECTOS %</t>
  </si>
  <si>
    <t>Requisitos del negocio</t>
  </si>
  <si>
    <t>ESFUERZO DE LA OFICINA DE GESTIÓN DE PROYECTOS %</t>
  </si>
  <si>
    <t>Especificaciones funcionales</t>
  </si>
  <si>
    <t>ESFUERZO DE LA OFICINA DE CONTROL DEL PROYECTO %</t>
  </si>
  <si>
    <t>Diseño detallado</t>
  </si>
  <si>
    <t>EL TOTAL DEBE SER 100% -------------------&gt;</t>
  </si>
  <si>
    <t>Código y prueba unitaria</t>
  </si>
  <si>
    <t>DURACIÓN DE LA JORNADA LABORAL EN HORAS</t>
  </si>
  <si>
    <t>Pruebas del sistema</t>
  </si>
  <si>
    <t>FECHA ESTIMADA DE INICIO</t>
  </si>
  <si>
    <t>Pruebas de aceptación del usuario</t>
  </si>
  <si>
    <t>FECHA DE FINALIZACIÓN ESTIMADA CALCULADA</t>
  </si>
  <si>
    <t>Gerente de Proyectos</t>
  </si>
  <si>
    <t>DURACIÓN ESTIMADA DEL PROYECTO EN SEMANAS</t>
  </si>
  <si>
    <t>Oficina de Control de Proyectos</t>
  </si>
  <si>
    <t>Oficina de Gestión de Proyectos</t>
  </si>
  <si>
    <t>FASE ACTIVIDAD</t>
  </si>
  <si>
    <t>ESFUERZO DE TRABAJO ESTÁNDAR %</t>
  </si>
  <si>
    <t>TAMAÑO DEL EQUIPO DE FASE</t>
  </si>
  <si>
    <t>HORAS DE ESFUERZO DE TRABAJO COMPUTADO</t>
  </si>
  <si>
    <t>DURACIÓN CALCULADA DE LA TAREA EN SEMANAS</t>
  </si>
  <si>
    <t>COSTO PROMEDIO CALCULADO DE LOS RECURSOS POR HORA</t>
  </si>
  <si>
    <t>COSTO ESTIMADO</t>
  </si>
  <si>
    <t>FECHA DE FINALIZACIÓN DE LA TAREA CALCULADA</t>
  </si>
  <si>
    <t>ESFUERZO DE TRABAJO COMPUTADO EN DÍAS</t>
  </si>
  <si>
    <t>DURACIÓN CALCULADA DE LA TAREA EN DÍAS</t>
  </si>
  <si>
    <t>GESTIÓN DE PROYECTOS</t>
  </si>
  <si>
    <t>ESTIMACIÓN DE HORAS DE PROYECTO DE REFERENCIA</t>
  </si>
  <si>
    <t>INGRESE CONTINGENCIA DE RIESGO</t>
  </si>
  <si>
    <t>ESTIMACIÓN DE COSTOS DEL PROYECTO DE REFERENCIA</t>
  </si>
  <si>
    <t>ESTIMACIÓN MÍNIMA DEL PROYECTO</t>
  </si>
  <si>
    <t>ESTIMACIÓN MÁXIMA DEL PROYECTO</t>
  </si>
  <si>
    <t>LÍDER TÉCNICO</t>
  </si>
  <si>
    <t>ANALISTA</t>
  </si>
  <si>
    <t>DESARROLLADOR PRINCIPAL</t>
  </si>
  <si>
    <t>DESARROLLADOR</t>
  </si>
  <si>
    <t>RECURSOS PARA CLIENTES EMPRESARIALES</t>
  </si>
  <si>
    <t>FALTA EL RECUENTO</t>
  </si>
  <si>
    <t>COSTOS POR HORA DEL PROYECTO</t>
  </si>
  <si>
    <t>TARIFA POR HORA</t>
  </si>
  <si>
    <t>ASIGNACIÓN DE RECUENTO DE RECURSOS</t>
  </si>
  <si>
    <t>REQUISITOS DEL NEGOCIO</t>
  </si>
  <si>
    <t>ESPECIFICACIONES FUNCIONALES</t>
  </si>
  <si>
    <t>ESPECIFICACIONES TÉCNICAS</t>
  </si>
  <si>
    <t>CÓDIGO Y PRUEBA UNITARIA</t>
  </si>
  <si>
    <t>PRUEBAS DEL SISTEMA</t>
  </si>
  <si>
    <t>PRUEBAS DE ACEPTACIÓN DEL USUARIO</t>
  </si>
  <si>
    <t>HORAS DE RECURSOS</t>
  </si>
  <si>
    <t>HORAS DE GESTIÓN DE PROYECTOS</t>
  </si>
  <si>
    <t>TOTAL DE HORAS DE PROYECTO</t>
  </si>
  <si>
    <t>DATOS DE ESTIMACIÓN DE DESARROLLO DE SOFTWARE</t>
  </si>
  <si>
    <t>ROL DEL PROYECTO</t>
  </si>
  <si>
    <t>CÓDIGO DE ESTIMACIÓN</t>
  </si>
  <si>
    <t>MIN</t>
  </si>
  <si>
    <t>MÁXIMO</t>
  </si>
  <si>
    <t>Líder Técnico</t>
  </si>
  <si>
    <t>Analista</t>
  </si>
  <si>
    <t>Desarrollador Principal</t>
  </si>
  <si>
    <t>Desarrollador</t>
  </si>
  <si>
    <t>MATERIALES</t>
  </si>
  <si>
    <t>DESCRIPCIÓN</t>
  </si>
  <si>
    <t>MATERIALES $</t>
  </si>
  <si>
    <t xml:space="preserve">TOTAL   </t>
  </si>
  <si>
    <t>ESTIMACIÓN POR HORAS Y RRHH</t>
  </si>
  <si>
    <t>CONSUMIBLES</t>
  </si>
  <si>
    <t>CONSUMIBLES $</t>
  </si>
  <si>
    <t>Diseño de interfaz de usuario</t>
  </si>
  <si>
    <t>Desarrollo del módulo de inicio de sesión</t>
  </si>
  <si>
    <t>Pruebas de integración</t>
  </si>
  <si>
    <t>Desarrollo del módulo de notificaciones</t>
  </si>
  <si>
    <t>Desarrollo del módulo de base de datos</t>
  </si>
  <si>
    <t>Pruebas de rendimiento</t>
  </si>
  <si>
    <t>Diseño de iconos</t>
  </si>
  <si>
    <t>Desarrollo del módulo de búsqueda</t>
  </si>
  <si>
    <t>Pruebas de usabilidad</t>
  </si>
  <si>
    <t>Totales</t>
  </si>
  <si>
    <t>001A</t>
  </si>
  <si>
    <t>002B</t>
  </si>
  <si>
    <t>003C</t>
  </si>
  <si>
    <t>004D</t>
  </si>
  <si>
    <t>005E</t>
  </si>
  <si>
    <t>006F</t>
  </si>
  <si>
    <t>007G</t>
  </si>
  <si>
    <t>AM SOLUTIONS, TU BODEGA, ANDRES MUÑOZ</t>
  </si>
  <si>
    <t>Encargado de Gestión de Proyectos</t>
  </si>
  <si>
    <t>Encargado de Control de Proyectos</t>
  </si>
  <si>
    <t>No Confiable - Proveedor NO confiable. Restringido.</t>
  </si>
  <si>
    <t>0,0 - 2,9</t>
  </si>
  <si>
    <t>Regular - Proveedor poco confiable. Condicionado y/o Sancionado</t>
  </si>
  <si>
    <t>3,0-3,8</t>
  </si>
  <si>
    <t>Bueno - Proveedor confiable.</t>
  </si>
  <si>
    <t>3,9 - 4,4</t>
  </si>
  <si>
    <t>Excelente - Proveedor confiable y recomendado.</t>
  </si>
  <si>
    <t>4,5 - 5,0</t>
  </si>
  <si>
    <t>RESULTADO</t>
  </si>
  <si>
    <t>PUNTAJE</t>
  </si>
  <si>
    <t>Criterios de Calificación Definida</t>
  </si>
  <si>
    <t>godaddy.com</t>
  </si>
  <si>
    <t>IONOS</t>
  </si>
  <si>
    <t>bluehosting</t>
  </si>
  <si>
    <t>Dongee</t>
  </si>
  <si>
    <t>Calificación</t>
  </si>
  <si>
    <t>CALIFICACION TOTAL</t>
  </si>
  <si>
    <t>SOPORTE TÉCNICO</t>
  </si>
  <si>
    <t>CAPACIDAD INSTALADA</t>
  </si>
  <si>
    <t>PRECIO</t>
  </si>
  <si>
    <t>SERVICIO POSTVENTA</t>
  </si>
  <si>
    <t>DOCUMENTACIÓN Y
GARANTÍAS</t>
  </si>
  <si>
    <t>CALIDAD Y CUMPLIMIENTO DE ESPECIFICACIONES TÉCNICA</t>
  </si>
  <si>
    <t>CUMPLIMIENTO Y ENTREGA</t>
  </si>
  <si>
    <t>PROVEEDOR</t>
  </si>
  <si>
    <t>Proveedor de servicios de seguridad web</t>
  </si>
  <si>
    <t xml:space="preserve">BIEN O SERVICIO: </t>
  </si>
  <si>
    <t>infranetworking</t>
  </si>
  <si>
    <t xml:space="preserve">HOSTINGER </t>
  </si>
  <si>
    <t>Proveedor de dominio</t>
  </si>
  <si>
    <t xml:space="preserve"> Dongee</t>
  </si>
  <si>
    <t>Proveedor de hosting</t>
  </si>
  <si>
    <t>EVALUACIÓN DE PROVEEDORES</t>
  </si>
  <si>
    <t>Total</t>
  </si>
  <si>
    <t>PRECIO MÁS ALTO</t>
  </si>
  <si>
    <t>PRECIO PROMEDIO</t>
  </si>
  <si>
    <t>PRECIO MÁS BAJO</t>
  </si>
  <si>
    <t>PROVEEDOR 6</t>
  </si>
  <si>
    <t>PROVEEDOR 5</t>
  </si>
  <si>
    <t>PROVEEDOR 4</t>
  </si>
  <si>
    <t>PROVEEDOR 3</t>
  </si>
  <si>
    <t>PROVEEDOR 2</t>
  </si>
  <si>
    <t>PROVEEDOR 1</t>
  </si>
  <si>
    <t>CANTIDAD</t>
  </si>
  <si>
    <t>PRODUCTO / SERVICIOS</t>
  </si>
  <si>
    <t>ESTADÍSTICAS POR PRODUCTO</t>
  </si>
  <si>
    <t>Comparación de Precios entre diferentes proveedores</t>
  </si>
  <si>
    <t>SERVICIOS EXTERNOS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</si>
</sst>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\ #,##0.00;[Red]\-&quot;$&quot;\ #,##0.00"/>
    <numFmt numFmtId="165" formatCode="_-&quot;$&quot;\ * #,##0_-;\-&quot;$&quot;\ * #,##0_-;_-&quot;$&quot;\ * &quot;-&quot;_-;_-@_-"/>
    <numFmt numFmtId="166" formatCode="_-* #,##0_-;\-* #,##0_-;_-* &quot;-&quot;??_-;_-@_-"/>
    <numFmt numFmtId="167" formatCode="_-* #,##0.0_-;\-* #,##0.0_-;_-* &quot;-&quot;??_-;_-@_-"/>
    <numFmt numFmtId="168" formatCode="_-&quot;$&quot;* #,##0_-;\-&quot;$&quot;* #,##0_-;_-&quot;$&quot;* &quot;-&quot;??_-;_-@_-"/>
    <numFmt numFmtId="169" formatCode="_(&quot;$&quot;* #,##0.00_);_(&quot;$&quot;* \(#,##0.00\);_(&quot;$&quot;* &quot;-&quot;??_);_(@_)"/>
    <numFmt numFmtId="170" formatCode="_(&quot;$&quot;* #,##0_);_(&quot;$&quot;* \(#,##0\);_(&quot;$&quot;* &quot;-&quot;??_);_(@_)"/>
    <numFmt numFmtId="171" formatCode="mm/dd/yyyy"/>
    <numFmt numFmtId="172" formatCode="0.0"/>
    <numFmt numFmtId="173" formatCode="#,##0.0_);\(#,##0.0\)"/>
    <numFmt numFmtId="174" formatCode="_(* #,##0_);_(* \(#,##0\);_(* &quot;-&quot;??_);_(@_)"/>
    <numFmt numFmtId="175" formatCode="&quot;$&quot;\ #,##0.00"/>
  </numFmts>
  <fonts count="4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4"/>
      <name val="Century Gothic"/>
      <family val="1"/>
    </font>
    <font>
      <sz val="11"/>
      <color theme="1"/>
      <name val="Century Gothic"/>
      <family val="1"/>
    </font>
    <font>
      <sz val="11"/>
      <color theme="1"/>
      <name val="Calibri"/>
      <family val="2"/>
    </font>
    <font>
      <sz val="12"/>
      <color theme="1"/>
      <name val="Century Gothic"/>
      <family val="1"/>
    </font>
    <font>
      <b/>
      <sz val="20"/>
      <color theme="0" tint="-0.34998626667073579"/>
      <name val="Century Gothic"/>
      <family val="1"/>
    </font>
    <font>
      <sz val="9"/>
      <color theme="1"/>
      <name val="Century Gothic"/>
      <family val="1"/>
    </font>
    <font>
      <sz val="11"/>
      <color theme="1"/>
      <name val="Calibri"/>
      <family val="2"/>
      <scheme val="minor"/>
    </font>
    <font>
      <b/>
      <sz val="9"/>
      <color theme="0"/>
      <name val="Century Gothic"/>
      <family val="1"/>
    </font>
    <font>
      <b/>
      <sz val="9"/>
      <color theme="1"/>
      <name val="Century Gothic"/>
      <family val="1"/>
    </font>
    <font>
      <sz val="10"/>
      <name val="Arial"/>
      <family val="2"/>
    </font>
    <font>
      <sz val="10"/>
      <name val="Century Gothic"/>
      <family val="1"/>
    </font>
    <font>
      <b/>
      <sz val="10"/>
      <color theme="0"/>
      <name val="Century Gothic"/>
      <family val="1"/>
    </font>
    <font>
      <sz val="11"/>
      <color theme="3" tint="-0.499984740745262"/>
      <name val="Century Gothic"/>
      <family val="1"/>
    </font>
    <font>
      <sz val="10"/>
      <color theme="1" tint="0.249977111117893"/>
      <name val="Century Gothic"/>
      <family val="1"/>
    </font>
    <font>
      <b/>
      <sz val="12"/>
      <color theme="1" tint="0.249977111117893"/>
      <name val="Century Gothic"/>
      <family val="1"/>
    </font>
    <font>
      <b/>
      <sz val="12"/>
      <color theme="6" tint="-0.249977111117893"/>
      <name val="Century Gothic"/>
      <family val="1"/>
    </font>
    <font>
      <sz val="9"/>
      <name val="Century Gothic"/>
      <family val="1"/>
    </font>
    <font>
      <b/>
      <sz val="9"/>
      <name val="Century Gothic"/>
      <family val="1"/>
    </font>
    <font>
      <b/>
      <u/>
      <sz val="9"/>
      <name val="Century Gothic"/>
      <family val="1"/>
    </font>
    <font>
      <b/>
      <u/>
      <sz val="9"/>
      <color theme="0"/>
      <name val="Century Gothic"/>
      <family val="1"/>
    </font>
    <font>
      <sz val="9"/>
      <color theme="0"/>
      <name val="Century Gothic"/>
      <family val="1"/>
    </font>
    <font>
      <sz val="9"/>
      <color theme="1"/>
      <name val="Calibri"/>
      <family val="2"/>
      <scheme val="minor"/>
    </font>
    <font>
      <sz val="10.5"/>
      <color rgb="FF374151"/>
      <name val="Segoe UI"/>
      <family val="2"/>
    </font>
    <font>
      <sz val="10"/>
      <color theme="1"/>
      <name val="Calibri"/>
      <family val="2"/>
      <scheme val="minor"/>
    </font>
    <font>
      <sz val="9"/>
      <name val="Arial"/>
      <family val="2"/>
    </font>
    <font>
      <b/>
      <sz val="8"/>
      <color theme="1"/>
      <name val="Arial"/>
      <family val="2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24"/>
      <color theme="0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color rgb="FF000000"/>
      <name val="Arial"/>
      <family val="2"/>
    </font>
    <font>
      <sz val="9"/>
      <color rgb="FF595959"/>
      <name val="Calibri"/>
      <family val="2"/>
    </font>
    <font>
      <b/>
      <sz val="9"/>
      <color theme="0" tint="-0.499984740745262"/>
      <name val="Calibri"/>
      <family val="2"/>
      <scheme val="minor"/>
    </font>
    <font>
      <b/>
      <sz val="9"/>
      <color theme="1" tint="0.34998626667073579"/>
      <name val="Calibri"/>
      <family val="2"/>
      <scheme val="minor"/>
    </font>
    <font>
      <sz val="9"/>
      <color theme="1" tint="0.34998626667073579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9"/>
      <color theme="4"/>
      <name val="Calibri"/>
      <family val="2"/>
      <scheme val="minor"/>
    </font>
    <font>
      <sz val="9"/>
      <color theme="0" tint="-0.34998626667073579"/>
      <name val="Calibri"/>
      <family val="2"/>
      <scheme val="minor"/>
    </font>
    <font>
      <b/>
      <sz val="9"/>
      <color theme="1" tint="0.249977111117893"/>
      <name val="Calibri"/>
      <family val="2"/>
      <scheme val="minor"/>
    </font>
    <font>
      <sz val="9"/>
      <color theme="0" tint="-0.49998474074526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darkDown">
        <fgColor theme="3" tint="0.39994506668294322"/>
        <bgColor theme="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darkDown">
        <fgColor theme="3" tint="0.79998168889431442"/>
        <bgColor theme="0" tint="-0.24994659260841701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F7F7F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38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66"/>
      </left>
      <right/>
      <top/>
      <bottom/>
      <diagonal/>
    </border>
    <border>
      <left style="thin">
        <color rgb="FFFFFF66"/>
      </left>
      <right style="thin">
        <color rgb="FFFFFF66"/>
      </right>
      <top style="thin">
        <color rgb="FFF2F2F2"/>
      </top>
      <bottom style="thin">
        <color rgb="FFF2F2F2"/>
      </bottom>
      <diagonal/>
    </border>
    <border>
      <left/>
      <right style="thin">
        <color rgb="FFFFFF66"/>
      </right>
      <top/>
      <bottom/>
      <diagonal/>
    </border>
    <border>
      <left style="thin">
        <color rgb="FFFFFF66"/>
      </left>
      <right style="thin">
        <color rgb="FFFFFF66"/>
      </right>
      <top style="thin">
        <color rgb="FFFFFFFF"/>
      </top>
      <bottom style="thin">
        <color rgb="FFF2F2F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theme="0" tint="-4.9989318521683403E-2"/>
      </bottom>
      <diagonal/>
    </border>
    <border>
      <left/>
      <right style="medium">
        <color rgb="FF8745EC"/>
      </right>
      <top style="medium">
        <color rgb="FF8745EC"/>
      </top>
      <bottom/>
      <diagonal/>
    </border>
    <border>
      <left/>
      <right/>
      <top style="medium">
        <color rgb="FF8745EC"/>
      </top>
      <bottom/>
      <diagonal/>
    </border>
    <border>
      <left style="medium">
        <color rgb="FF8745EC"/>
      </left>
      <right/>
      <top style="medium">
        <color rgb="FF8745EC"/>
      </top>
      <bottom/>
      <diagonal/>
    </border>
  </borders>
  <cellStyleXfs count="10">
    <xf numFmtId="0" fontId="0" fillId="0" borderId="0"/>
    <xf numFmtId="44" fontId="4" fillId="0" borderId="0"/>
    <xf numFmtId="0" fontId="12" fillId="0" borderId="0"/>
    <xf numFmtId="43" fontId="4" fillId="0" borderId="0"/>
    <xf numFmtId="0" fontId="15" fillId="0" borderId="0"/>
    <xf numFmtId="43" fontId="15" fillId="0" borderId="0"/>
    <xf numFmtId="44" fontId="15" fillId="0" borderId="0"/>
    <xf numFmtId="9" fontId="15" fillId="0" borderId="0"/>
    <xf numFmtId="165" fontId="3" fillId="0" borderId="0" applyFont="0" applyFill="0" applyBorder="0" applyAlignment="0" applyProtection="0"/>
    <xf numFmtId="0" fontId="1" fillId="0" borderId="0"/>
  </cellStyleXfs>
  <cellXfs count="186">
    <xf numFmtId="0" fontId="0" fillId="0" borderId="0" xfId="0"/>
    <xf numFmtId="0" fontId="22" fillId="2" borderId="1" xfId="4" applyFont="1" applyFill="1" applyBorder="1" applyAlignment="1">
      <alignment horizontal="left" vertical="center" inden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5" fillId="0" borderId="0" xfId="0" applyFont="1"/>
    <xf numFmtId="0" fontId="15" fillId="0" borderId="0" xfId="4"/>
    <xf numFmtId="0" fontId="16" fillId="0" borderId="0" xfId="4" applyFont="1"/>
    <xf numFmtId="0" fontId="16" fillId="0" borderId="0" xfId="4" applyFont="1" applyAlignment="1">
      <alignment vertical="center"/>
    </xf>
    <xf numFmtId="0" fontId="16" fillId="0" borderId="0" xfId="4" applyFont="1" applyAlignment="1">
      <alignment horizontal="left" vertical="center" indent="1"/>
    </xf>
    <xf numFmtId="0" fontId="16" fillId="0" borderId="1" xfId="4" applyFont="1" applyBorder="1" applyAlignment="1">
      <alignment horizontal="left" vertical="center" indent="1"/>
    </xf>
    <xf numFmtId="0" fontId="16" fillId="0" borderId="1" xfId="4" applyFont="1" applyBorder="1" applyAlignment="1">
      <alignment horizontal="left" vertical="center" wrapText="1" indent="1"/>
    </xf>
    <xf numFmtId="9" fontId="16" fillId="0" borderId="1" xfId="4" applyNumberFormat="1" applyFont="1" applyBorder="1" applyAlignment="1">
      <alignment horizontal="right" vertical="center" indent="1"/>
    </xf>
    <xf numFmtId="0" fontId="16" fillId="0" borderId="1" xfId="4" applyFont="1" applyBorder="1" applyAlignment="1">
      <alignment horizontal="right" vertical="center" indent="1"/>
    </xf>
    <xf numFmtId="0" fontId="17" fillId="3" borderId="1" xfId="4" applyFont="1" applyFill="1" applyBorder="1" applyAlignment="1">
      <alignment horizontal="left" vertical="center" indent="1"/>
    </xf>
    <xf numFmtId="0" fontId="17" fillId="3" borderId="1" xfId="4" applyFont="1" applyFill="1" applyBorder="1" applyAlignment="1">
      <alignment horizontal="left" vertical="center" wrapText="1" indent="1"/>
    </xf>
    <xf numFmtId="0" fontId="22" fillId="0" borderId="0" xfId="4" applyFont="1" applyAlignment="1">
      <alignment vertical="center"/>
    </xf>
    <xf numFmtId="0" fontId="24" fillId="0" borderId="0" xfId="4" applyFont="1" applyAlignment="1">
      <alignment horizontal="center" vertical="center" wrapText="1"/>
    </xf>
    <xf numFmtId="14" fontId="22" fillId="0" borderId="0" xfId="4" applyNumberFormat="1" applyFont="1" applyAlignment="1" applyProtection="1">
      <alignment vertical="center"/>
      <protection locked="0"/>
    </xf>
    <xf numFmtId="166" fontId="11" fillId="0" borderId="0" xfId="5" applyNumberFormat="1" applyFont="1" applyAlignment="1">
      <alignment vertical="center"/>
    </xf>
    <xf numFmtId="9" fontId="22" fillId="0" borderId="0" xfId="7" applyFont="1" applyAlignment="1" applyProtection="1">
      <alignment vertical="center"/>
      <protection locked="0"/>
    </xf>
    <xf numFmtId="167" fontId="22" fillId="0" borderId="0" xfId="5" applyNumberFormat="1" applyFont="1" applyAlignment="1" applyProtection="1">
      <alignment vertical="center"/>
      <protection locked="0"/>
    </xf>
    <xf numFmtId="167" fontId="22" fillId="0" borderId="0" xfId="5" applyNumberFormat="1" applyFont="1" applyAlignment="1">
      <alignment vertical="center"/>
    </xf>
    <xf numFmtId="167" fontId="23" fillId="0" borderId="0" xfId="5" applyNumberFormat="1" applyFont="1" applyAlignment="1">
      <alignment vertical="center"/>
    </xf>
    <xf numFmtId="9" fontId="22" fillId="0" borderId="0" xfId="4" applyNumberFormat="1" applyFont="1" applyAlignment="1">
      <alignment vertical="center"/>
    </xf>
    <xf numFmtId="166" fontId="24" fillId="0" borderId="0" xfId="4" applyNumberFormat="1" applyFont="1" applyAlignment="1">
      <alignment vertical="center"/>
    </xf>
    <xf numFmtId="0" fontId="23" fillId="0" borderId="0" xfId="4" applyFont="1" applyAlignment="1">
      <alignment vertical="center"/>
    </xf>
    <xf numFmtId="0" fontId="23" fillId="0" borderId="0" xfId="4" applyFont="1" applyAlignment="1">
      <alignment horizontal="right" vertical="center"/>
    </xf>
    <xf numFmtId="0" fontId="18" fillId="0" borderId="4" xfId="0" applyFont="1" applyBorder="1" applyAlignment="1">
      <alignment vertical="center"/>
    </xf>
    <xf numFmtId="44" fontId="20" fillId="0" borderId="4" xfId="0" applyNumberFormat="1" applyFont="1" applyBorder="1" applyAlignment="1">
      <alignment vertical="center"/>
    </xf>
    <xf numFmtId="0" fontId="21" fillId="0" borderId="4" xfId="0" applyFont="1" applyBorder="1" applyAlignment="1">
      <alignment vertical="center"/>
    </xf>
    <xf numFmtId="166" fontId="11" fillId="0" borderId="1" xfId="5" applyNumberFormat="1" applyFont="1" applyBorder="1" applyAlignment="1">
      <alignment vertical="center"/>
    </xf>
    <xf numFmtId="0" fontId="22" fillId="0" borderId="1" xfId="4" applyFont="1" applyBorder="1" applyAlignment="1">
      <alignment horizontal="left" vertical="center" indent="1"/>
    </xf>
    <xf numFmtId="0" fontId="13" fillId="4" borderId="1" xfId="4" applyFont="1" applyFill="1" applyBorder="1" applyAlignment="1">
      <alignment horizontal="left" vertical="center" indent="1"/>
    </xf>
    <xf numFmtId="0" fontId="23" fillId="5" borderId="1" xfId="4" applyFont="1" applyFill="1" applyBorder="1" applyAlignment="1">
      <alignment vertical="center"/>
    </xf>
    <xf numFmtId="0" fontId="22" fillId="5" borderId="1" xfId="4" applyFont="1" applyFill="1" applyBorder="1" applyAlignment="1">
      <alignment vertical="center"/>
    </xf>
    <xf numFmtId="0" fontId="23" fillId="6" borderId="1" xfId="4" applyFont="1" applyFill="1" applyBorder="1" applyAlignment="1">
      <alignment horizontal="left" vertical="center" indent="1"/>
    </xf>
    <xf numFmtId="168" fontId="22" fillId="6" borderId="1" xfId="6" applyNumberFormat="1" applyFont="1" applyFill="1" applyBorder="1" applyAlignment="1">
      <alignment vertical="center"/>
    </xf>
    <xf numFmtId="0" fontId="22" fillId="6" borderId="1" xfId="4" applyFont="1" applyFill="1" applyBorder="1" applyAlignment="1">
      <alignment vertical="center"/>
    </xf>
    <xf numFmtId="169" fontId="16" fillId="0" borderId="1" xfId="4" applyNumberFormat="1" applyFont="1" applyBorder="1" applyAlignment="1" applyProtection="1">
      <alignment vertical="center"/>
      <protection locked="0"/>
    </xf>
    <xf numFmtId="0" fontId="17" fillId="7" borderId="1" xfId="4" applyFont="1" applyFill="1" applyBorder="1" applyAlignment="1">
      <alignment horizontal="left" vertical="center" wrapText="1" indent="1"/>
    </xf>
    <xf numFmtId="0" fontId="17" fillId="7" borderId="1" xfId="4" applyFont="1" applyFill="1" applyBorder="1" applyAlignment="1">
      <alignment horizontal="left" vertical="center" indent="1"/>
    </xf>
    <xf numFmtId="0" fontId="13" fillId="7" borderId="1" xfId="4" applyFont="1" applyFill="1" applyBorder="1" applyAlignment="1">
      <alignment horizontal="center" vertical="center" wrapText="1"/>
    </xf>
    <xf numFmtId="0" fontId="13" fillId="3" borderId="1" xfId="4" applyFont="1" applyFill="1" applyBorder="1" applyAlignment="1">
      <alignment horizontal="center" vertical="center" wrapText="1"/>
    </xf>
    <xf numFmtId="170" fontId="22" fillId="0" borderId="0" xfId="1" applyNumberFormat="1" applyFont="1" applyAlignment="1">
      <alignment horizontal="left" vertical="center"/>
    </xf>
    <xf numFmtId="0" fontId="13" fillId="3" borderId="1" xfId="4" applyFont="1" applyFill="1" applyBorder="1" applyAlignment="1">
      <alignment horizontal="center" vertical="center"/>
    </xf>
    <xf numFmtId="171" fontId="23" fillId="6" borderId="1" xfId="4" applyNumberFormat="1" applyFont="1" applyFill="1" applyBorder="1" applyAlignment="1">
      <alignment horizontal="center" vertical="center"/>
    </xf>
    <xf numFmtId="172" fontId="14" fillId="6" borderId="1" xfId="5" applyNumberFormat="1" applyFont="1" applyFill="1" applyBorder="1" applyAlignment="1">
      <alignment horizontal="right" vertical="center" indent="2"/>
    </xf>
    <xf numFmtId="172" fontId="23" fillId="6" borderId="1" xfId="5" applyNumberFormat="1" applyFont="1" applyFill="1" applyBorder="1" applyAlignment="1">
      <alignment horizontal="right" vertical="center" indent="2"/>
    </xf>
    <xf numFmtId="1" fontId="11" fillId="0" borderId="1" xfId="5" applyNumberFormat="1" applyFont="1" applyBorder="1" applyAlignment="1">
      <alignment horizontal="center" vertical="center"/>
    </xf>
    <xf numFmtId="9" fontId="22" fillId="0" borderId="1" xfId="4" applyNumberFormat="1" applyFont="1" applyBorder="1" applyAlignment="1">
      <alignment horizontal="right" vertical="center" indent="1"/>
    </xf>
    <xf numFmtId="43" fontId="22" fillId="0" borderId="1" xfId="5" applyFont="1" applyBorder="1" applyAlignment="1" applyProtection="1">
      <alignment vertical="center"/>
      <protection locked="0"/>
    </xf>
    <xf numFmtId="43" fontId="13" fillId="7" borderId="1" xfId="4" applyNumberFormat="1" applyFont="1" applyFill="1" applyBorder="1" applyAlignment="1">
      <alignment vertical="center"/>
    </xf>
    <xf numFmtId="43" fontId="13" fillId="7" borderId="2" xfId="4" applyNumberFormat="1" applyFont="1" applyFill="1" applyBorder="1" applyAlignment="1">
      <alignment vertical="center"/>
    </xf>
    <xf numFmtId="0" fontId="13" fillId="3" borderId="6" xfId="4" applyFont="1" applyFill="1" applyBorder="1" applyAlignment="1">
      <alignment horizontal="right" vertical="center" indent="1"/>
    </xf>
    <xf numFmtId="0" fontId="13" fillId="3" borderId="0" xfId="4" applyFont="1" applyFill="1" applyAlignment="1">
      <alignment horizontal="center" vertical="center" wrapText="1"/>
    </xf>
    <xf numFmtId="9" fontId="22" fillId="0" borderId="1" xfId="7" applyFont="1" applyBorder="1" applyAlignment="1" applyProtection="1">
      <alignment horizontal="center" vertical="center"/>
      <protection locked="0"/>
    </xf>
    <xf numFmtId="0" fontId="22" fillId="0" borderId="1" xfId="5" applyNumberFormat="1" applyFont="1" applyBorder="1" applyAlignment="1" applyProtection="1">
      <alignment horizontal="center" vertical="center"/>
      <protection locked="0"/>
    </xf>
    <xf numFmtId="171" fontId="22" fillId="0" borderId="1" xfId="4" applyNumberFormat="1" applyFont="1" applyBorder="1" applyAlignment="1" applyProtection="1">
      <alignment horizontal="center" vertical="center"/>
      <protection locked="0"/>
    </xf>
    <xf numFmtId="173" fontId="22" fillId="6" borderId="1" xfId="5" applyNumberFormat="1" applyFont="1" applyFill="1" applyBorder="1" applyAlignment="1">
      <alignment horizontal="center" vertical="center"/>
    </xf>
    <xf numFmtId="0" fontId="13" fillId="3" borderId="1" xfId="4" applyFont="1" applyFill="1" applyBorder="1" applyAlignment="1">
      <alignment horizontal="left" vertical="center" indent="1"/>
    </xf>
    <xf numFmtId="0" fontId="13" fillId="7" borderId="1" xfId="4" applyFont="1" applyFill="1" applyBorder="1" applyAlignment="1">
      <alignment horizontal="left" vertical="center" indent="1"/>
    </xf>
    <xf numFmtId="0" fontId="22" fillId="8" borderId="1" xfId="4" applyFont="1" applyFill="1" applyBorder="1" applyAlignment="1">
      <alignment vertical="center"/>
    </xf>
    <xf numFmtId="1" fontId="11" fillId="6" borderId="1" xfId="5" applyNumberFormat="1" applyFont="1" applyFill="1" applyBorder="1" applyAlignment="1">
      <alignment horizontal="right" vertical="center" indent="1"/>
    </xf>
    <xf numFmtId="170" fontId="22" fillId="6" borderId="1" xfId="6" applyNumberFormat="1" applyFont="1" applyFill="1" applyBorder="1" applyAlignment="1">
      <alignment horizontal="left" vertical="center"/>
    </xf>
    <xf numFmtId="170" fontId="11" fillId="6" borderId="1" xfId="1" applyNumberFormat="1" applyFont="1" applyFill="1" applyBorder="1" applyAlignment="1">
      <alignment horizontal="left" vertical="center"/>
    </xf>
    <xf numFmtId="170" fontId="22" fillId="6" borderId="1" xfId="5" applyNumberFormat="1" applyFont="1" applyFill="1" applyBorder="1" applyAlignment="1">
      <alignment horizontal="left" vertical="center"/>
    </xf>
    <xf numFmtId="170" fontId="22" fillId="6" borderId="1" xfId="1" applyNumberFormat="1" applyFont="1" applyFill="1" applyBorder="1" applyAlignment="1">
      <alignment horizontal="left" vertical="center"/>
    </xf>
    <xf numFmtId="1" fontId="22" fillId="6" borderId="1" xfId="5" applyNumberFormat="1" applyFont="1" applyFill="1" applyBorder="1" applyAlignment="1">
      <alignment horizontal="right" vertical="center" indent="1"/>
    </xf>
    <xf numFmtId="174" fontId="11" fillId="6" borderId="1" xfId="3" applyNumberFormat="1" applyFont="1" applyFill="1" applyBorder="1" applyAlignment="1">
      <alignment horizontal="right" vertical="center" indent="1"/>
    </xf>
    <xf numFmtId="174" fontId="22" fillId="6" borderId="1" xfId="3" applyNumberFormat="1" applyFont="1" applyFill="1" applyBorder="1" applyAlignment="1">
      <alignment horizontal="right" vertical="center" indent="1"/>
    </xf>
    <xf numFmtId="9" fontId="22" fillId="6" borderId="1" xfId="4" applyNumberFormat="1" applyFont="1" applyFill="1" applyBorder="1" applyAlignment="1">
      <alignment horizontal="right" vertical="center" indent="1"/>
    </xf>
    <xf numFmtId="0" fontId="22" fillId="10" borderId="5" xfId="4" applyFont="1" applyFill="1" applyBorder="1" applyAlignment="1">
      <alignment vertical="center"/>
    </xf>
    <xf numFmtId="0" fontId="13" fillId="10" borderId="6" xfId="4" applyFont="1" applyFill="1" applyBorder="1" applyAlignment="1">
      <alignment horizontal="right" vertical="center" indent="1"/>
    </xf>
    <xf numFmtId="0" fontId="22" fillId="10" borderId="1" xfId="4" applyFont="1" applyFill="1" applyBorder="1" applyAlignment="1">
      <alignment vertical="center"/>
    </xf>
    <xf numFmtId="0" fontId="13" fillId="10" borderId="1" xfId="4" applyFont="1" applyFill="1" applyBorder="1" applyAlignment="1">
      <alignment horizontal="right" vertical="center" indent="1"/>
    </xf>
    <xf numFmtId="0" fontId="23" fillId="10" borderId="1" xfId="4" applyFont="1" applyFill="1" applyBorder="1" applyAlignment="1">
      <alignment vertical="center"/>
    </xf>
    <xf numFmtId="0" fontId="9" fillId="0" borderId="4" xfId="0" applyFont="1" applyBorder="1"/>
    <xf numFmtId="0" fontId="11" fillId="0" borderId="4" xfId="0" applyFont="1" applyBorder="1" applyAlignment="1">
      <alignment horizontal="right" vertical="center"/>
    </xf>
    <xf numFmtId="169" fontId="22" fillId="6" borderId="1" xfId="1" applyNumberFormat="1" applyFont="1" applyFill="1" applyBorder="1" applyAlignment="1">
      <alignment horizontal="left" vertical="center"/>
    </xf>
    <xf numFmtId="0" fontId="13" fillId="3" borderId="5" xfId="4" applyFont="1" applyFill="1" applyBorder="1" applyAlignment="1">
      <alignment vertical="center"/>
    </xf>
    <xf numFmtId="170" fontId="22" fillId="6" borderId="6" xfId="1" applyNumberFormat="1" applyFont="1" applyFill="1" applyBorder="1" applyAlignment="1">
      <alignment horizontal="left" vertical="center"/>
    </xf>
    <xf numFmtId="9" fontId="22" fillId="6" borderId="6" xfId="7" quotePrefix="1" applyFont="1" applyFill="1" applyBorder="1" applyAlignment="1">
      <alignment vertical="center"/>
    </xf>
    <xf numFmtId="9" fontId="23" fillId="0" borderId="7" xfId="4" applyNumberFormat="1" applyFont="1" applyBorder="1" applyAlignment="1">
      <alignment vertical="center"/>
    </xf>
    <xf numFmtId="9" fontId="22" fillId="6" borderId="9" xfId="7" quotePrefix="1" applyFont="1" applyFill="1" applyBorder="1" applyAlignment="1">
      <alignment vertical="center"/>
    </xf>
    <xf numFmtId="0" fontId="13" fillId="7" borderId="5" xfId="4" applyFont="1" applyFill="1" applyBorder="1" applyAlignment="1">
      <alignment vertical="center"/>
    </xf>
    <xf numFmtId="0" fontId="13" fillId="7" borderId="3" xfId="4" applyFont="1" applyFill="1" applyBorder="1" applyAlignment="1">
      <alignment vertical="center"/>
    </xf>
    <xf numFmtId="0" fontId="13" fillId="7" borderId="6" xfId="4" applyFont="1" applyFill="1" applyBorder="1" applyAlignment="1">
      <alignment horizontal="right" vertical="center" indent="1"/>
    </xf>
    <xf numFmtId="0" fontId="13" fillId="4" borderId="8" xfId="4" applyFont="1" applyFill="1" applyBorder="1" applyAlignment="1">
      <alignment vertical="center"/>
    </xf>
    <xf numFmtId="0" fontId="13" fillId="4" borderId="7" xfId="4" applyFont="1" applyFill="1" applyBorder="1" applyAlignment="1">
      <alignment horizontal="right" vertical="center" indent="1"/>
    </xf>
    <xf numFmtId="9" fontId="23" fillId="0" borderId="0" xfId="4" applyNumberFormat="1" applyFont="1" applyAlignment="1">
      <alignment horizontal="right" vertical="center" indent="1"/>
    </xf>
    <xf numFmtId="0" fontId="23" fillId="0" borderId="0" xfId="4" applyFont="1" applyAlignment="1">
      <alignment horizontal="right" vertical="center" indent="1"/>
    </xf>
    <xf numFmtId="172" fontId="13" fillId="4" borderId="1" xfId="5" applyNumberFormat="1" applyFont="1" applyFill="1" applyBorder="1" applyAlignment="1">
      <alignment horizontal="right" vertical="center" indent="2"/>
    </xf>
    <xf numFmtId="170" fontId="13" fillId="4" borderId="0" xfId="5" applyNumberFormat="1" applyFont="1" applyFill="1" applyAlignment="1">
      <alignment horizontal="left" vertical="center"/>
    </xf>
    <xf numFmtId="0" fontId="13" fillId="4" borderId="0" xfId="4" applyFont="1" applyFill="1" applyAlignment="1">
      <alignment horizontal="left" vertical="center" indent="1"/>
    </xf>
    <xf numFmtId="9" fontId="13" fillId="4" borderId="0" xfId="4" applyNumberFormat="1" applyFont="1" applyFill="1" applyAlignment="1">
      <alignment horizontal="right" vertical="center" indent="1"/>
    </xf>
    <xf numFmtId="1" fontId="25" fillId="4" borderId="0" xfId="4" applyNumberFormat="1" applyFont="1" applyFill="1" applyAlignment="1">
      <alignment horizontal="center" vertical="center"/>
    </xf>
    <xf numFmtId="174" fontId="13" fillId="4" borderId="0" xfId="3" applyNumberFormat="1" applyFont="1" applyFill="1" applyAlignment="1">
      <alignment horizontal="right" vertical="center" indent="1"/>
    </xf>
    <xf numFmtId="1" fontId="13" fillId="4" borderId="0" xfId="5" applyNumberFormat="1" applyFont="1" applyFill="1" applyAlignment="1">
      <alignment horizontal="right" vertical="center" indent="1"/>
    </xf>
    <xf numFmtId="170" fontId="13" fillId="4" borderId="0" xfId="1" applyNumberFormat="1" applyFont="1" applyFill="1" applyAlignment="1">
      <alignment horizontal="left" vertical="center"/>
    </xf>
    <xf numFmtId="9" fontId="13" fillId="4" borderId="0" xfId="4" applyNumberFormat="1" applyFont="1" applyFill="1" applyAlignment="1">
      <alignment horizontal="center" vertical="center"/>
    </xf>
    <xf numFmtId="0" fontId="13" fillId="7" borderId="1" xfId="8" applyNumberFormat="1" applyFont="1" applyFill="1" applyBorder="1" applyAlignment="1">
      <alignment vertical="center"/>
    </xf>
    <xf numFmtId="0" fontId="13" fillId="9" borderId="6" xfId="8" applyNumberFormat="1" applyFont="1" applyFill="1" applyBorder="1" applyAlignment="1">
      <alignment vertical="center"/>
    </xf>
    <xf numFmtId="0" fontId="13" fillId="9" borderId="1" xfId="8" applyNumberFormat="1" applyFont="1" applyFill="1" applyBorder="1" applyAlignment="1">
      <alignment vertical="center"/>
    </xf>
    <xf numFmtId="0" fontId="26" fillId="10" borderId="5" xfId="4" applyFont="1" applyFill="1" applyBorder="1" applyAlignment="1">
      <alignment vertical="center"/>
    </xf>
    <xf numFmtId="0" fontId="13" fillId="7" borderId="0" xfId="4" applyFont="1" applyFill="1" applyAlignment="1">
      <alignment horizontal="center" vertical="center" wrapText="1"/>
    </xf>
    <xf numFmtId="0" fontId="27" fillId="0" borderId="0" xfId="0" applyFont="1" applyAlignment="1">
      <alignment horizontal="center"/>
    </xf>
    <xf numFmtId="165" fontId="2" fillId="0" borderId="0" xfId="8" applyFont="1"/>
    <xf numFmtId="0" fontId="2" fillId="0" borderId="0" xfId="0" applyFont="1"/>
    <xf numFmtId="165" fontId="2" fillId="0" borderId="0" xfId="0" applyNumberFormat="1" applyFont="1"/>
    <xf numFmtId="0" fontId="28" fillId="11" borderId="11" xfId="0" applyFont="1" applyFill="1" applyBorder="1" applyAlignment="1">
      <alignment vertical="center" wrapText="1"/>
    </xf>
    <xf numFmtId="175" fontId="28" fillId="11" borderId="11" xfId="0" applyNumberFormat="1" applyFont="1" applyFill="1" applyBorder="1" applyAlignment="1">
      <alignment vertical="center" wrapText="1"/>
    </xf>
    <xf numFmtId="175" fontId="28" fillId="11" borderId="12" xfId="0" applyNumberFormat="1" applyFont="1" applyFill="1" applyBorder="1" applyAlignment="1">
      <alignment vertical="center" wrapText="1"/>
    </xf>
    <xf numFmtId="0" fontId="29" fillId="0" borderId="0" xfId="9" applyFont="1"/>
    <xf numFmtId="0" fontId="29" fillId="0" borderId="28" xfId="9" applyFont="1" applyBorder="1"/>
    <xf numFmtId="0" fontId="29" fillId="0" borderId="28" xfId="9" applyFont="1" applyBorder="1" applyAlignment="1">
      <alignment horizontal="center" vertical="center"/>
    </xf>
    <xf numFmtId="0" fontId="29" fillId="14" borderId="28" xfId="9" applyFont="1" applyFill="1" applyBorder="1" applyAlignment="1">
      <alignment horizontal="center" vertical="center"/>
    </xf>
    <xf numFmtId="9" fontId="32" fillId="0" borderId="28" xfId="9" applyNumberFormat="1" applyFont="1" applyBorder="1" applyAlignment="1">
      <alignment horizontal="center"/>
    </xf>
    <xf numFmtId="0" fontId="32" fillId="0" borderId="28" xfId="9" applyFont="1" applyBorder="1" applyAlignment="1">
      <alignment horizontal="center"/>
    </xf>
    <xf numFmtId="9" fontId="29" fillId="0" borderId="28" xfId="9" applyNumberFormat="1" applyFont="1" applyBorder="1"/>
    <xf numFmtId="0" fontId="32" fillId="6" borderId="28" xfId="9" applyFont="1" applyFill="1" applyBorder="1" applyAlignment="1">
      <alignment horizontal="center" vertical="center" wrapText="1"/>
    </xf>
    <xf numFmtId="0" fontId="29" fillId="15" borderId="28" xfId="9" applyFont="1" applyFill="1" applyBorder="1" applyAlignment="1">
      <alignment horizontal="center" vertical="center"/>
    </xf>
    <xf numFmtId="9" fontId="32" fillId="0" borderId="28" xfId="9" applyNumberFormat="1" applyFont="1" applyBorder="1"/>
    <xf numFmtId="0" fontId="27" fillId="15" borderId="0" xfId="9" applyFont="1" applyFill="1"/>
    <xf numFmtId="0" fontId="27" fillId="0" borderId="0" xfId="9" applyFont="1"/>
    <xf numFmtId="0" fontId="35" fillId="0" borderId="0" xfId="9" applyFont="1"/>
    <xf numFmtId="164" fontId="36" fillId="0" borderId="0" xfId="9" applyNumberFormat="1" applyFont="1" applyAlignment="1">
      <alignment vertical="center" wrapText="1"/>
    </xf>
    <xf numFmtId="164" fontId="36" fillId="0" borderId="29" xfId="9" applyNumberFormat="1" applyFont="1" applyBorder="1" applyAlignment="1">
      <alignment vertical="center" wrapText="1"/>
    </xf>
    <xf numFmtId="164" fontId="37" fillId="0" borderId="30" xfId="9" applyNumberFormat="1" applyFont="1" applyBorder="1" applyAlignment="1">
      <alignment vertical="center" wrapText="1"/>
    </xf>
    <xf numFmtId="164" fontId="36" fillId="0" borderId="31" xfId="9" applyNumberFormat="1" applyFont="1" applyBorder="1" applyAlignment="1">
      <alignment vertical="center" wrapText="1"/>
    </xf>
    <xf numFmtId="164" fontId="37" fillId="0" borderId="32" xfId="9" applyNumberFormat="1" applyFont="1" applyBorder="1" applyAlignment="1">
      <alignment vertical="center" wrapText="1"/>
    </xf>
    <xf numFmtId="175" fontId="38" fillId="0" borderId="33" xfId="9" applyNumberFormat="1" applyFont="1" applyBorder="1" applyAlignment="1">
      <alignment horizontal="center"/>
    </xf>
    <xf numFmtId="0" fontId="38" fillId="0" borderId="33" xfId="9" applyFont="1" applyBorder="1" applyAlignment="1">
      <alignment horizontal="center"/>
    </xf>
    <xf numFmtId="175" fontId="39" fillId="2" borderId="33" xfId="9" applyNumberFormat="1" applyFont="1" applyFill="1" applyBorder="1" applyAlignment="1">
      <alignment horizontal="center" vertical="center"/>
    </xf>
    <xf numFmtId="0" fontId="39" fillId="2" borderId="33" xfId="9" applyFont="1" applyFill="1" applyBorder="1" applyAlignment="1">
      <alignment horizontal="center" vertical="center"/>
    </xf>
    <xf numFmtId="175" fontId="38" fillId="2" borderId="28" xfId="9" applyNumberFormat="1" applyFont="1" applyFill="1" applyBorder="1" applyAlignment="1">
      <alignment horizontal="center"/>
    </xf>
    <xf numFmtId="175" fontId="40" fillId="0" borderId="28" xfId="9" applyNumberFormat="1" applyFont="1" applyBorder="1" applyAlignment="1">
      <alignment horizontal="center" vertical="center"/>
    </xf>
    <xf numFmtId="2" fontId="40" fillId="0" borderId="28" xfId="9" applyNumberFormat="1" applyFont="1" applyBorder="1" applyAlignment="1">
      <alignment horizontal="center" vertical="center"/>
    </xf>
    <xf numFmtId="175" fontId="40" fillId="0" borderId="28" xfId="9" applyNumberFormat="1" applyFont="1" applyBorder="1" applyAlignment="1">
      <alignment horizontal="center" vertical="top" wrapText="1"/>
    </xf>
    <xf numFmtId="0" fontId="27" fillId="15" borderId="0" xfId="9" applyFont="1" applyFill="1" applyAlignment="1">
      <alignment horizontal="center"/>
    </xf>
    <xf numFmtId="0" fontId="41" fillId="13" borderId="28" xfId="9" applyFont="1" applyFill="1" applyBorder="1" applyAlignment="1">
      <alignment horizontal="center" vertical="center" wrapText="1"/>
    </xf>
    <xf numFmtId="0" fontId="42" fillId="17" borderId="28" xfId="9" applyFont="1" applyFill="1" applyBorder="1" applyAlignment="1">
      <alignment horizontal="center" vertical="center" wrapText="1"/>
    </xf>
    <xf numFmtId="0" fontId="42" fillId="17" borderId="28" xfId="9" applyFont="1" applyFill="1" applyBorder="1" applyAlignment="1">
      <alignment horizontal="center" vertical="center"/>
    </xf>
    <xf numFmtId="1" fontId="43" fillId="0" borderId="34" xfId="9" applyNumberFormat="1" applyFont="1" applyBorder="1" applyAlignment="1">
      <alignment horizontal="center" vertical="center"/>
    </xf>
    <xf numFmtId="0" fontId="27" fillId="15" borderId="0" xfId="9" applyFont="1" applyFill="1" applyAlignment="1">
      <alignment vertical="center"/>
    </xf>
    <xf numFmtId="0" fontId="44" fillId="0" borderId="0" xfId="9" applyFont="1" applyAlignment="1">
      <alignment vertical="center"/>
    </xf>
    <xf numFmtId="0" fontId="44" fillId="0" borderId="28" xfId="9" applyFont="1" applyBorder="1" applyAlignment="1">
      <alignment vertical="center"/>
    </xf>
    <xf numFmtId="0" fontId="45" fillId="0" borderId="28" xfId="9" applyFont="1" applyBorder="1" applyAlignment="1">
      <alignment vertical="top"/>
    </xf>
    <xf numFmtId="0" fontId="27" fillId="15" borderId="28" xfId="9" applyFont="1" applyFill="1" applyBorder="1"/>
    <xf numFmtId="0" fontId="22" fillId="2" borderId="1" xfId="4" applyFont="1" applyFill="1" applyBorder="1" applyAlignment="1">
      <alignment horizontal="left" vertical="center" indent="1"/>
    </xf>
    <xf numFmtId="0" fontId="0" fillId="0" borderId="6" xfId="0" applyBorder="1"/>
    <xf numFmtId="0" fontId="19" fillId="0" borderId="4" xfId="0" applyFont="1" applyBorder="1" applyAlignment="1">
      <alignment horizontal="right" vertical="center"/>
    </xf>
    <xf numFmtId="0" fontId="0" fillId="0" borderId="4" xfId="0" applyBorder="1"/>
    <xf numFmtId="0" fontId="13" fillId="3" borderId="1" xfId="4" applyFont="1" applyFill="1" applyBorder="1" applyAlignment="1">
      <alignment horizontal="center" vertical="center"/>
    </xf>
    <xf numFmtId="0" fontId="13" fillId="7" borderId="0" xfId="4" applyFont="1" applyFill="1" applyAlignment="1">
      <alignment horizontal="center" vertical="center" wrapText="1"/>
    </xf>
    <xf numFmtId="0" fontId="13" fillId="7" borderId="10" xfId="4" applyFont="1" applyFill="1" applyBorder="1" applyAlignment="1">
      <alignment horizontal="center" vertical="center" wrapText="1"/>
    </xf>
    <xf numFmtId="0" fontId="23" fillId="6" borderId="0" xfId="4" applyFont="1" applyFill="1" applyAlignment="1">
      <alignment horizontal="center" vertical="center"/>
    </xf>
    <xf numFmtId="0" fontId="23" fillId="6" borderId="10" xfId="4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2" fillId="6" borderId="18" xfId="9" applyFont="1" applyFill="1" applyBorder="1" applyAlignment="1">
      <alignment horizontal="center" vertical="center" wrapText="1"/>
    </xf>
    <xf numFmtId="0" fontId="32" fillId="6" borderId="19" xfId="9" applyFont="1" applyFill="1" applyBorder="1" applyAlignment="1">
      <alignment horizontal="center" vertical="center" wrapText="1"/>
    </xf>
    <xf numFmtId="0" fontId="29" fillId="13" borderId="28" xfId="9" applyFont="1" applyFill="1" applyBorder="1" applyAlignment="1">
      <alignment horizontal="center" vertical="center"/>
    </xf>
    <xf numFmtId="0" fontId="33" fillId="0" borderId="28" xfId="9" applyFont="1" applyBorder="1" applyAlignment="1">
      <alignment horizontal="left" vertical="center"/>
    </xf>
    <xf numFmtId="0" fontId="30" fillId="12" borderId="18" xfId="9" applyFont="1" applyFill="1" applyBorder="1" applyAlignment="1">
      <alignment horizontal="center" wrapText="1"/>
    </xf>
    <xf numFmtId="0" fontId="30" fillId="12" borderId="19" xfId="9" applyFont="1" applyFill="1" applyBorder="1" applyAlignment="1">
      <alignment horizontal="center" wrapText="1"/>
    </xf>
    <xf numFmtId="0" fontId="30" fillId="12" borderId="18" xfId="9" applyFont="1" applyFill="1" applyBorder="1" applyAlignment="1">
      <alignment horizontal="left" wrapText="1"/>
    </xf>
    <xf numFmtId="0" fontId="30" fillId="12" borderId="17" xfId="9" applyFont="1" applyFill="1" applyBorder="1" applyAlignment="1">
      <alignment horizontal="left" wrapText="1"/>
    </xf>
    <xf numFmtId="0" fontId="30" fillId="12" borderId="14" xfId="9" applyFont="1" applyFill="1" applyBorder="1" applyAlignment="1">
      <alignment horizontal="center" wrapText="1"/>
    </xf>
    <xf numFmtId="0" fontId="30" fillId="12" borderId="15" xfId="9" applyFont="1" applyFill="1" applyBorder="1" applyAlignment="1">
      <alignment horizontal="center" wrapText="1"/>
    </xf>
    <xf numFmtId="0" fontId="30" fillId="12" borderId="14" xfId="9" applyFont="1" applyFill="1" applyBorder="1" applyAlignment="1">
      <alignment horizontal="left" wrapText="1"/>
    </xf>
    <xf numFmtId="0" fontId="30" fillId="12" borderId="13" xfId="9" applyFont="1" applyFill="1" applyBorder="1" applyAlignment="1">
      <alignment horizontal="left" wrapText="1"/>
    </xf>
    <xf numFmtId="0" fontId="34" fillId="16" borderId="0" xfId="9" applyFont="1" applyFill="1" applyAlignment="1">
      <alignment horizontal="center"/>
    </xf>
    <xf numFmtId="0" fontId="31" fillId="13" borderId="27" xfId="9" applyFont="1" applyFill="1" applyBorder="1" applyAlignment="1">
      <alignment horizontal="center" vertical="center" wrapText="1"/>
    </xf>
    <xf numFmtId="0" fontId="31" fillId="13" borderId="20" xfId="9" applyFont="1" applyFill="1" applyBorder="1" applyAlignment="1">
      <alignment horizontal="center" vertical="center" wrapText="1"/>
    </xf>
    <xf numFmtId="0" fontId="31" fillId="13" borderId="16" xfId="9" applyFont="1" applyFill="1" applyBorder="1" applyAlignment="1">
      <alignment horizontal="center" vertical="center" wrapText="1"/>
    </xf>
    <xf numFmtId="0" fontId="31" fillId="13" borderId="25" xfId="9" applyFont="1" applyFill="1" applyBorder="1" applyAlignment="1">
      <alignment horizontal="center" vertical="center" wrapText="1"/>
    </xf>
    <xf numFmtId="0" fontId="31" fillId="13" borderId="26" xfId="9" applyFont="1" applyFill="1" applyBorder="1" applyAlignment="1">
      <alignment horizontal="center" vertical="center" wrapText="1"/>
    </xf>
    <xf numFmtId="0" fontId="31" fillId="13" borderId="22" xfId="9" applyFont="1" applyFill="1" applyBorder="1" applyAlignment="1">
      <alignment horizontal="center" vertical="center" wrapText="1"/>
    </xf>
    <xf numFmtId="0" fontId="31" fillId="13" borderId="23" xfId="9" applyFont="1" applyFill="1" applyBorder="1" applyAlignment="1">
      <alignment horizontal="center" vertical="center" wrapText="1"/>
    </xf>
    <xf numFmtId="0" fontId="31" fillId="13" borderId="24" xfId="9" applyFont="1" applyFill="1" applyBorder="1" applyAlignment="1">
      <alignment horizontal="center" vertical="center" wrapText="1"/>
    </xf>
    <xf numFmtId="0" fontId="31" fillId="13" borderId="21" xfId="9" applyFont="1" applyFill="1" applyBorder="1" applyAlignment="1">
      <alignment horizontal="center" vertical="center" wrapText="1"/>
    </xf>
    <xf numFmtId="0" fontId="41" fillId="13" borderId="37" xfId="9" applyFont="1" applyFill="1" applyBorder="1" applyAlignment="1">
      <alignment horizontal="center" vertical="center" wrapText="1"/>
    </xf>
    <xf numFmtId="0" fontId="41" fillId="13" borderId="36" xfId="9" applyFont="1" applyFill="1" applyBorder="1" applyAlignment="1">
      <alignment horizontal="center" vertical="center" wrapText="1"/>
    </xf>
    <xf numFmtId="0" fontId="41" fillId="13" borderId="35" xfId="9" applyFont="1" applyFill="1" applyBorder="1" applyAlignment="1">
      <alignment horizontal="center" vertical="center" wrapText="1"/>
    </xf>
  </cellXfs>
  <cellStyles count="10">
    <cellStyle name="Comma 2" xfId="5" xr:uid="{00000000-0005-0000-0000-000005000000}"/>
    <cellStyle name="Currency 2" xfId="6" xr:uid="{00000000-0005-0000-0000-000006000000}"/>
    <cellStyle name="Millares" xfId="3" builtinId="3"/>
    <cellStyle name="Moneda" xfId="1" builtinId="4"/>
    <cellStyle name="Moneda [0]" xfId="8" builtinId="7"/>
    <cellStyle name="Normal" xfId="0" builtinId="0"/>
    <cellStyle name="Normal 2" xfId="2" xr:uid="{00000000-0005-0000-0000-000002000000}"/>
    <cellStyle name="Normal 3" xfId="4" xr:uid="{00000000-0005-0000-0000-000004000000}"/>
    <cellStyle name="Normal 4" xfId="9" xr:uid="{E77D4E85-B1CC-4A3F-BA9D-55E4B10898A8}"/>
    <cellStyle name="Percent 2" xfId="7" xr:uid="{00000000-0005-0000-0000-000007000000}"/>
  </cellStyles>
  <dxfs count="32"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75" formatCode="&quot;$&quot;\ #,##0.00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7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7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75" formatCode="&quot;$&quot;\ #,##0.00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7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75" formatCode="&quot;$&quot;\ #,##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7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75" formatCode="&quot;$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7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75" formatCode="&quot;$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7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75" formatCode="&quot;$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7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75" formatCode="&quot;$&quot;\ #,##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75" formatCode="&quot;$&quot;\ #,##0.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75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2" formatCode="0.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 tint="0.34998626667073579"/>
        <name val="Calibri"/>
        <family val="2"/>
        <scheme val="minor"/>
      </font>
      <numFmt numFmtId="175" formatCode="&quot;$&quot;\ #,##0.00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9"/>
      </font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Calibri"/>
        <scheme val="none"/>
      </font>
      <fill>
        <patternFill patternType="solid">
          <fgColor rgb="FF000000"/>
          <bgColor rgb="FFFFFFFF"/>
        </patternFill>
      </fill>
      <alignment horizontal="center" vertical="bottom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8745EC"/>
        <name val="Calibri"/>
        <scheme val="minor"/>
      </font>
      <fill>
        <patternFill patternType="solid">
          <fgColor indexed="64"/>
          <bgColor rgb="FFF8F3FF"/>
        </patternFill>
      </fill>
      <alignment horizontal="left" vertical="center" textRotation="0" wrapText="0" indent="1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left style="thin">
          <color rgb="FFFFFF66"/>
        </left>
        <right style="thin">
          <color rgb="FFFFFF66"/>
        </right>
        <vertical/>
        <horizontal/>
      </border>
    </dxf>
    <dxf>
      <fill>
        <gradientFill type="path" left="0.5" right="0.5" top="0.5" bottom="0.5">
          <stop position="0">
            <color theme="0"/>
          </stop>
          <stop position="1">
            <color rgb="FFFFFF66"/>
          </stop>
        </gradientFill>
      </fill>
      <border>
        <left style="thin">
          <color rgb="FFFFFF66"/>
        </left>
        <right style="thin">
          <color rgb="FFFFFF66"/>
        </right>
        <top style="thin">
          <color rgb="FFFFFF66"/>
        </top>
        <vertical/>
        <horizontal/>
      </border>
    </dxf>
    <dxf>
      <font>
        <b/>
        <i val="0"/>
      </font>
      <fill>
        <patternFill>
          <bgColor theme="0" tint="-4.9989318521683403E-2"/>
        </patternFill>
      </fill>
      <border>
        <left style="mediumDashDot">
          <color theme="0"/>
        </left>
        <right style="mediumDashDot">
          <color theme="0"/>
        </right>
        <top style="mediumDashDot">
          <color theme="0" tint="-4.9989318521683403E-2"/>
        </top>
        <bottom style="mediumDashDot">
          <color theme="0"/>
        </bottom>
        <vertical style="mediumDashDot">
          <color theme="0"/>
        </vertical>
        <horizontal style="mediumDashDot">
          <color theme="0"/>
        </horizontal>
      </border>
    </dxf>
    <dxf>
      <font>
        <color rgb="FF8745EC"/>
      </font>
      <fill>
        <patternFill>
          <bgColor rgb="FFF8F3FF"/>
        </patternFill>
      </fill>
    </dxf>
    <dxf>
      <border diagonalUp="1">
        <top style="slantDashDot">
          <color theme="0" tint="-4.9989318521683403E-2"/>
        </top>
        <bottom style="slantDashDot">
          <color theme="0" tint="-4.9989318521683403E-2"/>
        </bottom>
        <diagonal style="slantDashDot">
          <color theme="0" tint="-4.9989318521683403E-2"/>
        </diagonal>
        <vertical/>
        <horizontal style="slantDashDot">
          <color theme="0" tint="-4.9989318521683403E-2"/>
        </horizontal>
      </border>
    </dxf>
  </dxfs>
  <tableStyles count="1" defaultTableStyle="TableStyleMedium9" defaultPivotStyle="PivotStyleMedium7">
    <tableStyle name="Estilo de tabla 1" pivot="0" count="3" xr9:uid="{4DC58AE9-1628-47C3-B8B4-573F8A9AF86F}">
      <tableStyleElement type="wholeTable" dxfId="31"/>
      <tableStyleElement type="headerRow" dxfId="30"/>
      <tableStyleElement type="totalRow" dxfId="2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soysena-my.sharepoint.com/personal/aemunoz84_soy_sena_edu_co/Documents/Evaluaci&#243;n%20proveedores.xlsx" TargetMode="External"/><Relationship Id="rId1" Type="http://schemas.openxmlformats.org/officeDocument/2006/relationships/externalLinkPath" Target="https://soysena-my.sharepoint.com/personal/aemunoz84_soy_sena_edu_co/Documents/Evaluaci&#243;n%20proveedor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Evaluacion de Proveedores "/>
      <sheetName val="Evaluación Financiera"/>
      <sheetName val="Hoja de Caracteristicas"/>
    </sheetNames>
    <sheetDataSet>
      <sheetData sheetId="0"/>
      <sheetData sheetId="1"/>
      <sheetData sheetId="2">
        <row r="20">
          <cell r="L20">
            <v>0.1</v>
          </cell>
        </row>
        <row r="24">
          <cell r="L24">
            <v>0.25</v>
          </cell>
        </row>
        <row r="28">
          <cell r="L28">
            <v>1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32A7A-84D3-48D0-9CC1-39523432C8C4}" name="Comparación_precios" displayName="Comparación_precios" ref="B5:L9" totalsRowCount="1" headerRowDxfId="26" dataDxfId="24" totalsRowDxfId="23" headerRowBorderDxfId="25" totalsRowBorderDxfId="22">
  <tableColumns count="11">
    <tableColumn id="1" xr3:uid="{F06B7FDF-1383-4273-A858-71AF4BB39D17}" name="PRODUCTO / SERVICIOS" totalsRowLabel="Total" dataDxfId="21" totalsRowDxfId="20"/>
    <tableColumn id="8" xr3:uid="{9BA0AE13-E6F3-4C58-8879-09DE3318DF29}" name="CANTIDAD" dataDxfId="19" totalsRowDxfId="18"/>
    <tableColumn id="2" xr3:uid="{2EEC27DB-F9E1-4B11-89AC-1E906D7AF847}" name="PROVEEDOR 1" totalsRowFunction="custom" dataDxfId="17" totalsRowDxfId="16">
      <totalsRowFormula>ROUND(SUMPRODUCT(Comparación_precios[[CANTIDAD]:[CANTIDAD]],Comparación_precios[PROVEEDOR 1]),2)</totalsRowFormula>
    </tableColumn>
    <tableColumn id="3" xr3:uid="{EFA9422B-B7E2-43BB-A541-90C50E907253}" name="PROVEEDOR 2" totalsRowFunction="custom" dataDxfId="15" totalsRowDxfId="14">
      <totalsRowFormula>ROUND(SUMPRODUCT(Comparación_precios[[CANTIDAD]:[CANTIDAD]],Comparación_precios[PROVEEDOR 2]),2)</totalsRowFormula>
    </tableColumn>
    <tableColumn id="4" xr3:uid="{6B56F2A6-1AB1-4BC0-AD83-D3C28AD91DDC}" name="PROVEEDOR 3" totalsRowFunction="custom" dataDxfId="13" totalsRowDxfId="12">
      <totalsRowFormula>ROUND(SUMPRODUCT(Comparación_precios[[CANTIDAD]:[CANTIDAD]],Comparación_precios[PROVEEDOR 3]),2)</totalsRowFormula>
    </tableColumn>
    <tableColumn id="5" xr3:uid="{AEB7007B-1AA0-42C7-AD6A-C8C612715797}" name="PROVEEDOR 4" totalsRowFunction="custom" dataDxfId="11" totalsRowDxfId="10">
      <totalsRowFormula>ROUND(SUMPRODUCT(Comparación_precios[[CANTIDAD]:[CANTIDAD]],Comparación_precios[PROVEEDOR 4]),2)</totalsRowFormula>
    </tableColumn>
    <tableColumn id="6" xr3:uid="{DBE936B1-2FF0-4E05-9FBE-844E3A13DF24}" name="PROVEEDOR 5" totalsRowFunction="custom" dataDxfId="9" totalsRowDxfId="8">
      <totalsRowFormula>ROUND(SUMPRODUCT(Comparación_precios[[CANTIDAD]:[CANTIDAD]],Comparación_precios[PROVEEDOR 5]),2)</totalsRowFormula>
    </tableColumn>
    <tableColumn id="7" xr3:uid="{D18FF02A-F373-48F6-8FBC-6D34DAA5B3AA}" name="PROVEEDOR 6" totalsRowFunction="custom" dataDxfId="7" totalsRowDxfId="6">
      <totalsRowFormula>ROUND(SUMPRODUCT(Comparación_precios[[CANTIDAD]:[CANTIDAD]],Comparación_precios[PROVEEDOR 6]),2)</totalsRowFormula>
    </tableColumn>
    <tableColumn id="11" xr3:uid="{A5B0C05B-7638-4339-8642-F04D6AA591E0}" name="PRECIO MÁS BAJO" dataDxfId="5" totalsRowDxfId="4">
      <calculatedColumnFormula>MIN(Comparación_precios[[#This Row],[PROVEEDOR 1]:[PROVEEDOR 6]])</calculatedColumnFormula>
    </tableColumn>
    <tableColumn id="12" xr3:uid="{5F8B872C-EB2D-4BA6-88FB-72A89EB5FFCD}" name="PRECIO PROMEDIO" dataDxfId="3" totalsRowDxfId="2">
      <calculatedColumnFormula>IFERROR(AVERAGE(Comparación_precios[[#This Row],[PROVEEDOR 1]:[PROVEEDOR 6]]),0)</calculatedColumnFormula>
    </tableColumn>
    <tableColumn id="13" xr3:uid="{55081EBE-86A1-4730-95F6-98FE55B48A2B}" name="PRECIO MÁS ALTO" dataDxfId="1" totalsRowDxfId="0">
      <calculatedColumnFormula>MAX(Comparación_precios[[#This Row],[PROVEEDOR 1]:[PROVEEDOR 6]])</calculatedColumnFormula>
    </tableColumn>
  </tableColumns>
  <tableStyleInfo name="Estilo de tabla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/>
    <pageSetUpPr fitToPage="1"/>
  </sheetPr>
  <dimension ref="A1:S46"/>
  <sheetViews>
    <sheetView showGridLines="0" tabSelected="1" workbookViewId="0">
      <pane ySplit="1" topLeftCell="A34" activePane="bottomLeft" state="frozen"/>
      <selection pane="bottomLeft" activeCell="E10" sqref="E10:F10"/>
    </sheetView>
  </sheetViews>
  <sheetFormatPr baseColWidth="10" defaultColWidth="10.69921875" defaultRowHeight="13.2" x14ac:dyDescent="0.25"/>
  <cols>
    <col min="1" max="1" width="3.19921875" style="8" customWidth="1"/>
    <col min="2" max="2" width="52.09765625" style="8" customWidth="1"/>
    <col min="3" max="4" width="13.69921875" style="8" customWidth="1"/>
    <col min="5" max="5" width="20.09765625" style="8" customWidth="1"/>
    <col min="6" max="8" width="13.69921875" style="8" customWidth="1"/>
    <col min="9" max="9" width="12.69921875" style="8" customWidth="1"/>
    <col min="10" max="10" width="3.19921875" style="8" customWidth="1"/>
    <col min="11" max="12" width="12.69921875" style="8" customWidth="1"/>
    <col min="13" max="13" width="3.19921875" style="8" customWidth="1"/>
    <col min="14" max="255" width="8.69921875" style="8" customWidth="1"/>
    <col min="256" max="256" width="10.69921875" style="8" customWidth="1"/>
    <col min="257" max="16384" width="10.69921875" style="8"/>
  </cols>
  <sheetData>
    <row r="1" spans="1:19" s="5" customFormat="1" ht="49.95" customHeight="1" x14ac:dyDescent="0.3">
      <c r="A1" s="2"/>
      <c r="B1" s="6" t="s">
        <v>0</v>
      </c>
      <c r="C1" s="3"/>
      <c r="D1" s="6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s="7" customFormat="1" ht="30" customHeight="1" x14ac:dyDescent="0.3">
      <c r="B2" s="30" t="s">
        <v>90</v>
      </c>
      <c r="C2" s="30"/>
      <c r="D2" s="153"/>
      <c r="E2" s="154"/>
      <c r="F2" s="31"/>
      <c r="G2" s="79"/>
      <c r="H2" s="79"/>
      <c r="I2" s="32"/>
      <c r="J2" s="79"/>
      <c r="K2" s="79"/>
      <c r="L2" s="80" t="s">
        <v>1</v>
      </c>
    </row>
    <row r="3" spans="1:19" s="9" customFormat="1" x14ac:dyDescent="0.25"/>
    <row r="4" spans="1:19" ht="55.2" customHeight="1" x14ac:dyDescent="0.3">
      <c r="B4" s="18"/>
      <c r="C4" s="57" t="s">
        <v>2</v>
      </c>
      <c r="D4" s="19"/>
      <c r="E4" s="155" t="s">
        <v>3</v>
      </c>
      <c r="F4" s="152"/>
      <c r="G4" s="44" t="s">
        <v>4</v>
      </c>
      <c r="H4" s="45" t="s">
        <v>5</v>
      </c>
      <c r="I4" s="18"/>
      <c r="J4" s="18"/>
      <c r="K4" s="18"/>
      <c r="L4" s="18"/>
    </row>
    <row r="5" spans="1:19" ht="22.2" customHeight="1" x14ac:dyDescent="0.3">
      <c r="B5" s="63" t="s">
        <v>6</v>
      </c>
      <c r="C5" s="58">
        <v>0.6</v>
      </c>
      <c r="D5" s="20"/>
      <c r="E5" s="151" t="s">
        <v>7</v>
      </c>
      <c r="F5" s="152"/>
      <c r="G5" s="33">
        <v>240</v>
      </c>
      <c r="H5" s="33">
        <v>240</v>
      </c>
      <c r="I5" s="21"/>
      <c r="J5" s="21"/>
      <c r="K5" s="18"/>
      <c r="L5" s="18"/>
    </row>
    <row r="6" spans="1:19" ht="22.2" customHeight="1" x14ac:dyDescent="0.3">
      <c r="B6" s="63" t="s">
        <v>8</v>
      </c>
      <c r="C6" s="58">
        <v>0.2</v>
      </c>
      <c r="D6" s="20"/>
      <c r="E6" s="151" t="s">
        <v>9</v>
      </c>
      <c r="F6" s="152"/>
      <c r="G6" s="33">
        <v>60</v>
      </c>
      <c r="H6" s="33">
        <v>60</v>
      </c>
      <c r="I6" s="21"/>
      <c r="J6" s="21"/>
      <c r="K6" s="18"/>
      <c r="L6" s="18"/>
    </row>
    <row r="7" spans="1:19" ht="22.2" customHeight="1" x14ac:dyDescent="0.3">
      <c r="B7" s="63" t="s">
        <v>10</v>
      </c>
      <c r="C7" s="58">
        <v>0.2</v>
      </c>
      <c r="D7" s="22"/>
      <c r="E7" s="151" t="s">
        <v>11</v>
      </c>
      <c r="F7" s="152"/>
      <c r="G7" s="33">
        <v>350</v>
      </c>
      <c r="H7" s="33">
        <v>350</v>
      </c>
      <c r="I7" s="21"/>
      <c r="J7" s="21"/>
      <c r="K7" s="18"/>
      <c r="L7" s="18"/>
    </row>
    <row r="8" spans="1:19" ht="22.2" customHeight="1" x14ac:dyDescent="0.3">
      <c r="B8" s="96" t="s">
        <v>12</v>
      </c>
      <c r="C8" s="102">
        <f>SUM(C5:C7)</f>
        <v>1</v>
      </c>
      <c r="D8" s="22"/>
      <c r="E8" s="151" t="s">
        <v>13</v>
      </c>
      <c r="F8" s="152"/>
      <c r="G8" s="33">
        <v>600</v>
      </c>
      <c r="H8" s="33">
        <v>600</v>
      </c>
      <c r="I8" s="21"/>
      <c r="J8" s="21"/>
      <c r="K8" s="18"/>
      <c r="L8" s="18"/>
    </row>
    <row r="9" spans="1:19" ht="22.2" customHeight="1" x14ac:dyDescent="0.3">
      <c r="B9" s="63" t="s">
        <v>14</v>
      </c>
      <c r="C9" s="59">
        <v>6</v>
      </c>
      <c r="D9" s="22"/>
      <c r="E9" s="151" t="s">
        <v>15</v>
      </c>
      <c r="F9" s="152"/>
      <c r="G9" s="33">
        <v>100</v>
      </c>
      <c r="H9" s="33">
        <v>100</v>
      </c>
      <c r="I9" s="18"/>
      <c r="J9" s="18"/>
      <c r="K9" s="18"/>
      <c r="L9" s="18"/>
    </row>
    <row r="10" spans="1:19" ht="22.2" customHeight="1" x14ac:dyDescent="0.3">
      <c r="B10" s="63" t="s">
        <v>16</v>
      </c>
      <c r="C10" s="60">
        <v>44959</v>
      </c>
      <c r="D10" s="23"/>
      <c r="E10" s="151" t="s">
        <v>17</v>
      </c>
      <c r="F10" s="152"/>
      <c r="G10" s="33">
        <v>60</v>
      </c>
      <c r="H10" s="33">
        <v>60</v>
      </c>
      <c r="I10" s="18"/>
      <c r="J10" s="18"/>
      <c r="K10" s="18"/>
      <c r="L10" s="18"/>
    </row>
    <row r="11" spans="1:19" ht="22.2" customHeight="1" x14ac:dyDescent="0.3">
      <c r="B11" s="62" t="s">
        <v>18</v>
      </c>
      <c r="C11" s="60">
        <v>45143</v>
      </c>
      <c r="D11" s="24"/>
      <c r="E11" s="151" t="s">
        <v>19</v>
      </c>
      <c r="F11" s="152"/>
      <c r="G11" s="33">
        <v>400</v>
      </c>
      <c r="H11" s="33">
        <v>400</v>
      </c>
      <c r="I11" s="18"/>
      <c r="J11" s="18"/>
      <c r="K11" s="18"/>
      <c r="L11" s="18"/>
    </row>
    <row r="12" spans="1:19" ht="22.2" customHeight="1" x14ac:dyDescent="0.3">
      <c r="B12" s="62" t="s">
        <v>20</v>
      </c>
      <c r="C12" s="61">
        <f>+(C11-C10)/7</f>
        <v>26.285714285714285</v>
      </c>
      <c r="D12" s="24"/>
      <c r="E12" s="151" t="s">
        <v>92</v>
      </c>
      <c r="F12" s="152"/>
      <c r="G12" s="33">
        <v>400</v>
      </c>
      <c r="H12" s="33">
        <v>400</v>
      </c>
      <c r="I12" s="18"/>
      <c r="J12" s="18"/>
      <c r="K12" s="18"/>
      <c r="L12" s="18"/>
    </row>
    <row r="13" spans="1:19" ht="22.2" customHeight="1" x14ac:dyDescent="0.3">
      <c r="D13" s="24"/>
      <c r="E13" s="151" t="s">
        <v>91</v>
      </c>
      <c r="F13" s="152"/>
      <c r="G13" s="33">
        <v>400</v>
      </c>
      <c r="H13" s="33">
        <v>400</v>
      </c>
      <c r="I13" s="18"/>
      <c r="J13" s="18"/>
      <c r="K13" s="18"/>
      <c r="L13" s="18"/>
    </row>
    <row r="14" spans="1:19" ht="22.2" customHeight="1" x14ac:dyDescent="0.25">
      <c r="B14" s="18"/>
      <c r="C14" s="25"/>
      <c r="D14" s="25"/>
      <c r="E14" s="18"/>
      <c r="F14" s="18"/>
      <c r="G14" s="18"/>
      <c r="H14" s="18"/>
      <c r="I14" s="18"/>
      <c r="J14" s="18"/>
      <c r="K14" s="18"/>
      <c r="L14" s="18"/>
    </row>
    <row r="15" spans="1:19" ht="55.2" customHeight="1" x14ac:dyDescent="0.25">
      <c r="B15" s="47" t="s">
        <v>23</v>
      </c>
      <c r="C15" s="45" t="s">
        <v>24</v>
      </c>
      <c r="D15" s="45" t="s">
        <v>25</v>
      </c>
      <c r="E15" s="45" t="s">
        <v>26</v>
      </c>
      <c r="F15" s="45" t="s">
        <v>27</v>
      </c>
      <c r="G15" s="45" t="s">
        <v>28</v>
      </c>
      <c r="H15" s="45" t="s">
        <v>29</v>
      </c>
      <c r="I15" s="45" t="s">
        <v>30</v>
      </c>
      <c r="J15" s="18"/>
      <c r="K15" s="45" t="s">
        <v>31</v>
      </c>
      <c r="L15" s="45" t="s">
        <v>32</v>
      </c>
    </row>
    <row r="16" spans="1:19" ht="22.2" customHeight="1" x14ac:dyDescent="0.25">
      <c r="B16" s="34" t="s">
        <v>7</v>
      </c>
      <c r="C16" s="52">
        <v>0.1</v>
      </c>
      <c r="D16" s="51">
        <v>2</v>
      </c>
      <c r="E16" s="71">
        <f>IF(H5&gt;0,H5,G5)</f>
        <v>240</v>
      </c>
      <c r="F16" s="65">
        <f>+L16/5</f>
        <v>4</v>
      </c>
      <c r="G16" s="66">
        <f>((C37*C$35)+(D37*D$35)+(E37*E$35)+(F37*F$35))/D16</f>
        <v>16250</v>
      </c>
      <c r="H16" s="67">
        <f>+G16*E16</f>
        <v>3900000</v>
      </c>
      <c r="I16" s="48">
        <f>+C10+(F16*7)</f>
        <v>44987</v>
      </c>
      <c r="J16" s="18"/>
      <c r="K16" s="49">
        <f t="shared" ref="K16:K21" si="0">+E16/$C$9</f>
        <v>40</v>
      </c>
      <c r="L16" s="49">
        <f t="shared" ref="L16:L21" si="1">+K16/D16</f>
        <v>20</v>
      </c>
    </row>
    <row r="17" spans="2:12" ht="22.2" customHeight="1" x14ac:dyDescent="0.25">
      <c r="B17" s="34" t="s">
        <v>9</v>
      </c>
      <c r="C17" s="52">
        <v>0.1</v>
      </c>
      <c r="D17" s="51">
        <v>1</v>
      </c>
      <c r="E17" s="71">
        <f>IF(H6&gt;0,H6,IF(G6&gt;0,G6,ROUND(+C17/$C$16*$E$16,0)))</f>
        <v>60</v>
      </c>
      <c r="F17" s="65">
        <f t="shared" ref="F17:F20" si="2">+L17/5</f>
        <v>2</v>
      </c>
      <c r="G17" s="68">
        <f>((C38*C$35)+(D38*D$35)+(E38*E$35)+(F38*F$35))/D17</f>
        <v>32500</v>
      </c>
      <c r="H17" s="69">
        <f t="shared" ref="H17:H21" si="3">+G17*E17</f>
        <v>1950000</v>
      </c>
      <c r="I17" s="48">
        <f>+I16+(F17*7)</f>
        <v>45001</v>
      </c>
      <c r="J17" s="18"/>
      <c r="K17" s="49">
        <f t="shared" si="0"/>
        <v>10</v>
      </c>
      <c r="L17" s="49">
        <f t="shared" si="1"/>
        <v>10</v>
      </c>
    </row>
    <row r="18" spans="2:12" ht="22.2" customHeight="1" x14ac:dyDescent="0.25">
      <c r="B18" s="34" t="s">
        <v>11</v>
      </c>
      <c r="C18" s="52">
        <v>0.1</v>
      </c>
      <c r="D18" s="51">
        <v>2</v>
      </c>
      <c r="E18" s="71">
        <f>IF(H7&gt;0,H7,IF(G7&gt;0,G7,ROUND(+C18/(SUM($C$16:$C17))*(SUM($E$16:$E17)),0)))</f>
        <v>350</v>
      </c>
      <c r="F18" s="65">
        <f t="shared" si="2"/>
        <v>5.8333333333333339</v>
      </c>
      <c r="G18" s="68">
        <f>((C39*C$35)+(D39*D$35)+(E39*E$35)+(F39*F$35))/D18</f>
        <v>16250</v>
      </c>
      <c r="H18" s="69">
        <f t="shared" si="3"/>
        <v>5687500</v>
      </c>
      <c r="I18" s="48">
        <f>+I17+(F18*7)</f>
        <v>45041.833333333336</v>
      </c>
      <c r="J18" s="18"/>
      <c r="K18" s="49">
        <f t="shared" si="0"/>
        <v>58.333333333333336</v>
      </c>
      <c r="L18" s="49">
        <f t="shared" si="1"/>
        <v>29.166666666666668</v>
      </c>
    </row>
    <row r="19" spans="2:12" ht="22.2" customHeight="1" x14ac:dyDescent="0.25">
      <c r="B19" s="34" t="s">
        <v>13</v>
      </c>
      <c r="C19" s="52">
        <v>0.3</v>
      </c>
      <c r="D19" s="51">
        <v>2</v>
      </c>
      <c r="E19" s="71">
        <f>IF(H8&gt;0,H8,IF(G8&gt;0,G8,ROUND(+C19/(SUM($C$16:$C18))*(SUM($E$16:$E18)),0)))</f>
        <v>600</v>
      </c>
      <c r="F19" s="65">
        <f t="shared" si="2"/>
        <v>10</v>
      </c>
      <c r="G19" s="68">
        <f>((C40*C$35)+(D40*D$35)+(E40*E$35)+(F40*F$35))/D19</f>
        <v>16250</v>
      </c>
      <c r="H19" s="69">
        <f t="shared" si="3"/>
        <v>9750000</v>
      </c>
      <c r="I19" s="48">
        <f>+I18+(F19*7)</f>
        <v>45111.833333333336</v>
      </c>
      <c r="J19" s="18"/>
      <c r="K19" s="49">
        <f t="shared" si="0"/>
        <v>100</v>
      </c>
      <c r="L19" s="49">
        <f t="shared" si="1"/>
        <v>50</v>
      </c>
    </row>
    <row r="20" spans="2:12" ht="22.2" customHeight="1" x14ac:dyDescent="0.25">
      <c r="B20" s="34" t="s">
        <v>15</v>
      </c>
      <c r="C20" s="52">
        <v>0.2</v>
      </c>
      <c r="D20" s="51">
        <v>2</v>
      </c>
      <c r="E20" s="71">
        <f>IF(H9&gt;0,H9,IF(G9&gt;0,G9,ROUND(+C20/(SUM($C$16:$C19))*(SUM($E$16:$E19)),0)))</f>
        <v>100</v>
      </c>
      <c r="F20" s="65">
        <f t="shared" si="2"/>
        <v>1.6666666666666667</v>
      </c>
      <c r="G20" s="68">
        <f t="shared" ref="G20" si="4">((C41*C$35)+(D41*D$35)+(E41*E$35)+(F41*F$35))/D20</f>
        <v>16250</v>
      </c>
      <c r="H20" s="69">
        <f t="shared" si="3"/>
        <v>1625000</v>
      </c>
      <c r="I20" s="48">
        <f>+I19+(F20*7)</f>
        <v>45123.5</v>
      </c>
      <c r="J20" s="18"/>
      <c r="K20" s="49">
        <f t="shared" si="0"/>
        <v>16.666666666666668</v>
      </c>
      <c r="L20" s="49">
        <f t="shared" si="1"/>
        <v>8.3333333333333339</v>
      </c>
    </row>
    <row r="21" spans="2:12" ht="22.2" customHeight="1" x14ac:dyDescent="0.25">
      <c r="B21" s="34" t="s">
        <v>17</v>
      </c>
      <c r="C21" s="52">
        <v>0.2</v>
      </c>
      <c r="D21" s="51">
        <v>1</v>
      </c>
      <c r="E21" s="72">
        <f>IF(H10&gt;0,H10,IF(G10&gt;0,G10,ROUND(+C21/(SUM($C$16:$C20))*(SUM($E$16:$E20)),0)))</f>
        <v>60</v>
      </c>
      <c r="F21" s="70">
        <f>+L21/5</f>
        <v>2</v>
      </c>
      <c r="G21" s="68">
        <f>((C42*C$35)+(D42*D$35)+(E42*E$35)+(F42*F$35))/D21</f>
        <v>32500</v>
      </c>
      <c r="H21" s="69">
        <f t="shared" si="3"/>
        <v>1950000</v>
      </c>
      <c r="I21" s="48">
        <f>+I20+(F21*7)</f>
        <v>45137.5</v>
      </c>
      <c r="J21" s="18"/>
      <c r="K21" s="50">
        <f t="shared" si="0"/>
        <v>10</v>
      </c>
      <c r="L21" s="50">
        <f t="shared" si="1"/>
        <v>10</v>
      </c>
    </row>
    <row r="22" spans="2:12" ht="22.2" customHeight="1" x14ac:dyDescent="0.25">
      <c r="B22" s="96" t="s">
        <v>12</v>
      </c>
      <c r="C22" s="97">
        <f>SUM(C16:C21)</f>
        <v>1</v>
      </c>
      <c r="D22" s="98"/>
      <c r="E22" s="99">
        <f>SUM(E16:E21)</f>
        <v>1410</v>
      </c>
      <c r="F22" s="100">
        <f>SUM(F16:F21)</f>
        <v>25.500000000000004</v>
      </c>
      <c r="G22" s="95"/>
      <c r="H22" s="101">
        <f>SUM(H16:H21)</f>
        <v>24862500</v>
      </c>
      <c r="I22" s="37"/>
      <c r="J22" s="18"/>
      <c r="K22" s="94">
        <f>SUM(K16:K21)</f>
        <v>235</v>
      </c>
      <c r="L22" s="94">
        <f>SUM(L16:L21)</f>
        <v>127.5</v>
      </c>
    </row>
    <row r="23" spans="2:12" ht="22.2" customHeight="1" x14ac:dyDescent="0.25">
      <c r="B23" s="34" t="s">
        <v>19</v>
      </c>
      <c r="C23" s="73">
        <f>+C5</f>
        <v>0.6</v>
      </c>
      <c r="D23" s="64"/>
      <c r="E23" s="71">
        <f>IF(H11&gt;0,H11,IF(G11&gt;0,G11,+F23*C23*$C$9*5))</f>
        <v>400</v>
      </c>
      <c r="F23" s="65">
        <f>+F22</f>
        <v>25.500000000000004</v>
      </c>
      <c r="G23" s="68">
        <f>+DATOS!C3</f>
        <v>7000</v>
      </c>
      <c r="H23" s="69">
        <f>+G23*E23</f>
        <v>2800000</v>
      </c>
      <c r="I23" s="18"/>
      <c r="J23" s="18"/>
      <c r="K23" s="49">
        <f>+E23/$C$9</f>
        <v>66.666666666666671</v>
      </c>
      <c r="L23" s="49">
        <f>+F23*5</f>
        <v>127.50000000000001</v>
      </c>
    </row>
    <row r="24" spans="2:12" ht="22.2" customHeight="1" x14ac:dyDescent="0.25">
      <c r="B24" s="34" t="s">
        <v>21</v>
      </c>
      <c r="C24" s="73">
        <f>+C6</f>
        <v>0.2</v>
      </c>
      <c r="D24" s="64"/>
      <c r="E24" s="71">
        <f>IF(H12&gt;0,H12,IF(G12&gt;0,G12,+F24*C24*$C$9*5))</f>
        <v>400</v>
      </c>
      <c r="F24" s="65">
        <f>+F23</f>
        <v>25.500000000000004</v>
      </c>
      <c r="G24" s="68">
        <f>+DATOS!C4</f>
        <v>6000</v>
      </c>
      <c r="H24" s="69">
        <f>+G24*E24</f>
        <v>2400000</v>
      </c>
      <c r="I24" s="18"/>
      <c r="J24" s="18"/>
      <c r="K24" s="49">
        <f>+E24/$C$9</f>
        <v>66.666666666666671</v>
      </c>
      <c r="L24" s="49">
        <f>+F24*5</f>
        <v>127.50000000000001</v>
      </c>
    </row>
    <row r="25" spans="2:12" ht="22.2" customHeight="1" x14ac:dyDescent="0.25">
      <c r="B25" s="34" t="s">
        <v>22</v>
      </c>
      <c r="C25" s="73">
        <f>+C7</f>
        <v>0.2</v>
      </c>
      <c r="D25" s="64"/>
      <c r="E25" s="72">
        <f>IF(H13&gt;0,H13,IF(G13&gt;0,G13,+F25*C25*$C$9*5))</f>
        <v>400</v>
      </c>
      <c r="F25" s="65">
        <f>+F24</f>
        <v>25.500000000000004</v>
      </c>
      <c r="G25" s="68">
        <f>+DATOS!C5</f>
        <v>5000</v>
      </c>
      <c r="H25" s="69">
        <f>+G25*E25</f>
        <v>2000000</v>
      </c>
      <c r="I25" s="18"/>
      <c r="J25" s="18"/>
      <c r="K25" s="49">
        <f>+E25/$C$9</f>
        <v>66.666666666666671</v>
      </c>
      <c r="L25" s="49">
        <f>+F25*5</f>
        <v>127.50000000000001</v>
      </c>
    </row>
    <row r="26" spans="2:12" ht="22.2" customHeight="1" x14ac:dyDescent="0.25">
      <c r="B26" s="28"/>
      <c r="C26" s="26"/>
      <c r="D26" s="92" t="s">
        <v>33</v>
      </c>
      <c r="E26" s="72">
        <f>SUM(E23:E25)</f>
        <v>1200</v>
      </c>
      <c r="F26" s="64"/>
      <c r="G26" s="64"/>
      <c r="H26" s="69">
        <f>SUM(H23:H25)</f>
        <v>7200000</v>
      </c>
      <c r="I26" s="18"/>
      <c r="J26" s="18"/>
      <c r="K26" s="18"/>
      <c r="L26" s="18"/>
    </row>
    <row r="27" spans="2:12" ht="22.2" customHeight="1" x14ac:dyDescent="0.25">
      <c r="B27" s="28"/>
      <c r="C27" s="18"/>
      <c r="D27" s="93" t="s">
        <v>34</v>
      </c>
      <c r="E27" s="72">
        <f>+E26+E22</f>
        <v>2610</v>
      </c>
      <c r="F27" s="64"/>
      <c r="G27" s="64"/>
      <c r="H27" s="69">
        <f>+H26+H22</f>
        <v>32062500</v>
      </c>
      <c r="I27" s="18"/>
      <c r="J27" s="18"/>
      <c r="K27" s="18"/>
      <c r="L27" s="18"/>
    </row>
    <row r="28" spans="2:12" ht="22.2" customHeight="1" x14ac:dyDescent="0.25">
      <c r="B28" s="28"/>
      <c r="C28" s="18"/>
      <c r="D28" s="18"/>
      <c r="E28" s="18"/>
      <c r="F28" s="18"/>
      <c r="G28" s="18"/>
      <c r="H28" s="46"/>
      <c r="I28" s="18"/>
      <c r="J28" s="27"/>
      <c r="K28" s="18"/>
      <c r="L28" s="18"/>
    </row>
    <row r="29" spans="2:12" ht="22.2" customHeight="1" x14ac:dyDescent="0.25">
      <c r="B29" s="28"/>
      <c r="C29" s="18"/>
      <c r="D29" s="18"/>
      <c r="E29" s="90"/>
      <c r="F29" s="91" t="s">
        <v>35</v>
      </c>
      <c r="G29" s="85">
        <v>0.1</v>
      </c>
      <c r="H29" s="81">
        <f>+G29*H27</f>
        <v>3206250</v>
      </c>
      <c r="I29" s="18"/>
      <c r="J29" s="27"/>
      <c r="K29" s="18"/>
      <c r="L29" s="18"/>
    </row>
    <row r="30" spans="2:12" ht="22.2" customHeight="1" x14ac:dyDescent="0.25">
      <c r="B30" s="28"/>
      <c r="C30" s="18"/>
      <c r="D30" s="18"/>
      <c r="E30" s="87"/>
      <c r="F30" s="88"/>
      <c r="G30" s="89" t="s">
        <v>36</v>
      </c>
      <c r="H30" s="83">
        <f>+H29+H27</f>
        <v>35268750</v>
      </c>
      <c r="I30" s="18"/>
      <c r="J30" s="27"/>
      <c r="K30" s="18"/>
      <c r="L30" s="18"/>
    </row>
    <row r="31" spans="2:12" ht="22.2" customHeight="1" x14ac:dyDescent="0.25">
      <c r="B31" s="29"/>
      <c r="C31" s="18"/>
      <c r="D31" s="18"/>
      <c r="E31" s="82"/>
      <c r="F31" s="56" t="s">
        <v>37</v>
      </c>
      <c r="G31" s="86">
        <f>IF(H7&gt;0,DATOS!F6,IF(H6&gt;0,DATOS!F5,IF(H5&gt;0,DATOS!F4,DATOS!F3)))</f>
        <v>-0.15</v>
      </c>
      <c r="H31" s="69">
        <f>+$H$30*(1+G31)</f>
        <v>29978437.5</v>
      </c>
      <c r="I31" s="18"/>
      <c r="J31" s="27"/>
      <c r="K31" s="18"/>
      <c r="L31" s="18"/>
    </row>
    <row r="32" spans="2:12" ht="22.2" customHeight="1" x14ac:dyDescent="0.25">
      <c r="B32" s="29"/>
      <c r="C32" s="18"/>
      <c r="D32" s="18"/>
      <c r="E32" s="82"/>
      <c r="F32" s="56" t="s">
        <v>38</v>
      </c>
      <c r="G32" s="84">
        <f>IF(H7&gt;0,DATOS!G6,IF(H6&gt;0,DATOS!G5,IF(H5&gt;0,DATOS!G4,DATOS!G3)))</f>
        <v>0.15</v>
      </c>
      <c r="H32" s="69">
        <f>+$H$30*(1+G32)</f>
        <v>40559062.5</v>
      </c>
      <c r="I32" s="18"/>
      <c r="J32" s="27"/>
      <c r="K32" s="18"/>
      <c r="L32" s="18"/>
    </row>
    <row r="33" spans="2:12" ht="22.2" customHeight="1" x14ac:dyDescent="0.25"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</row>
    <row r="34" spans="2:12" ht="55.2" customHeight="1" x14ac:dyDescent="0.25">
      <c r="B34" s="18"/>
      <c r="C34" s="44" t="s">
        <v>39</v>
      </c>
      <c r="D34" s="44" t="s">
        <v>40</v>
      </c>
      <c r="E34" s="44" t="s">
        <v>41</v>
      </c>
      <c r="F34" s="44" t="s">
        <v>42</v>
      </c>
      <c r="G34" s="44" t="s">
        <v>43</v>
      </c>
      <c r="H34" s="45" t="s">
        <v>44</v>
      </c>
      <c r="I34" s="45" t="s">
        <v>45</v>
      </c>
      <c r="J34" s="18"/>
      <c r="K34" s="18"/>
      <c r="L34" s="18"/>
    </row>
    <row r="35" spans="2:12" ht="22.2" customHeight="1" x14ac:dyDescent="0.25">
      <c r="B35" s="38" t="s">
        <v>46</v>
      </c>
      <c r="C35" s="39">
        <f>+DATOS!C6</f>
        <v>6000</v>
      </c>
      <c r="D35" s="39">
        <f>+DATOS!C7</f>
        <v>6000</v>
      </c>
      <c r="E35" s="39">
        <f>+DATOS!C8</f>
        <v>7500</v>
      </c>
      <c r="F35" s="39">
        <f>+DATOS!C9</f>
        <v>6500</v>
      </c>
      <c r="G35" s="39">
        <v>3000</v>
      </c>
      <c r="H35" s="40"/>
      <c r="I35" s="40"/>
      <c r="J35" s="18"/>
      <c r="K35" s="18"/>
      <c r="L35" s="18"/>
    </row>
    <row r="36" spans="2:12" ht="22.2" customHeight="1" x14ac:dyDescent="0.25">
      <c r="B36" s="35" t="s">
        <v>47</v>
      </c>
      <c r="C36" s="36"/>
      <c r="D36" s="37"/>
      <c r="E36" s="37"/>
      <c r="F36" s="37"/>
      <c r="G36" s="37"/>
      <c r="H36" s="37"/>
      <c r="I36" s="37"/>
      <c r="J36" s="18"/>
      <c r="K36" s="18"/>
      <c r="L36" s="18"/>
    </row>
    <row r="37" spans="2:12" ht="22.2" customHeight="1" x14ac:dyDescent="0.25">
      <c r="B37" s="1" t="s">
        <v>48</v>
      </c>
      <c r="C37" s="53">
        <v>1</v>
      </c>
      <c r="D37" s="53">
        <v>1</v>
      </c>
      <c r="E37" s="53">
        <v>1</v>
      </c>
      <c r="F37" s="53">
        <v>2</v>
      </c>
      <c r="G37" s="53">
        <v>1</v>
      </c>
      <c r="H37" s="54">
        <f t="shared" ref="H37:H42" si="5">SUM(C37:G37)-D16</f>
        <v>4</v>
      </c>
      <c r="I37" s="103">
        <f t="shared" ref="I37:I42" si="6">SUM(C37:F37)/D16*E16</f>
        <v>600</v>
      </c>
      <c r="J37" s="18"/>
      <c r="K37" s="18"/>
      <c r="L37" s="18"/>
    </row>
    <row r="38" spans="2:12" ht="22.2" customHeight="1" x14ac:dyDescent="0.25">
      <c r="B38" s="1" t="s">
        <v>49</v>
      </c>
      <c r="C38" s="53">
        <v>1</v>
      </c>
      <c r="D38" s="53">
        <v>1</v>
      </c>
      <c r="E38" s="53">
        <v>1</v>
      </c>
      <c r="F38" s="53">
        <v>2</v>
      </c>
      <c r="G38" s="53">
        <v>1</v>
      </c>
      <c r="H38" s="54">
        <f t="shared" si="5"/>
        <v>5</v>
      </c>
      <c r="I38" s="103">
        <f t="shared" si="6"/>
        <v>300</v>
      </c>
      <c r="J38" s="18"/>
      <c r="K38" s="18"/>
      <c r="L38" s="18"/>
    </row>
    <row r="39" spans="2:12" ht="22.2" customHeight="1" x14ac:dyDescent="0.25">
      <c r="B39" s="1" t="s">
        <v>50</v>
      </c>
      <c r="C39" s="53">
        <v>1</v>
      </c>
      <c r="D39" s="53">
        <v>1</v>
      </c>
      <c r="E39" s="53">
        <v>1</v>
      </c>
      <c r="F39" s="53">
        <v>2</v>
      </c>
      <c r="G39" s="53">
        <v>1</v>
      </c>
      <c r="H39" s="54">
        <f t="shared" si="5"/>
        <v>4</v>
      </c>
      <c r="I39" s="103">
        <f t="shared" si="6"/>
        <v>875</v>
      </c>
      <c r="J39" s="18"/>
      <c r="K39" s="18"/>
      <c r="L39" s="18"/>
    </row>
    <row r="40" spans="2:12" ht="22.2" customHeight="1" x14ac:dyDescent="0.25">
      <c r="B40" s="1" t="s">
        <v>51</v>
      </c>
      <c r="C40" s="53">
        <v>1</v>
      </c>
      <c r="D40" s="53">
        <v>1</v>
      </c>
      <c r="E40" s="53">
        <v>1</v>
      </c>
      <c r="F40" s="53">
        <v>2</v>
      </c>
      <c r="G40" s="53">
        <v>1</v>
      </c>
      <c r="H40" s="54">
        <f t="shared" si="5"/>
        <v>4</v>
      </c>
      <c r="I40" s="103">
        <f t="shared" si="6"/>
        <v>1500</v>
      </c>
      <c r="J40" s="18"/>
      <c r="K40" s="18"/>
      <c r="L40" s="18"/>
    </row>
    <row r="41" spans="2:12" ht="22.2" customHeight="1" x14ac:dyDescent="0.25">
      <c r="B41" s="1" t="s">
        <v>52</v>
      </c>
      <c r="C41" s="53">
        <v>1</v>
      </c>
      <c r="D41" s="53">
        <v>1</v>
      </c>
      <c r="E41" s="53">
        <v>1</v>
      </c>
      <c r="F41" s="53">
        <v>2</v>
      </c>
      <c r="G41" s="53">
        <v>1</v>
      </c>
      <c r="H41" s="54">
        <f t="shared" si="5"/>
        <v>4</v>
      </c>
      <c r="I41" s="103">
        <f t="shared" si="6"/>
        <v>250</v>
      </c>
      <c r="J41" s="18"/>
      <c r="K41" s="18"/>
      <c r="L41" s="18"/>
    </row>
    <row r="42" spans="2:12" ht="22.2" customHeight="1" x14ac:dyDescent="0.25">
      <c r="B42" s="1" t="s">
        <v>53</v>
      </c>
      <c r="C42" s="53">
        <v>1</v>
      </c>
      <c r="D42" s="53">
        <v>1</v>
      </c>
      <c r="E42" s="53">
        <v>1</v>
      </c>
      <c r="F42" s="53">
        <v>2</v>
      </c>
      <c r="G42" s="53">
        <v>1</v>
      </c>
      <c r="H42" s="55">
        <f t="shared" si="5"/>
        <v>5</v>
      </c>
      <c r="I42" s="103">
        <f t="shared" si="6"/>
        <v>300</v>
      </c>
      <c r="J42" s="18"/>
      <c r="K42" s="18"/>
      <c r="L42" s="18"/>
    </row>
    <row r="43" spans="2:12" ht="22.2" customHeight="1" x14ac:dyDescent="0.25">
      <c r="B43" s="18"/>
      <c r="C43" s="18"/>
      <c r="D43" s="18"/>
      <c r="E43" s="18"/>
      <c r="F43" s="18"/>
      <c r="G43" s="74"/>
      <c r="H43" s="75" t="s">
        <v>54</v>
      </c>
      <c r="I43" s="104">
        <f>SUM(I37:I42)</f>
        <v>3825</v>
      </c>
      <c r="J43" s="18"/>
      <c r="K43" s="18"/>
      <c r="L43" s="18"/>
    </row>
    <row r="44" spans="2:12" ht="22.2" customHeight="1" x14ac:dyDescent="0.25">
      <c r="B44" s="18"/>
      <c r="C44" s="18"/>
      <c r="D44" s="18"/>
      <c r="E44" s="18"/>
      <c r="F44" s="18"/>
      <c r="G44" s="76"/>
      <c r="H44" s="77" t="s">
        <v>55</v>
      </c>
      <c r="I44" s="105">
        <f>SUM(E23:E25)</f>
        <v>1200</v>
      </c>
      <c r="J44" s="18"/>
      <c r="K44" s="18"/>
      <c r="L44" s="18"/>
    </row>
    <row r="45" spans="2:12" ht="22.2" customHeight="1" x14ac:dyDescent="0.25">
      <c r="B45" s="18"/>
      <c r="C45" s="18"/>
      <c r="D45" s="18"/>
      <c r="E45" s="18"/>
      <c r="F45" s="18"/>
      <c r="G45" s="78"/>
      <c r="H45" s="77" t="s">
        <v>56</v>
      </c>
      <c r="I45" s="105">
        <f>+I44+I43</f>
        <v>5025</v>
      </c>
      <c r="J45" s="18"/>
      <c r="K45" s="18"/>
      <c r="L45" s="18"/>
    </row>
    <row r="46" spans="2:12" s="9" customFormat="1" x14ac:dyDescent="0.25"/>
  </sheetData>
  <mergeCells count="11">
    <mergeCell ref="E10:F10"/>
    <mergeCell ref="E12:F12"/>
    <mergeCell ref="E13:F13"/>
    <mergeCell ref="D2:E2"/>
    <mergeCell ref="E7:F7"/>
    <mergeCell ref="E4:F4"/>
    <mergeCell ref="E8:F8"/>
    <mergeCell ref="E9:F9"/>
    <mergeCell ref="E6:F6"/>
    <mergeCell ref="E5:F5"/>
    <mergeCell ref="E11:F11"/>
  </mergeCells>
  <pageMargins left="0.3" right="0.3" top="0.3" bottom="0.3" header="0" footer="0"/>
  <pageSetup scale="78" fitToHeight="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DADB9-B469-46C4-9209-7114FB3A1F76}">
  <dimension ref="A1:T13"/>
  <sheetViews>
    <sheetView workbookViewId="0">
      <selection activeCell="D4" sqref="D4:D8"/>
    </sheetView>
  </sheetViews>
  <sheetFormatPr baseColWidth="10" defaultRowHeight="15.6" x14ac:dyDescent="0.3"/>
  <cols>
    <col min="1" max="2" width="4.69921875" customWidth="1"/>
    <col min="3" max="3" width="59.09765625" customWidth="1"/>
    <col min="4" max="4" width="24.69921875" customWidth="1"/>
    <col min="5" max="5" width="30" customWidth="1"/>
    <col min="6" max="6" width="31" customWidth="1"/>
    <col min="8" max="8" width="24.5" customWidth="1"/>
  </cols>
  <sheetData>
    <row r="1" spans="1:20" s="5" customFormat="1" ht="49.95" customHeight="1" x14ac:dyDescent="0.3">
      <c r="A1" s="2"/>
      <c r="B1" s="160" t="s">
        <v>0</v>
      </c>
      <c r="C1" s="160"/>
      <c r="D1" s="160"/>
      <c r="E1" s="160"/>
      <c r="F1" s="6"/>
      <c r="G1" s="6"/>
      <c r="H1" s="6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3" spans="1:20" ht="38.4" customHeight="1" x14ac:dyDescent="0.3">
      <c r="B3" s="156" t="s">
        <v>67</v>
      </c>
      <c r="C3" s="157"/>
      <c r="D3" s="44" t="s">
        <v>72</v>
      </c>
      <c r="E3" s="44" t="s">
        <v>68</v>
      </c>
      <c r="F3" s="44" t="s">
        <v>82</v>
      </c>
    </row>
    <row r="4" spans="1:20" ht="17.399999999999999" thickBot="1" x14ac:dyDescent="0.35">
      <c r="B4" s="108">
        <v>1</v>
      </c>
      <c r="C4" s="112" t="s">
        <v>73</v>
      </c>
      <c r="D4" s="113">
        <v>50000</v>
      </c>
      <c r="E4" s="113">
        <v>100000</v>
      </c>
      <c r="F4" s="114">
        <f>SUM(D4,E4,)</f>
        <v>150000</v>
      </c>
    </row>
    <row r="5" spans="1:20" ht="17.399999999999999" thickBot="1" x14ac:dyDescent="0.35">
      <c r="B5" s="108">
        <v>2</v>
      </c>
      <c r="C5" s="112" t="s">
        <v>74</v>
      </c>
      <c r="D5" s="113">
        <v>50000</v>
      </c>
      <c r="E5" s="113">
        <v>100000</v>
      </c>
      <c r="F5" s="114">
        <f t="shared" ref="F5:F12" si="0">SUM(D5,E5,)</f>
        <v>150000</v>
      </c>
    </row>
    <row r="6" spans="1:20" ht="17.399999999999999" thickBot="1" x14ac:dyDescent="0.35">
      <c r="B6" s="108">
        <v>3</v>
      </c>
      <c r="C6" s="112" t="s">
        <v>75</v>
      </c>
      <c r="D6" s="113">
        <v>50000</v>
      </c>
      <c r="E6" s="113">
        <v>100000</v>
      </c>
      <c r="F6" s="114">
        <f t="shared" si="0"/>
        <v>150000</v>
      </c>
    </row>
    <row r="7" spans="1:20" ht="17.399999999999999" thickBot="1" x14ac:dyDescent="0.35">
      <c r="B7" s="108">
        <v>4</v>
      </c>
      <c r="C7" s="112" t="s">
        <v>76</v>
      </c>
      <c r="D7" s="113">
        <v>50000</v>
      </c>
      <c r="E7" s="113">
        <v>100000</v>
      </c>
      <c r="F7" s="114">
        <f t="shared" si="0"/>
        <v>150000</v>
      </c>
    </row>
    <row r="8" spans="1:20" ht="17.399999999999999" thickBot="1" x14ac:dyDescent="0.35">
      <c r="B8" s="108">
        <v>5</v>
      </c>
      <c r="C8" s="112" t="s">
        <v>77</v>
      </c>
      <c r="D8" s="113">
        <v>50000</v>
      </c>
      <c r="E8" s="113">
        <v>100000</v>
      </c>
      <c r="F8" s="114">
        <f t="shared" si="0"/>
        <v>150000</v>
      </c>
    </row>
    <row r="9" spans="1:20" ht="17.399999999999999" thickBot="1" x14ac:dyDescent="0.35">
      <c r="B9" s="108">
        <v>6</v>
      </c>
      <c r="C9" s="112" t="s">
        <v>78</v>
      </c>
      <c r="D9" s="113">
        <v>50000</v>
      </c>
      <c r="E9" s="113">
        <v>100000</v>
      </c>
      <c r="F9" s="114">
        <f t="shared" si="0"/>
        <v>150000</v>
      </c>
    </row>
    <row r="10" spans="1:20" ht="17.399999999999999" thickBot="1" x14ac:dyDescent="0.35">
      <c r="B10" s="108">
        <v>7</v>
      </c>
      <c r="C10" s="112" t="s">
        <v>79</v>
      </c>
      <c r="D10" s="113">
        <v>50000</v>
      </c>
      <c r="E10" s="113">
        <v>100000</v>
      </c>
      <c r="F10" s="114">
        <f t="shared" si="0"/>
        <v>150000</v>
      </c>
    </row>
    <row r="11" spans="1:20" ht="17.399999999999999" thickBot="1" x14ac:dyDescent="0.35">
      <c r="B11" s="108">
        <v>8</v>
      </c>
      <c r="C11" s="112" t="s">
        <v>80</v>
      </c>
      <c r="D11" s="113">
        <v>50000</v>
      </c>
      <c r="E11" s="113">
        <v>100000</v>
      </c>
      <c r="F11" s="114">
        <f t="shared" si="0"/>
        <v>150000</v>
      </c>
    </row>
    <row r="12" spans="1:20" ht="17.399999999999999" thickBot="1" x14ac:dyDescent="0.35">
      <c r="B12" s="108">
        <v>9</v>
      </c>
      <c r="C12" s="112" t="s">
        <v>81</v>
      </c>
      <c r="D12" s="113">
        <v>50000</v>
      </c>
      <c r="E12" s="113">
        <v>100000</v>
      </c>
      <c r="F12" s="114">
        <f t="shared" si="0"/>
        <v>150000</v>
      </c>
    </row>
    <row r="13" spans="1:20" x14ac:dyDescent="0.3">
      <c r="B13" s="158" t="s">
        <v>69</v>
      </c>
      <c r="C13" s="159"/>
      <c r="D13" s="106">
        <f>SUM(D4:D12)</f>
        <v>450000</v>
      </c>
      <c r="E13" s="106">
        <f>SUM(E4:E12)</f>
        <v>900000</v>
      </c>
      <c r="F13" s="106">
        <f>SUM(F4:F12)</f>
        <v>1350000</v>
      </c>
    </row>
  </sheetData>
  <mergeCells count="3">
    <mergeCell ref="B3:C3"/>
    <mergeCell ref="B13:C13"/>
    <mergeCell ref="B1:E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D6DC-514F-436A-8CF3-ED9454ECE7DA}">
  <dimension ref="A1:T8"/>
  <sheetViews>
    <sheetView workbookViewId="0">
      <selection activeCell="D7" sqref="D7"/>
    </sheetView>
  </sheetViews>
  <sheetFormatPr baseColWidth="10" defaultRowHeight="15.6" x14ac:dyDescent="0.3"/>
  <cols>
    <col min="2" max="2" width="28.3984375" bestFit="1" customWidth="1"/>
    <col min="3" max="3" width="1.3984375" customWidth="1"/>
    <col min="4" max="4" width="13.5" customWidth="1"/>
  </cols>
  <sheetData>
    <row r="1" spans="1:20" s="5" customFormat="1" ht="49.95" customHeight="1" x14ac:dyDescent="0.3">
      <c r="A1" s="2"/>
      <c r="B1" s="160" t="s">
        <v>0</v>
      </c>
      <c r="C1" s="160"/>
      <c r="D1" s="160"/>
      <c r="E1" s="160"/>
      <c r="F1" s="160"/>
      <c r="G1" s="160"/>
      <c r="H1" s="160"/>
      <c r="I1" s="160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3" spans="1:20" x14ac:dyDescent="0.3">
      <c r="B3" s="107" t="s">
        <v>70</v>
      </c>
      <c r="D3" s="109">
        <f>'Costos Software'!H32</f>
        <v>40559062.5</v>
      </c>
    </row>
    <row r="4" spans="1:20" x14ac:dyDescent="0.3">
      <c r="B4" s="107" t="s">
        <v>66</v>
      </c>
      <c r="D4" s="109">
        <f>'Materiales y Consumibles'!E13</f>
        <v>900000</v>
      </c>
    </row>
    <row r="5" spans="1:20" x14ac:dyDescent="0.3">
      <c r="B5" s="107" t="s">
        <v>71</v>
      </c>
      <c r="D5" s="109">
        <f>'Materiales y Consumibles'!F13</f>
        <v>1350000</v>
      </c>
    </row>
    <row r="6" spans="1:20" x14ac:dyDescent="0.3">
      <c r="B6" s="107" t="s">
        <v>140</v>
      </c>
      <c r="D6" s="109">
        <f>'Evaluación Financiera'!E9</f>
        <v>3209700</v>
      </c>
    </row>
    <row r="7" spans="1:20" ht="4.2" customHeight="1" x14ac:dyDescent="0.3">
      <c r="D7" s="110"/>
    </row>
    <row r="8" spans="1:20" x14ac:dyDescent="0.3">
      <c r="B8" s="107" t="s">
        <v>69</v>
      </c>
      <c r="D8" s="111">
        <f>SUM(D3:D7)</f>
        <v>46018762.5</v>
      </c>
    </row>
  </sheetData>
  <mergeCells count="1">
    <mergeCell ref="B1:I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70718-3B9B-48A8-916B-077155EA667E}">
  <dimension ref="B2:Q38"/>
  <sheetViews>
    <sheetView topLeftCell="A4" workbookViewId="0">
      <selection activeCell="F33" sqref="F33:G34"/>
    </sheetView>
  </sheetViews>
  <sheetFormatPr baseColWidth="10" defaultColWidth="10.09765625" defaultRowHeight="13.8" x14ac:dyDescent="0.3"/>
  <cols>
    <col min="1" max="1" width="2.69921875" style="115" customWidth="1"/>
    <col min="2" max="2" width="24.3984375" style="115" customWidth="1"/>
    <col min="3" max="4" width="10.09765625" style="115"/>
    <col min="5" max="5" width="16.19921875" style="115" customWidth="1"/>
    <col min="6" max="6" width="9.5" style="115" customWidth="1"/>
    <col min="7" max="7" width="12.5" style="115" customWidth="1"/>
    <col min="8" max="8" width="7.19921875" style="115" customWidth="1"/>
    <col min="9" max="9" width="9.69921875" style="115" customWidth="1"/>
    <col min="10" max="10" width="7" style="115" customWidth="1"/>
    <col min="11" max="11" width="8.5" style="115" customWidth="1"/>
    <col min="12" max="12" width="8" style="115" customWidth="1"/>
    <col min="13" max="13" width="8.5" style="115" customWidth="1"/>
    <col min="14" max="14" width="7.09765625" style="115" customWidth="1"/>
    <col min="15" max="16" width="10.09765625" style="115"/>
    <col min="17" max="17" width="12" style="115" customWidth="1"/>
    <col min="18" max="16384" width="10.09765625" style="115"/>
  </cols>
  <sheetData>
    <row r="2" spans="2:17" ht="31.2" x14ac:dyDescent="0.6">
      <c r="B2" s="173" t="s">
        <v>125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  <c r="P2" s="173"/>
      <c r="Q2" s="173"/>
    </row>
    <row r="4" spans="2:17" ht="28.95" customHeight="1" x14ac:dyDescent="0.3">
      <c r="B4" s="163" t="s">
        <v>119</v>
      </c>
      <c r="C4" s="163"/>
      <c r="D4" s="164" t="s">
        <v>124</v>
      </c>
      <c r="E4" s="164"/>
      <c r="F4" s="164"/>
      <c r="G4" s="164"/>
      <c r="H4" s="164"/>
      <c r="I4" s="164"/>
      <c r="J4" s="164"/>
      <c r="K4" s="164"/>
      <c r="L4" s="164"/>
      <c r="M4" s="164"/>
      <c r="N4" s="164"/>
      <c r="O4" s="164"/>
      <c r="P4" s="164"/>
      <c r="Q4" s="164"/>
    </row>
    <row r="5" spans="2:17" ht="27.6" x14ac:dyDescent="0.3">
      <c r="B5" s="122" t="s">
        <v>117</v>
      </c>
      <c r="C5" s="161" t="s">
        <v>116</v>
      </c>
      <c r="D5" s="162"/>
      <c r="E5" s="161" t="s">
        <v>115</v>
      </c>
      <c r="F5" s="162"/>
      <c r="G5" s="161" t="s">
        <v>114</v>
      </c>
      <c r="H5" s="162"/>
      <c r="I5" s="161" t="s">
        <v>113</v>
      </c>
      <c r="J5" s="162"/>
      <c r="K5" s="161" t="s">
        <v>112</v>
      </c>
      <c r="L5" s="162"/>
      <c r="M5" s="161" t="s">
        <v>111</v>
      </c>
      <c r="N5" s="162"/>
      <c r="O5" s="161" t="s">
        <v>110</v>
      </c>
      <c r="P5" s="162"/>
      <c r="Q5" s="122" t="s">
        <v>109</v>
      </c>
    </row>
    <row r="6" spans="2:17" x14ac:dyDescent="0.3">
      <c r="B6" s="116"/>
      <c r="C6" s="120" t="s">
        <v>108</v>
      </c>
      <c r="D6" s="119">
        <v>0.3</v>
      </c>
      <c r="E6" s="120" t="s">
        <v>108</v>
      </c>
      <c r="F6" s="119">
        <v>0</v>
      </c>
      <c r="G6" s="120" t="s">
        <v>108</v>
      </c>
      <c r="H6" s="124">
        <v>0</v>
      </c>
      <c r="I6" s="120" t="s">
        <v>108</v>
      </c>
      <c r="J6" s="124">
        <v>0</v>
      </c>
      <c r="K6" s="120" t="s">
        <v>108</v>
      </c>
      <c r="L6" s="124">
        <v>0.7</v>
      </c>
      <c r="M6" s="120" t="s">
        <v>108</v>
      </c>
      <c r="N6" s="124">
        <f>'[2]Hoja de Caracteristicas'!L20</f>
        <v>0.1</v>
      </c>
      <c r="O6" s="120" t="s">
        <v>108</v>
      </c>
      <c r="P6" s="119">
        <v>0</v>
      </c>
      <c r="Q6" s="116"/>
    </row>
    <row r="7" spans="2:17" x14ac:dyDescent="0.3">
      <c r="B7" s="116" t="s">
        <v>123</v>
      </c>
      <c r="C7" s="117">
        <v>4</v>
      </c>
      <c r="D7" s="117">
        <f>C7*$D$6</f>
        <v>1.2</v>
      </c>
      <c r="E7" s="117">
        <v>5</v>
      </c>
      <c r="F7" s="117">
        <f>E7*$F$6</f>
        <v>0</v>
      </c>
      <c r="G7" s="117">
        <v>4</v>
      </c>
      <c r="H7" s="117">
        <f>G7*$H$6</f>
        <v>0</v>
      </c>
      <c r="I7" s="117">
        <v>4</v>
      </c>
      <c r="J7" s="117">
        <f>I7*$J$6</f>
        <v>0</v>
      </c>
      <c r="K7" s="117">
        <v>5</v>
      </c>
      <c r="L7" s="117">
        <f>K7*$L$6</f>
        <v>3.5</v>
      </c>
      <c r="M7" s="117">
        <v>5</v>
      </c>
      <c r="N7" s="117">
        <f>M7*$N$6</f>
        <v>0.5</v>
      </c>
      <c r="O7" s="117">
        <v>5</v>
      </c>
      <c r="P7" s="117">
        <f>O7*$P$6</f>
        <v>0</v>
      </c>
      <c r="Q7" s="117">
        <f>SUM(D7+F7+H7+J7+L7+N7+P7)</f>
        <v>5.2</v>
      </c>
    </row>
    <row r="8" spans="2:17" x14ac:dyDescent="0.3">
      <c r="B8" s="116" t="s">
        <v>121</v>
      </c>
      <c r="C8" s="117">
        <v>5</v>
      </c>
      <c r="D8" s="117">
        <f>C8*$D$6</f>
        <v>1.5</v>
      </c>
      <c r="E8" s="117">
        <v>4</v>
      </c>
      <c r="F8" s="117">
        <f>E8*$F$6</f>
        <v>0</v>
      </c>
      <c r="G8" s="117">
        <v>4</v>
      </c>
      <c r="H8" s="117">
        <f>G8*$H$6</f>
        <v>0</v>
      </c>
      <c r="I8" s="117">
        <v>3</v>
      </c>
      <c r="J8" s="117">
        <f>I8*$J$6</f>
        <v>0</v>
      </c>
      <c r="K8" s="117">
        <v>5</v>
      </c>
      <c r="L8" s="117">
        <f>K8*$L$6</f>
        <v>3.5</v>
      </c>
      <c r="M8" s="117">
        <v>5</v>
      </c>
      <c r="N8" s="117">
        <f>M8*$N$6</f>
        <v>0.5</v>
      </c>
      <c r="O8" s="117">
        <v>5</v>
      </c>
      <c r="P8" s="117">
        <f>O8*$P$6</f>
        <v>0</v>
      </c>
      <c r="Q8" s="118">
        <f>SUM(D8+F8+H8+J8+L8+N8+P8)</f>
        <v>5.5</v>
      </c>
    </row>
    <row r="9" spans="2:17" x14ac:dyDescent="0.3">
      <c r="B9" s="116" t="s">
        <v>105</v>
      </c>
      <c r="C9" s="117">
        <v>5</v>
      </c>
      <c r="D9" s="117">
        <f>C9*$D$6</f>
        <v>1.5</v>
      </c>
      <c r="E9" s="117">
        <v>4</v>
      </c>
      <c r="F9" s="117">
        <f>E9*$F$6</f>
        <v>0</v>
      </c>
      <c r="G9" s="117">
        <v>5</v>
      </c>
      <c r="H9" s="117">
        <f>G9*$H$6</f>
        <v>0</v>
      </c>
      <c r="I9" s="117">
        <v>5</v>
      </c>
      <c r="J9" s="117">
        <f>I9*$J$6</f>
        <v>0</v>
      </c>
      <c r="K9" s="117">
        <v>5</v>
      </c>
      <c r="L9" s="117">
        <f>K9*$L$6</f>
        <v>3.5</v>
      </c>
      <c r="M9" s="117">
        <v>5</v>
      </c>
      <c r="N9" s="117">
        <f>M9*$N$6</f>
        <v>0.5</v>
      </c>
      <c r="O9" s="117">
        <v>2</v>
      </c>
      <c r="P9" s="117">
        <f>O9*$P$6</f>
        <v>0</v>
      </c>
      <c r="Q9" s="118">
        <f>SUM(D9+F9+H9+J9+L9+N9+P9)</f>
        <v>5.5</v>
      </c>
    </row>
    <row r="10" spans="2:17" x14ac:dyDescent="0.3">
      <c r="B10" s="116" t="s">
        <v>120</v>
      </c>
      <c r="C10" s="117">
        <v>5</v>
      </c>
      <c r="D10" s="117">
        <f>C10*$D$6</f>
        <v>1.5</v>
      </c>
      <c r="E10" s="117">
        <v>5</v>
      </c>
      <c r="F10" s="117">
        <f>E10*$F$6</f>
        <v>0</v>
      </c>
      <c r="G10" s="117">
        <v>5</v>
      </c>
      <c r="H10" s="117">
        <f>G10*$H$6</f>
        <v>0</v>
      </c>
      <c r="I10" s="117">
        <v>5</v>
      </c>
      <c r="J10" s="117">
        <f>I10*$J$6</f>
        <v>0</v>
      </c>
      <c r="K10" s="117">
        <v>2</v>
      </c>
      <c r="L10" s="117">
        <f>K10*$L$6</f>
        <v>1.4</v>
      </c>
      <c r="M10" s="117">
        <v>5</v>
      </c>
      <c r="N10" s="117">
        <f>M10*$N$6</f>
        <v>0.5</v>
      </c>
      <c r="O10" s="117">
        <v>4</v>
      </c>
      <c r="P10" s="117">
        <f>O10*$P$6</f>
        <v>0</v>
      </c>
      <c r="Q10" s="117">
        <f>SUM(D10+F10+H10+J10+L10+N10+P10)</f>
        <v>3.4</v>
      </c>
    </row>
    <row r="11" spans="2:17" x14ac:dyDescent="0.3">
      <c r="B11" s="116"/>
      <c r="C11" s="116"/>
      <c r="D11" s="116"/>
      <c r="E11" s="116"/>
      <c r="F11" s="116"/>
      <c r="G11" s="116"/>
      <c r="H11" s="116"/>
      <c r="I11" s="116"/>
      <c r="J11" s="116"/>
      <c r="K11" s="116"/>
      <c r="L11" s="116"/>
      <c r="M11" s="116"/>
      <c r="N11" s="116"/>
      <c r="O11" s="116"/>
      <c r="P11" s="116"/>
      <c r="Q11" s="116"/>
    </row>
    <row r="13" spans="2:17" ht="32.4" customHeight="1" x14ac:dyDescent="0.3">
      <c r="B13" s="163" t="s">
        <v>119</v>
      </c>
      <c r="C13" s="163"/>
      <c r="D13" s="164" t="s">
        <v>122</v>
      </c>
      <c r="E13" s="164"/>
      <c r="F13" s="164"/>
      <c r="G13" s="164"/>
      <c r="H13" s="164"/>
      <c r="I13" s="164"/>
      <c r="J13" s="164"/>
      <c r="K13" s="164"/>
      <c r="L13" s="164"/>
      <c r="M13" s="164"/>
      <c r="N13" s="164"/>
      <c r="O13" s="164"/>
      <c r="P13" s="164"/>
      <c r="Q13" s="164"/>
    </row>
    <row r="14" spans="2:17" ht="27.6" customHeight="1" x14ac:dyDescent="0.3">
      <c r="B14" s="122" t="s">
        <v>117</v>
      </c>
      <c r="C14" s="161" t="s">
        <v>116</v>
      </c>
      <c r="D14" s="162"/>
      <c r="E14" s="161" t="s">
        <v>115</v>
      </c>
      <c r="F14" s="162"/>
      <c r="G14" s="161" t="s">
        <v>114</v>
      </c>
      <c r="H14" s="162"/>
      <c r="I14" s="161" t="s">
        <v>113</v>
      </c>
      <c r="J14" s="162"/>
      <c r="K14" s="161" t="s">
        <v>112</v>
      </c>
      <c r="L14" s="162"/>
      <c r="M14" s="161" t="s">
        <v>111</v>
      </c>
      <c r="N14" s="162"/>
      <c r="O14" s="161" t="s">
        <v>110</v>
      </c>
      <c r="P14" s="162"/>
      <c r="Q14" s="122" t="s">
        <v>109</v>
      </c>
    </row>
    <row r="15" spans="2:17" ht="13.95" customHeight="1" x14ac:dyDescent="0.3">
      <c r="B15" s="116"/>
      <c r="C15" s="120" t="s">
        <v>108</v>
      </c>
      <c r="D15" s="119">
        <f>'[2]Hoja de Caracteristicas'!L11</f>
        <v>0</v>
      </c>
      <c r="E15" s="120" t="s">
        <v>108</v>
      </c>
      <c r="F15" s="119">
        <f>'[2]Hoja de Caracteristicas'!L15</f>
        <v>0</v>
      </c>
      <c r="G15" s="120" t="s">
        <v>108</v>
      </c>
      <c r="H15" s="121">
        <f>'[2]Hoja de Caracteristicas'!L19</f>
        <v>0</v>
      </c>
      <c r="I15" s="120" t="s">
        <v>108</v>
      </c>
      <c r="J15" s="121">
        <f>'[2]Hoja de Caracteristicas'!L23</f>
        <v>0</v>
      </c>
      <c r="K15" s="120" t="s">
        <v>108</v>
      </c>
      <c r="L15" s="121">
        <f>'[2]Hoja de Caracteristicas'!L27</f>
        <v>0</v>
      </c>
      <c r="M15" s="120" t="s">
        <v>108</v>
      </c>
      <c r="N15" s="121">
        <f>'[2]Hoja de Caracteristicas'!L29</f>
        <v>0</v>
      </c>
      <c r="O15" s="120" t="s">
        <v>108</v>
      </c>
      <c r="P15" s="119">
        <f>'[2]Hoja de Caracteristicas'!L33</f>
        <v>0</v>
      </c>
      <c r="Q15" s="116"/>
    </row>
    <row r="16" spans="2:17" x14ac:dyDescent="0.3">
      <c r="B16" s="116" t="s">
        <v>107</v>
      </c>
      <c r="C16" s="117">
        <v>2</v>
      </c>
      <c r="D16" s="117">
        <f>C16*$D$6</f>
        <v>0.6</v>
      </c>
      <c r="E16" s="117">
        <v>5</v>
      </c>
      <c r="F16" s="117">
        <f>E16*$F$6</f>
        <v>0</v>
      </c>
      <c r="G16" s="117">
        <v>4</v>
      </c>
      <c r="H16" s="117">
        <f>G16*$H$6</f>
        <v>0</v>
      </c>
      <c r="I16" s="117">
        <v>4</v>
      </c>
      <c r="J16" s="117">
        <f>I16*$J$6</f>
        <v>0</v>
      </c>
      <c r="K16" s="117">
        <v>5</v>
      </c>
      <c r="L16" s="117">
        <f>K16*$L$6</f>
        <v>3.5</v>
      </c>
      <c r="M16" s="117">
        <v>5</v>
      </c>
      <c r="N16" s="117">
        <f>M16*$N$6</f>
        <v>0.5</v>
      </c>
      <c r="O16" s="117">
        <v>5</v>
      </c>
      <c r="P16" s="117">
        <f>O16*$P$6</f>
        <v>0</v>
      </c>
      <c r="Q16" s="117">
        <f>SUM(D16+F16+H16+J16+L16+N16+P16)</f>
        <v>4.5999999999999996</v>
      </c>
    </row>
    <row r="17" spans="2:17" ht="13.95" customHeight="1" x14ac:dyDescent="0.3">
      <c r="B17" s="116" t="s">
        <v>121</v>
      </c>
      <c r="C17" s="117">
        <v>4</v>
      </c>
      <c r="D17" s="117">
        <f>C17*$D$6</f>
        <v>1.2</v>
      </c>
      <c r="E17" s="117">
        <v>4</v>
      </c>
      <c r="F17" s="117">
        <f>E17*$F$6</f>
        <v>0</v>
      </c>
      <c r="G17" s="117">
        <v>4</v>
      </c>
      <c r="H17" s="117">
        <f>G17*$H$6</f>
        <v>0</v>
      </c>
      <c r="I17" s="117">
        <v>3</v>
      </c>
      <c r="J17" s="117">
        <f>I17*$J$6</f>
        <v>0</v>
      </c>
      <c r="K17" s="117">
        <v>5</v>
      </c>
      <c r="L17" s="117">
        <f>K17*$L$6</f>
        <v>3.5</v>
      </c>
      <c r="M17" s="117">
        <v>5</v>
      </c>
      <c r="N17" s="117">
        <f>M17*$N$6</f>
        <v>0.5</v>
      </c>
      <c r="O17" s="117">
        <v>5</v>
      </c>
      <c r="P17" s="117">
        <f>O17*$P$6</f>
        <v>0</v>
      </c>
      <c r="Q17" s="123">
        <f>SUM(D17+F17+H17+J17+L17+N17+P17)</f>
        <v>5.2</v>
      </c>
    </row>
    <row r="18" spans="2:17" ht="13.95" customHeight="1" x14ac:dyDescent="0.3">
      <c r="B18" s="116" t="s">
        <v>105</v>
      </c>
      <c r="C18" s="117">
        <v>5</v>
      </c>
      <c r="D18" s="117">
        <f>C18*$D$6</f>
        <v>1.5</v>
      </c>
      <c r="E18" s="117">
        <v>4</v>
      </c>
      <c r="F18" s="117">
        <f>E18*$F$6</f>
        <v>0</v>
      </c>
      <c r="G18" s="117">
        <v>4</v>
      </c>
      <c r="H18" s="117">
        <f>G18*$H$6</f>
        <v>0</v>
      </c>
      <c r="I18" s="117">
        <v>5</v>
      </c>
      <c r="J18" s="117">
        <f>I18*$J$6</f>
        <v>0</v>
      </c>
      <c r="K18" s="117">
        <v>5</v>
      </c>
      <c r="L18" s="117">
        <f>K18*$L$6</f>
        <v>3.5</v>
      </c>
      <c r="M18" s="117">
        <v>5</v>
      </c>
      <c r="N18" s="117">
        <f>M18*$N$6</f>
        <v>0.5</v>
      </c>
      <c r="O18" s="117">
        <v>2</v>
      </c>
      <c r="P18" s="117">
        <f>O18*$P$6</f>
        <v>0</v>
      </c>
      <c r="Q18" s="118">
        <f>SUM(D18+F18+H18+J18+L18+N18+P18)</f>
        <v>5.5</v>
      </c>
    </row>
    <row r="19" spans="2:17" ht="13.95" customHeight="1" x14ac:dyDescent="0.3">
      <c r="B19" s="116" t="s">
        <v>120</v>
      </c>
      <c r="C19" s="117">
        <v>4</v>
      </c>
      <c r="D19" s="117">
        <f>C19*$D$6</f>
        <v>1.2</v>
      </c>
      <c r="E19" s="117">
        <v>5</v>
      </c>
      <c r="F19" s="117">
        <f>E19*$F$6</f>
        <v>0</v>
      </c>
      <c r="G19" s="117">
        <v>5</v>
      </c>
      <c r="H19" s="117">
        <f>G19*$H$6</f>
        <v>0</v>
      </c>
      <c r="I19" s="117">
        <v>5</v>
      </c>
      <c r="J19" s="117">
        <f>I19*$J$6</f>
        <v>0</v>
      </c>
      <c r="K19" s="117">
        <v>2</v>
      </c>
      <c r="L19" s="117">
        <f>K19*$L$6</f>
        <v>1.4</v>
      </c>
      <c r="M19" s="117">
        <v>5</v>
      </c>
      <c r="N19" s="117">
        <f>M19*$N$6</f>
        <v>0.5</v>
      </c>
      <c r="O19" s="117">
        <v>4</v>
      </c>
      <c r="P19" s="117">
        <f>O19*$P$6</f>
        <v>0</v>
      </c>
      <c r="Q19" s="117">
        <f>SUM(D19+F19+H19+J19+L19+N19+P19)</f>
        <v>3.0999999999999996</v>
      </c>
    </row>
    <row r="20" spans="2:17" ht="14.4" customHeight="1" x14ac:dyDescent="0.3">
      <c r="B20" s="116"/>
      <c r="C20" s="116"/>
      <c r="D20" s="116"/>
      <c r="E20" s="116"/>
      <c r="F20" s="116"/>
      <c r="G20" s="116"/>
      <c r="H20" s="116"/>
      <c r="I20" s="116"/>
      <c r="J20" s="116"/>
      <c r="K20" s="116"/>
      <c r="L20" s="116"/>
      <c r="M20" s="116"/>
      <c r="N20" s="116"/>
      <c r="O20" s="116"/>
      <c r="P20" s="116"/>
      <c r="Q20" s="116"/>
    </row>
    <row r="22" spans="2:17" x14ac:dyDescent="0.3">
      <c r="B22" s="163" t="s">
        <v>119</v>
      </c>
      <c r="C22" s="163"/>
      <c r="D22" s="164" t="s">
        <v>118</v>
      </c>
      <c r="E22" s="164"/>
      <c r="F22" s="164"/>
      <c r="G22" s="164"/>
      <c r="H22" s="164"/>
      <c r="I22" s="164"/>
      <c r="J22" s="164"/>
      <c r="K22" s="164"/>
      <c r="L22" s="164"/>
      <c r="M22" s="164"/>
      <c r="N22" s="164"/>
      <c r="O22" s="164"/>
      <c r="P22" s="164"/>
      <c r="Q22" s="164"/>
    </row>
    <row r="23" spans="2:17" ht="27.6" x14ac:dyDescent="0.3">
      <c r="B23" s="122" t="s">
        <v>117</v>
      </c>
      <c r="C23" s="161" t="s">
        <v>116</v>
      </c>
      <c r="D23" s="162"/>
      <c r="E23" s="161" t="s">
        <v>115</v>
      </c>
      <c r="F23" s="162"/>
      <c r="G23" s="161" t="s">
        <v>114</v>
      </c>
      <c r="H23" s="162"/>
      <c r="I23" s="161" t="s">
        <v>113</v>
      </c>
      <c r="J23" s="162"/>
      <c r="K23" s="161" t="s">
        <v>112</v>
      </c>
      <c r="L23" s="162"/>
      <c r="M23" s="161" t="s">
        <v>111</v>
      </c>
      <c r="N23" s="162"/>
      <c r="O23" s="161" t="s">
        <v>110</v>
      </c>
      <c r="P23" s="162"/>
      <c r="Q23" s="122" t="s">
        <v>109</v>
      </c>
    </row>
    <row r="24" spans="2:17" x14ac:dyDescent="0.3">
      <c r="B24" s="116"/>
      <c r="C24" s="120" t="s">
        <v>108</v>
      </c>
      <c r="D24" s="119">
        <f>'[2]Hoja de Caracteristicas'!L20</f>
        <v>0.1</v>
      </c>
      <c r="E24" s="120" t="s">
        <v>108</v>
      </c>
      <c r="F24" s="119">
        <f>'[2]Hoja de Caracteristicas'!L24</f>
        <v>0.25</v>
      </c>
      <c r="G24" s="120" t="s">
        <v>108</v>
      </c>
      <c r="H24" s="121">
        <f>'[2]Hoja de Caracteristicas'!L28</f>
        <v>1</v>
      </c>
      <c r="I24" s="120" t="s">
        <v>108</v>
      </c>
      <c r="J24" s="121">
        <f>'[2]Hoja de Caracteristicas'!L32</f>
        <v>0</v>
      </c>
      <c r="K24" s="120" t="s">
        <v>108</v>
      </c>
      <c r="L24" s="121">
        <f>'[2]Hoja de Caracteristicas'!L36</f>
        <v>0</v>
      </c>
      <c r="M24" s="120" t="s">
        <v>108</v>
      </c>
      <c r="N24" s="121">
        <f>'[2]Hoja de Caracteristicas'!L38</f>
        <v>0</v>
      </c>
      <c r="O24" s="120" t="s">
        <v>108</v>
      </c>
      <c r="P24" s="119">
        <f>'[2]Hoja de Caracteristicas'!L42</f>
        <v>0</v>
      </c>
      <c r="Q24" s="116"/>
    </row>
    <row r="25" spans="2:17" x14ac:dyDescent="0.3">
      <c r="B25" s="116" t="s">
        <v>107</v>
      </c>
      <c r="C25" s="117">
        <v>5</v>
      </c>
      <c r="D25" s="117">
        <f>C25*$D$6</f>
        <v>1.5</v>
      </c>
      <c r="E25" s="117">
        <v>3</v>
      </c>
      <c r="F25" s="117">
        <f>E25*$F$6</f>
        <v>0</v>
      </c>
      <c r="G25" s="117">
        <v>5</v>
      </c>
      <c r="H25" s="117">
        <f>G25*$H$6</f>
        <v>0</v>
      </c>
      <c r="I25" s="117">
        <v>5</v>
      </c>
      <c r="J25" s="117">
        <f>I25*$J$6</f>
        <v>0</v>
      </c>
      <c r="K25" s="117">
        <v>4</v>
      </c>
      <c r="L25" s="117">
        <f>K25*$L$6</f>
        <v>2.8</v>
      </c>
      <c r="M25" s="117">
        <v>5</v>
      </c>
      <c r="N25" s="117">
        <f>M25*$N$6</f>
        <v>0.5</v>
      </c>
      <c r="O25" s="117">
        <v>5</v>
      </c>
      <c r="P25" s="117">
        <f>O25*$P$6</f>
        <v>0</v>
      </c>
      <c r="Q25" s="117">
        <f>SUM(D25+F25+H25+J25+L25+N25+P25)</f>
        <v>4.8</v>
      </c>
    </row>
    <row r="26" spans="2:17" x14ac:dyDescent="0.3">
      <c r="B26" s="116" t="s">
        <v>106</v>
      </c>
      <c r="C26" s="117">
        <v>4</v>
      </c>
      <c r="D26" s="117">
        <f>C26*$D$6</f>
        <v>1.2</v>
      </c>
      <c r="E26" s="117">
        <v>2</v>
      </c>
      <c r="F26" s="117">
        <f>E26*$F$6</f>
        <v>0</v>
      </c>
      <c r="G26" s="117">
        <v>4</v>
      </c>
      <c r="H26" s="117">
        <f>G26*$H$6</f>
        <v>0</v>
      </c>
      <c r="I26" s="117">
        <v>3</v>
      </c>
      <c r="J26" s="117">
        <f>I26*$J$6</f>
        <v>0</v>
      </c>
      <c r="K26" s="117">
        <v>5</v>
      </c>
      <c r="L26" s="117">
        <f>K26*$L$6</f>
        <v>3.5</v>
      </c>
      <c r="M26" s="117">
        <v>5</v>
      </c>
      <c r="N26" s="117">
        <f>M26*$N$6</f>
        <v>0.5</v>
      </c>
      <c r="O26" s="117">
        <v>5</v>
      </c>
      <c r="P26" s="117">
        <f>O26*$P$6</f>
        <v>0</v>
      </c>
      <c r="Q26" s="118">
        <f>SUM(D26+F26+H26+J26+L26+N26+P26)</f>
        <v>5.2</v>
      </c>
    </row>
    <row r="27" spans="2:17" x14ac:dyDescent="0.3">
      <c r="B27" s="116" t="s">
        <v>105</v>
      </c>
      <c r="C27" s="117">
        <v>4</v>
      </c>
      <c r="D27" s="117">
        <f>C27*$D$6</f>
        <v>1.2</v>
      </c>
      <c r="E27" s="117">
        <v>4</v>
      </c>
      <c r="F27" s="117">
        <f>E27*$F$6</f>
        <v>0</v>
      </c>
      <c r="G27" s="117">
        <v>4</v>
      </c>
      <c r="H27" s="117">
        <f>G27*$H$6</f>
        <v>0</v>
      </c>
      <c r="I27" s="117">
        <v>4</v>
      </c>
      <c r="J27" s="117">
        <f>I27*$J$6</f>
        <v>0</v>
      </c>
      <c r="K27" s="117">
        <v>2</v>
      </c>
      <c r="L27" s="117">
        <f>K27*$L$6</f>
        <v>1.4</v>
      </c>
      <c r="M27" s="117">
        <v>2</v>
      </c>
      <c r="N27" s="117">
        <f>M27*$N$6</f>
        <v>0.2</v>
      </c>
      <c r="O27" s="117">
        <v>2</v>
      </c>
      <c r="P27" s="117">
        <f>O27*$P$6</f>
        <v>0</v>
      </c>
      <c r="Q27" s="117">
        <f>SUM(D27+F27+H27+J27+L27+N27+P27)</f>
        <v>2.8</v>
      </c>
    </row>
    <row r="28" spans="2:17" x14ac:dyDescent="0.3">
      <c r="B28" s="116" t="s">
        <v>104</v>
      </c>
      <c r="C28" s="117">
        <v>3</v>
      </c>
      <c r="D28" s="117">
        <f>C28*$D$6</f>
        <v>0.89999999999999991</v>
      </c>
      <c r="E28" s="117">
        <v>5</v>
      </c>
      <c r="F28" s="117">
        <f>E28*$F$6</f>
        <v>0</v>
      </c>
      <c r="G28" s="117">
        <v>2</v>
      </c>
      <c r="H28" s="117">
        <f>G28*$H$6</f>
        <v>0</v>
      </c>
      <c r="I28" s="117">
        <v>3</v>
      </c>
      <c r="J28" s="117">
        <f>I28*$J$6</f>
        <v>0</v>
      </c>
      <c r="K28" s="117">
        <v>4</v>
      </c>
      <c r="L28" s="117">
        <f>K28*$L$6</f>
        <v>2.8</v>
      </c>
      <c r="M28" s="117">
        <v>4</v>
      </c>
      <c r="N28" s="117">
        <f>M28*$N$6</f>
        <v>0.4</v>
      </c>
      <c r="O28" s="117">
        <v>4</v>
      </c>
      <c r="P28" s="117">
        <f>O28*$P$6</f>
        <v>0</v>
      </c>
      <c r="Q28" s="117">
        <f>SUM(D28+F28+H28+J28+L28+N28+P28)</f>
        <v>4.0999999999999996</v>
      </c>
    </row>
    <row r="29" spans="2:17" x14ac:dyDescent="0.3"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6"/>
      <c r="O29" s="116"/>
      <c r="P29" s="116"/>
      <c r="Q29" s="116"/>
    </row>
    <row r="32" spans="2:17" ht="14.4" thickBot="1" x14ac:dyDescent="0.35"/>
    <row r="33" spans="3:7" x14ac:dyDescent="0.3">
      <c r="C33" s="174" t="s">
        <v>103</v>
      </c>
      <c r="D33" s="177" t="s">
        <v>102</v>
      </c>
      <c r="E33" s="178"/>
      <c r="F33" s="177" t="s">
        <v>101</v>
      </c>
      <c r="G33" s="181"/>
    </row>
    <row r="34" spans="3:7" x14ac:dyDescent="0.3">
      <c r="C34" s="175"/>
      <c r="D34" s="179"/>
      <c r="E34" s="180"/>
      <c r="F34" s="179"/>
      <c r="G34" s="182"/>
    </row>
    <row r="35" spans="3:7" x14ac:dyDescent="0.3">
      <c r="C35" s="175"/>
      <c r="D35" s="165" t="s">
        <v>100</v>
      </c>
      <c r="E35" s="166"/>
      <c r="F35" s="167" t="s">
        <v>99</v>
      </c>
      <c r="G35" s="168"/>
    </row>
    <row r="36" spans="3:7" x14ac:dyDescent="0.3">
      <c r="C36" s="175"/>
      <c r="D36" s="165" t="s">
        <v>98</v>
      </c>
      <c r="E36" s="166"/>
      <c r="F36" s="167" t="s">
        <v>97</v>
      </c>
      <c r="G36" s="168"/>
    </row>
    <row r="37" spans="3:7" x14ac:dyDescent="0.3">
      <c r="C37" s="175"/>
      <c r="D37" s="165" t="s">
        <v>96</v>
      </c>
      <c r="E37" s="166"/>
      <c r="F37" s="167" t="s">
        <v>95</v>
      </c>
      <c r="G37" s="168"/>
    </row>
    <row r="38" spans="3:7" ht="14.4" thickBot="1" x14ac:dyDescent="0.35">
      <c r="C38" s="176"/>
      <c r="D38" s="169" t="s">
        <v>94</v>
      </c>
      <c r="E38" s="170"/>
      <c r="F38" s="171" t="s">
        <v>93</v>
      </c>
      <c r="G38" s="172"/>
    </row>
  </sheetData>
  <mergeCells count="39">
    <mergeCell ref="K23:L23"/>
    <mergeCell ref="M23:N23"/>
    <mergeCell ref="O23:P23"/>
    <mergeCell ref="B2:Q2"/>
    <mergeCell ref="C33:C38"/>
    <mergeCell ref="D33:E34"/>
    <mergeCell ref="F33:G34"/>
    <mergeCell ref="D35:E35"/>
    <mergeCell ref="F35:G35"/>
    <mergeCell ref="D36:E36"/>
    <mergeCell ref="M5:N5"/>
    <mergeCell ref="O5:P5"/>
    <mergeCell ref="F36:G36"/>
    <mergeCell ref="B22:C22"/>
    <mergeCell ref="D22:Q22"/>
    <mergeCell ref="C23:D23"/>
    <mergeCell ref="E23:F23"/>
    <mergeCell ref="G23:H23"/>
    <mergeCell ref="I23:J23"/>
    <mergeCell ref="D37:E37"/>
    <mergeCell ref="F37:G37"/>
    <mergeCell ref="D38:E38"/>
    <mergeCell ref="F38:G38"/>
    <mergeCell ref="C5:D5"/>
    <mergeCell ref="E5:F5"/>
    <mergeCell ref="B4:C4"/>
    <mergeCell ref="D4:Q4"/>
    <mergeCell ref="B13:C13"/>
    <mergeCell ref="D13:Q13"/>
    <mergeCell ref="G5:H5"/>
    <mergeCell ref="I5:J5"/>
    <mergeCell ref="K5:L5"/>
    <mergeCell ref="M14:N14"/>
    <mergeCell ref="O14:P14"/>
    <mergeCell ref="C14:D14"/>
    <mergeCell ref="E14:F14"/>
    <mergeCell ref="G14:H14"/>
    <mergeCell ref="I14:J14"/>
    <mergeCell ref="K14:L14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B7B74-A44B-48D1-AF2E-67B1F340EF78}">
  <dimension ref="B1:AI24"/>
  <sheetViews>
    <sheetView workbookViewId="0">
      <selection activeCell="F17" sqref="F17"/>
    </sheetView>
  </sheetViews>
  <sheetFormatPr baseColWidth="10" defaultColWidth="6.3984375" defaultRowHeight="12" x14ac:dyDescent="0.25"/>
  <cols>
    <col min="1" max="1" width="2.69921875" style="125" customWidth="1"/>
    <col min="2" max="2" width="16" style="125" customWidth="1"/>
    <col min="3" max="3" width="9.5" style="125" bestFit="1" customWidth="1"/>
    <col min="4" max="6" width="14.8984375" style="125" bestFit="1" customWidth="1"/>
    <col min="7" max="7" width="12.59765625" style="125" bestFit="1" customWidth="1"/>
    <col min="8" max="9" width="12.59765625" style="125" hidden="1" customWidth="1"/>
    <col min="10" max="10" width="18.59765625" style="125" customWidth="1"/>
    <col min="11" max="11" width="16" style="126" customWidth="1"/>
    <col min="12" max="12" width="16.8984375" style="126" customWidth="1"/>
    <col min="13" max="13" width="13.8984375" style="125" customWidth="1"/>
    <col min="14" max="14" width="14.09765625" style="125" customWidth="1"/>
    <col min="15" max="16384" width="6.3984375" style="125"/>
  </cols>
  <sheetData>
    <row r="1" spans="2:35" ht="15" customHeight="1" x14ac:dyDescent="0.25"/>
    <row r="2" spans="2:35" x14ac:dyDescent="0.25">
      <c r="B2" s="148" t="s">
        <v>139</v>
      </c>
      <c r="C2" s="148"/>
      <c r="D2" s="150"/>
    </row>
    <row r="3" spans="2:35" ht="12.6" thickBot="1" x14ac:dyDescent="0.3">
      <c r="B3" s="149"/>
      <c r="C3" s="149"/>
      <c r="D3" s="148"/>
      <c r="E3" s="147"/>
      <c r="F3" s="147"/>
      <c r="G3" s="147"/>
      <c r="H3" s="147"/>
      <c r="I3" s="147"/>
      <c r="J3" s="146"/>
      <c r="K3" s="146"/>
      <c r="L3" s="146"/>
      <c r="M3" s="146"/>
      <c r="N3" s="146"/>
    </row>
    <row r="4" spans="2:35" ht="24.75" customHeight="1" thickBot="1" x14ac:dyDescent="0.3">
      <c r="J4" s="183" t="s">
        <v>138</v>
      </c>
      <c r="K4" s="184"/>
      <c r="L4" s="185"/>
      <c r="AD4" s="145">
        <f>_xlfn.RANK.EQ(Comparación_precios[[#Totals],[PROVEEDOR 1]],Comparación_precios[[#Totals],[PROVEEDOR 1]:[PROVEEDOR 6]],1)</f>
        <v>3</v>
      </c>
      <c r="AE4" s="145">
        <f>_xlfn.RANK.EQ(Comparación_precios[[#Totals],[PROVEEDOR 2]],Comparación_precios[[#Totals],[PROVEEDOR 1]:[PROVEEDOR 6]],1)</f>
        <v>4</v>
      </c>
      <c r="AF4" s="145">
        <f>_xlfn.RANK.EQ(Comparación_precios[[#Totals],[PROVEEDOR 3]],Comparación_precios[[#Totals],[PROVEEDOR 1]:[PROVEEDOR 6]],1)</f>
        <v>5</v>
      </c>
      <c r="AG4" s="145">
        <f>_xlfn.RANK.EQ(Comparación_precios[[#Totals],[PROVEEDOR 4]],Comparación_precios[[#Totals],[PROVEEDOR 1]:[PROVEEDOR 6]],1)</f>
        <v>6</v>
      </c>
      <c r="AH4" s="145">
        <f>_xlfn.RANK.EQ(Comparación_precios[[#Totals],[PROVEEDOR 5]],Comparación_precios[[#Totals],[PROVEEDOR 1]:[PROVEEDOR 6]],1)</f>
        <v>1</v>
      </c>
      <c r="AI4" s="145">
        <f>_xlfn.RANK.EQ(Comparación_precios[[#Totals],[PROVEEDOR 6]],Comparación_precios[[#Totals],[PROVEEDOR 1]:[PROVEEDOR 6]],1)</f>
        <v>1</v>
      </c>
    </row>
    <row r="5" spans="2:35" s="141" customFormat="1" ht="46.5" customHeight="1" x14ac:dyDescent="0.25">
      <c r="B5" s="144" t="s">
        <v>137</v>
      </c>
      <c r="C5" s="144" t="s">
        <v>136</v>
      </c>
      <c r="D5" s="143" t="s">
        <v>135</v>
      </c>
      <c r="E5" s="143" t="s">
        <v>134</v>
      </c>
      <c r="F5" s="143" t="s">
        <v>133</v>
      </c>
      <c r="G5" s="143" t="s">
        <v>132</v>
      </c>
      <c r="H5" s="143" t="s">
        <v>131</v>
      </c>
      <c r="I5" s="143" t="s">
        <v>130</v>
      </c>
      <c r="J5" s="142" t="s">
        <v>129</v>
      </c>
      <c r="K5" s="142" t="s">
        <v>128</v>
      </c>
      <c r="L5" s="142" t="s">
        <v>127</v>
      </c>
      <c r="AD5" s="141">
        <f>COUNTIF(Comparación_precios[[#Totals],[PROVEEDOR 1]:[PROVEEDOR 1]],Comparación_precios[[#Totals],[PROVEEDOR 1]])-1</f>
        <v>0</v>
      </c>
      <c r="AE5" s="141">
        <f>COUNTIF(Comparación_precios[[#Totals],[PROVEEDOR 1]:[PROVEEDOR 2]],Comparación_precios[[#Totals],[PROVEEDOR 2]])-1</f>
        <v>0</v>
      </c>
      <c r="AF5" s="141">
        <f>COUNTIF(Comparación_precios[[#Totals],[PROVEEDOR 1]:[PROVEEDOR 3]],Comparación_precios[[#Totals],[PROVEEDOR 3]])-1</f>
        <v>0</v>
      </c>
      <c r="AG5" s="141">
        <f>COUNTIF(Comparación_precios[[#Totals],[PROVEEDOR 1]:[PROVEEDOR 4]],Comparación_precios[[#Totals],[PROVEEDOR 4]])-1</f>
        <v>0</v>
      </c>
      <c r="AH5" s="141">
        <f>COUNTIF(Comparación_precios[[#Totals],[PROVEEDOR 1]:[PROVEEDOR 5]],Comparación_precios[[#Totals],[PROVEEDOR 5]])-1</f>
        <v>0</v>
      </c>
      <c r="AI5" s="141">
        <f>COUNTIF(Comparación_precios[[#Totals],[PROVEEDOR 1]:[PROVEEDOR 6]],Comparación_precios[[#Totals],[PROVEEDOR 6]])-1</f>
        <v>1</v>
      </c>
    </row>
    <row r="6" spans="2:35" x14ac:dyDescent="0.25">
      <c r="B6" s="138" t="s">
        <v>124</v>
      </c>
      <c r="C6" s="139">
        <v>1</v>
      </c>
      <c r="D6" s="138">
        <v>1225000</v>
      </c>
      <c r="E6" s="138">
        <v>3010800</v>
      </c>
      <c r="F6" s="138">
        <v>3788660</v>
      </c>
      <c r="G6" s="138">
        <v>5358248</v>
      </c>
      <c r="H6" s="138"/>
      <c r="I6" s="138"/>
      <c r="J6" s="137">
        <f>MIN(Comparación_precios[[#This Row],[PROVEEDOR 1]:[PROVEEDOR 6]])</f>
        <v>1225000</v>
      </c>
      <c r="K6" s="137">
        <f>IFERROR(AVERAGE(Comparación_precios[[#This Row],[PROVEEDOR 1]:[PROVEEDOR 6]]),0)</f>
        <v>3345677</v>
      </c>
      <c r="L6" s="137">
        <f>MAX(Comparación_precios[[#This Row],[PROVEEDOR 1]:[PROVEEDOR 6]])</f>
        <v>5358248</v>
      </c>
    </row>
    <row r="7" spans="2:35" x14ac:dyDescent="0.25">
      <c r="B7" s="138" t="s">
        <v>122</v>
      </c>
      <c r="C7" s="139">
        <v>1</v>
      </c>
      <c r="D7" s="138">
        <v>59216</v>
      </c>
      <c r="E7" s="138">
        <v>43900</v>
      </c>
      <c r="F7" s="138">
        <v>0</v>
      </c>
      <c r="G7" s="138">
        <v>81185</v>
      </c>
      <c r="H7" s="138"/>
      <c r="I7" s="138"/>
      <c r="J7" s="137">
        <f>MIN(Comparación_precios[[#This Row],[PROVEEDOR 1]:[PROVEEDOR 6]])</f>
        <v>0</v>
      </c>
      <c r="K7" s="137">
        <f>IFERROR(AVERAGE(Comparación_precios[[#This Row],[PROVEEDOR 1]:[PROVEEDOR 6]]),0)</f>
        <v>46075.25</v>
      </c>
      <c r="L7" s="137">
        <f>MAX(Comparación_precios[[#This Row],[PROVEEDOR 1]:[PROVEEDOR 6]])</f>
        <v>81185</v>
      </c>
    </row>
    <row r="8" spans="2:35" ht="24" x14ac:dyDescent="0.25">
      <c r="B8" s="140" t="s">
        <v>118</v>
      </c>
      <c r="C8" s="139">
        <v>1</v>
      </c>
      <c r="D8" s="138">
        <v>0</v>
      </c>
      <c r="E8" s="138">
        <v>155000</v>
      </c>
      <c r="F8" s="138">
        <v>0</v>
      </c>
      <c r="G8" s="138">
        <v>720000</v>
      </c>
      <c r="H8" s="138"/>
      <c r="I8" s="138"/>
      <c r="J8" s="137">
        <f>MIN(Comparación_precios[[#This Row],[PROVEEDOR 1]:[PROVEEDOR 6]])</f>
        <v>0</v>
      </c>
      <c r="K8" s="137">
        <f>IFERROR(AVERAGE(Comparación_precios[[#This Row],[PROVEEDOR 1]:[PROVEEDOR 6]]),0)</f>
        <v>218750</v>
      </c>
      <c r="L8" s="137">
        <f>MAX(Comparación_precios[[#This Row],[PROVEEDOR 1]:[PROVEEDOR 6]])</f>
        <v>720000</v>
      </c>
    </row>
    <row r="9" spans="2:35" x14ac:dyDescent="0.25">
      <c r="B9" s="136" t="s">
        <v>126</v>
      </c>
      <c r="C9" s="136"/>
      <c r="D9" s="135">
        <f>ROUND(SUMPRODUCT(Comparación_precios[[CANTIDAD]:[CANTIDAD]],Comparación_precios[PROVEEDOR 1]),2)</f>
        <v>1284216</v>
      </c>
      <c r="E9" s="135">
        <f>ROUND(SUMPRODUCT(Comparación_precios[[CANTIDAD]:[CANTIDAD]],Comparación_precios[PROVEEDOR 2]),2)</f>
        <v>3209700</v>
      </c>
      <c r="F9" s="135">
        <f>ROUND(SUMPRODUCT(Comparación_precios[[CANTIDAD]:[CANTIDAD]],Comparación_precios[PROVEEDOR 3]),2)</f>
        <v>3788660</v>
      </c>
      <c r="G9" s="135">
        <f>ROUND(SUMPRODUCT(Comparación_precios[[CANTIDAD]:[CANTIDAD]],Comparación_precios[PROVEEDOR 4]),2)</f>
        <v>6159433</v>
      </c>
      <c r="H9" s="135">
        <f>ROUND(SUMPRODUCT(Comparación_precios[[CANTIDAD]:[CANTIDAD]],Comparación_precios[PROVEEDOR 5]),2)</f>
        <v>0</v>
      </c>
      <c r="I9" s="135">
        <f>ROUND(SUMPRODUCT(Comparación_precios[[CANTIDAD]:[CANTIDAD]],Comparación_precios[PROVEEDOR 6]),2)</f>
        <v>0</v>
      </c>
      <c r="J9" s="134"/>
      <c r="K9" s="134"/>
      <c r="L9" s="133"/>
    </row>
    <row r="12" spans="2:35" s="127" customFormat="1" x14ac:dyDescent="0.25">
      <c r="B12" s="125"/>
      <c r="C12" s="125"/>
      <c r="D12" s="125"/>
      <c r="E12" s="125"/>
      <c r="F12" s="125"/>
      <c r="G12" s="125"/>
      <c r="H12" s="125"/>
      <c r="I12" s="125"/>
      <c r="J12" s="126"/>
      <c r="K12" s="125"/>
      <c r="L12" s="125"/>
    </row>
    <row r="13" spans="2:35" s="127" customFormat="1" x14ac:dyDescent="0.25">
      <c r="B13" s="125"/>
      <c r="C13" s="125"/>
      <c r="D13" s="125"/>
      <c r="E13" s="125"/>
      <c r="F13" s="125"/>
      <c r="G13" s="125"/>
      <c r="H13" s="125"/>
      <c r="I13" s="125"/>
      <c r="J13" s="126"/>
      <c r="K13" s="125"/>
      <c r="L13" s="125"/>
    </row>
    <row r="14" spans="2:35" s="127" customFormat="1" x14ac:dyDescent="0.25">
      <c r="B14" s="125"/>
      <c r="C14" s="125"/>
      <c r="D14" s="128"/>
      <c r="E14" s="128"/>
      <c r="F14" s="131"/>
      <c r="G14" s="132"/>
      <c r="H14" s="129"/>
      <c r="I14" s="128"/>
      <c r="J14" s="126"/>
      <c r="K14" s="125"/>
      <c r="L14" s="125"/>
    </row>
    <row r="15" spans="2:35" s="127" customFormat="1" x14ac:dyDescent="0.25">
      <c r="B15" s="125"/>
      <c r="C15" s="125"/>
      <c r="D15" s="128"/>
      <c r="E15" s="128"/>
      <c r="F15" s="131"/>
      <c r="G15" s="130"/>
      <c r="H15" s="129"/>
      <c r="I15" s="128"/>
      <c r="J15" s="125"/>
      <c r="K15" s="126"/>
      <c r="L15" s="126"/>
    </row>
    <row r="16" spans="2:35" s="127" customFormat="1" x14ac:dyDescent="0.25">
      <c r="B16" s="125"/>
      <c r="C16" s="125"/>
      <c r="D16" s="128"/>
      <c r="E16" s="128"/>
      <c r="F16" s="131"/>
      <c r="G16" s="130"/>
      <c r="H16" s="129"/>
      <c r="I16" s="128"/>
      <c r="J16" s="125"/>
      <c r="K16" s="126"/>
      <c r="L16" s="126"/>
    </row>
    <row r="17" spans="2:12" s="127" customFormat="1" x14ac:dyDescent="0.25">
      <c r="B17" s="125"/>
      <c r="C17" s="125"/>
      <c r="D17" s="128"/>
      <c r="E17" s="128"/>
      <c r="F17" s="131"/>
      <c r="G17" s="130"/>
      <c r="H17" s="129"/>
      <c r="I17" s="128"/>
      <c r="J17" s="125"/>
      <c r="K17" s="126"/>
      <c r="L17" s="126"/>
    </row>
    <row r="18" spans="2:12" s="127" customFormat="1" x14ac:dyDescent="0.25">
      <c r="B18" s="125"/>
      <c r="C18" s="125"/>
      <c r="D18" s="128"/>
      <c r="E18" s="128"/>
      <c r="F18" s="131"/>
      <c r="G18" s="130"/>
      <c r="H18" s="129"/>
      <c r="I18" s="128"/>
      <c r="J18" s="125"/>
      <c r="K18" s="126"/>
      <c r="L18" s="126"/>
    </row>
    <row r="19" spans="2:12" s="127" customFormat="1" x14ac:dyDescent="0.25">
      <c r="B19" s="125"/>
      <c r="C19" s="125"/>
      <c r="D19" s="128"/>
      <c r="E19" s="128"/>
      <c r="F19" s="131"/>
      <c r="G19" s="130"/>
      <c r="H19" s="129"/>
      <c r="I19" s="128"/>
      <c r="J19" s="125"/>
      <c r="K19" s="126"/>
      <c r="L19" s="126"/>
    </row>
    <row r="20" spans="2:12" s="127" customFormat="1" x14ac:dyDescent="0.25">
      <c r="B20" s="125"/>
      <c r="C20" s="125"/>
      <c r="D20" s="125"/>
      <c r="E20" s="125"/>
      <c r="F20" s="125"/>
      <c r="G20" s="125"/>
      <c r="H20" s="125"/>
      <c r="I20" s="125"/>
      <c r="J20" s="125"/>
      <c r="K20" s="126"/>
      <c r="L20" s="126"/>
    </row>
    <row r="21" spans="2:12" s="127" customFormat="1" x14ac:dyDescent="0.25">
      <c r="B21" s="125"/>
      <c r="C21" s="125"/>
      <c r="D21" s="125"/>
      <c r="E21" s="125"/>
      <c r="F21" s="125"/>
      <c r="G21" s="125"/>
      <c r="H21" s="125"/>
      <c r="I21" s="125"/>
      <c r="J21" s="125"/>
      <c r="K21" s="126"/>
      <c r="L21" s="126"/>
    </row>
    <row r="22" spans="2:12" s="127" customFormat="1" x14ac:dyDescent="0.25">
      <c r="B22" s="125"/>
      <c r="C22" s="125"/>
      <c r="D22" s="125"/>
      <c r="E22" s="125"/>
      <c r="F22" s="125"/>
      <c r="G22" s="125"/>
      <c r="H22" s="125"/>
      <c r="I22" s="125"/>
      <c r="J22" s="125"/>
      <c r="K22" s="126"/>
      <c r="L22" s="126"/>
    </row>
    <row r="23" spans="2:12" s="127" customFormat="1" x14ac:dyDescent="0.25">
      <c r="B23" s="125"/>
      <c r="C23" s="125"/>
      <c r="D23" s="125"/>
      <c r="E23" s="125"/>
      <c r="F23" s="125"/>
      <c r="G23" s="125"/>
      <c r="H23" s="125"/>
      <c r="I23" s="125"/>
      <c r="J23" s="125"/>
      <c r="K23" s="126"/>
      <c r="L23" s="126"/>
    </row>
    <row r="24" spans="2:12" s="127" customFormat="1" x14ac:dyDescent="0.25">
      <c r="B24" s="125"/>
      <c r="C24" s="125"/>
      <c r="D24" s="125"/>
      <c r="E24" s="125"/>
      <c r="F24" s="125"/>
      <c r="G24" s="125"/>
      <c r="H24" s="125"/>
      <c r="I24" s="125"/>
      <c r="J24" s="125"/>
      <c r="K24" s="126"/>
      <c r="L24" s="126"/>
    </row>
  </sheetData>
  <mergeCells count="1">
    <mergeCell ref="J4:L4"/>
  </mergeCells>
  <conditionalFormatting sqref="D9:I9 D5:I5">
    <cfRule type="expression" dxfId="28" priority="1">
      <formula>AND(D$9=MIN($D$9:$I$9),D$9&lt;&gt;0)</formula>
    </cfRule>
  </conditionalFormatting>
  <conditionalFormatting sqref="D6:I8">
    <cfRule type="expression" dxfId="27" priority="2">
      <formula>AND(D$9=MIN($D$9:$I$9),D$9&lt;&gt;0)</formula>
    </cfRule>
  </conditionalFormatting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 tint="0.39997558519241921"/>
    <pageSetUpPr fitToPage="1"/>
  </sheetPr>
  <dimension ref="A1:S9"/>
  <sheetViews>
    <sheetView showGridLines="0" workbookViewId="0">
      <selection activeCell="B7" sqref="B7"/>
    </sheetView>
  </sheetViews>
  <sheetFormatPr baseColWidth="10" defaultColWidth="10.69921875" defaultRowHeight="13.2" x14ac:dyDescent="0.25"/>
  <cols>
    <col min="1" max="1" width="3.19921875" style="8" customWidth="1"/>
    <col min="2" max="2" width="30.69921875" style="8" customWidth="1"/>
    <col min="3" max="3" width="10.69921875" style="8" customWidth="1"/>
    <col min="4" max="4" width="3.19921875" style="8" customWidth="1"/>
    <col min="5" max="5" width="13.19921875" style="8" customWidth="1"/>
    <col min="6" max="6" width="7.69921875" style="8" customWidth="1"/>
    <col min="7" max="7" width="19.19921875" style="8" customWidth="1"/>
    <col min="8" max="256" width="8.69921875" style="8" customWidth="1"/>
    <col min="257" max="257" width="10.69921875" style="8" customWidth="1"/>
    <col min="258" max="16384" width="10.69921875" style="8"/>
  </cols>
  <sheetData>
    <row r="1" spans="1:19" s="5" customFormat="1" ht="49.95" customHeight="1" x14ac:dyDescent="0.3">
      <c r="A1" s="2"/>
      <c r="B1" s="6" t="s">
        <v>57</v>
      </c>
      <c r="C1" s="3"/>
      <c r="D1" s="6"/>
      <c r="E1" s="3"/>
      <c r="F1" s="3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40.950000000000003" customHeight="1" x14ac:dyDescent="0.25">
      <c r="B2" s="16" t="s">
        <v>58</v>
      </c>
      <c r="C2" s="17" t="s">
        <v>46</v>
      </c>
      <c r="D2" s="11"/>
      <c r="E2" s="42" t="s">
        <v>59</v>
      </c>
      <c r="F2" s="43" t="s">
        <v>60</v>
      </c>
      <c r="G2" s="43" t="s">
        <v>61</v>
      </c>
    </row>
    <row r="3" spans="1:19" ht="19.95" customHeight="1" x14ac:dyDescent="0.25">
      <c r="B3" s="12" t="s">
        <v>19</v>
      </c>
      <c r="C3" s="41">
        <v>7000</v>
      </c>
      <c r="D3" s="10"/>
      <c r="E3" s="13" t="s">
        <v>83</v>
      </c>
      <c r="F3" s="14">
        <v>-0.3</v>
      </c>
      <c r="G3" s="14">
        <v>0.5</v>
      </c>
    </row>
    <row r="4" spans="1:19" ht="19.95" customHeight="1" x14ac:dyDescent="0.25">
      <c r="B4" s="12" t="s">
        <v>92</v>
      </c>
      <c r="C4" s="41">
        <v>6000</v>
      </c>
      <c r="D4" s="10"/>
      <c r="E4" s="13" t="s">
        <v>84</v>
      </c>
      <c r="F4" s="14">
        <v>-0.15</v>
      </c>
      <c r="G4" s="14">
        <v>0.3</v>
      </c>
    </row>
    <row r="5" spans="1:19" ht="19.95" customHeight="1" x14ac:dyDescent="0.25">
      <c r="B5" s="12" t="s">
        <v>91</v>
      </c>
      <c r="C5" s="41">
        <v>5000</v>
      </c>
      <c r="D5" s="10"/>
      <c r="E5" s="13" t="s">
        <v>85</v>
      </c>
      <c r="F5" s="14">
        <v>-0.05</v>
      </c>
      <c r="G5" s="14">
        <v>0.15</v>
      </c>
    </row>
    <row r="6" spans="1:19" ht="19.95" customHeight="1" x14ac:dyDescent="0.25">
      <c r="B6" s="13" t="s">
        <v>62</v>
      </c>
      <c r="C6" s="41">
        <v>6000</v>
      </c>
      <c r="D6" s="10"/>
      <c r="E6" s="13" t="s">
        <v>86</v>
      </c>
      <c r="F6" s="14">
        <v>-0.15</v>
      </c>
      <c r="G6" s="14">
        <v>0.15</v>
      </c>
    </row>
    <row r="7" spans="1:19" ht="19.95" customHeight="1" x14ac:dyDescent="0.25">
      <c r="B7" s="13" t="s">
        <v>63</v>
      </c>
      <c r="C7" s="41">
        <v>6000</v>
      </c>
      <c r="D7" s="10"/>
      <c r="E7" s="13" t="s">
        <v>87</v>
      </c>
      <c r="F7" s="14">
        <v>0.95</v>
      </c>
      <c r="G7" s="15">
        <v>0.15</v>
      </c>
    </row>
    <row r="8" spans="1:19" ht="19.95" customHeight="1" x14ac:dyDescent="0.25">
      <c r="B8" s="13" t="s">
        <v>64</v>
      </c>
      <c r="C8" s="41">
        <v>7500</v>
      </c>
      <c r="D8" s="10"/>
      <c r="E8" s="13" t="s">
        <v>88</v>
      </c>
      <c r="F8" s="14">
        <v>-0.15</v>
      </c>
      <c r="G8" s="15">
        <v>0.15</v>
      </c>
    </row>
    <row r="9" spans="1:19" ht="19.95" customHeight="1" x14ac:dyDescent="0.25">
      <c r="B9" s="13" t="s">
        <v>65</v>
      </c>
      <c r="C9" s="41">
        <v>6500</v>
      </c>
      <c r="D9" s="10"/>
      <c r="E9" s="13" t="s">
        <v>89</v>
      </c>
      <c r="F9" s="14">
        <v>1.95</v>
      </c>
      <c r="G9" s="14">
        <v>0.15</v>
      </c>
    </row>
  </sheetData>
  <pageMargins left="0.3" right="0.3" top="0.3" bottom="0.3" header="0" footer="0"/>
  <pageSetup fitToHeight="0" orientation="landscape" horizont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43362b8-f459-4910-9a08-e26e046e4376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A5F5D8D8F60D844A7B1D73B38BC60FC" ma:contentTypeVersion="7" ma:contentTypeDescription="Crear nuevo documento." ma:contentTypeScope="" ma:versionID="c28505bf318df4e3624f1f1971fc7bef">
  <xsd:schema xmlns:xsd="http://www.w3.org/2001/XMLSchema" xmlns:xs="http://www.w3.org/2001/XMLSchema" xmlns:p="http://schemas.microsoft.com/office/2006/metadata/properties" xmlns:ns3="a43362b8-f459-4910-9a08-e26e046e4376" targetNamespace="http://schemas.microsoft.com/office/2006/metadata/properties" ma:root="true" ma:fieldsID="2e95bb4d90da6b8a392d6d8504ce6140" ns3:_="">
    <xsd:import namespace="a43362b8-f459-4910-9a08-e26e046e437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_activity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3362b8-f459-4910-9a08-e26e046e437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0" nillable="true" ma:displayName="_activity" ma:hidden="true" ma:internalName="_activity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AC195B4-DB33-477C-A3EA-6F11465A7365}">
  <ds:schemaRefs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http://schemas.microsoft.com/office/2006/documentManagement/types"/>
    <ds:schemaRef ds:uri="a43362b8-f459-4910-9a08-e26e046e4376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3277F700-11D2-4909-9A34-5C0A20134D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43362b8-f459-4910-9a08-e26e046e437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AD97A0-B83C-4322-ABB5-1F23582112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Costos Software</vt:lpstr>
      <vt:lpstr>Materiales y Consumibles</vt:lpstr>
      <vt:lpstr>Cosolidado</vt:lpstr>
      <vt:lpstr>Evaluacion de Proveedores </vt:lpstr>
      <vt:lpstr>Evaluación Financiera</vt:lpstr>
      <vt:lpstr>DATOS</vt:lpstr>
      <vt:lpstr>'Costos Software'!Área_de_impresión</vt:lpstr>
      <vt:lpstr>DATOS!Área_de_impresión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Andres Muñoz</cp:lastModifiedBy>
  <dcterms:created xsi:type="dcterms:W3CDTF">2016-02-17T05:52:24Z</dcterms:created>
  <dcterms:modified xsi:type="dcterms:W3CDTF">2023-04-11T18:46:20Z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0x0101001A5F5D8D8F60D844A7B1D73B38BC60FC</vt:lpwstr>
  </property>
</Properties>
</file>