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04339F0-BE07-4E2C-8014-1D6418E1F5C1}"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63" i="1" l="1"/>
  <c r="AR163" i="1" l="1"/>
  <c r="AG166" i="1"/>
  <c r="AH166" i="1"/>
  <c r="AW163" i="1" l="1"/>
  <c r="AF166" i="1"/>
  <c r="AE166" i="1" l="1"/>
  <c r="V59" i="1" l="1"/>
  <c r="BF139" i="1" l="1"/>
  <c r="Q166" i="1"/>
  <c r="R166" i="1"/>
  <c r="S166" i="1"/>
  <c r="T166" i="1"/>
  <c r="U166" i="1"/>
  <c r="V166" i="1"/>
  <c r="W166" i="1"/>
  <c r="X166" i="1"/>
  <c r="Y166" i="1"/>
  <c r="Z166" i="1"/>
  <c r="AA166" i="1"/>
  <c r="AB166" i="1"/>
  <c r="AC166" i="1"/>
  <c r="AD166" i="1"/>
  <c r="P166" i="1"/>
  <c r="E34" i="4" l="1"/>
  <c r="C45" i="4"/>
  <c r="BH143" i="1" l="1"/>
  <c r="BH140" i="1"/>
  <c r="BH139" i="1" s="1"/>
  <c r="BH147" i="1" s="1"/>
  <c r="BE143" i="1"/>
  <c r="BF143" i="1"/>
  <c r="BD143" i="1"/>
  <c r="BH145" i="1" l="1"/>
  <c r="BH144" i="1"/>
  <c r="C5" i="5"/>
  <c r="C4" i="5"/>
  <c r="B187" i="1"/>
  <c r="B183" i="1"/>
  <c r="B185" i="1"/>
  <c r="B181" i="1"/>
  <c r="B179" i="1"/>
  <c r="B177" i="1"/>
  <c r="B175" i="1"/>
  <c r="B173" i="1"/>
  <c r="B171"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138" i="1"/>
  <c r="P162" i="1"/>
  <c r="R138" i="1" l="1"/>
  <c r="Q164" i="1"/>
  <c r="S138" i="1" l="1"/>
  <c r="Q162" i="1"/>
  <c r="P164" i="1"/>
  <c r="P161" i="1"/>
  <c r="T138" i="1" l="1"/>
  <c r="R162" i="1"/>
  <c r="P149" i="1"/>
  <c r="P150" i="1" s="1"/>
  <c r="P151" i="1"/>
  <c r="P152" i="1" s="1"/>
  <c r="U138" i="1" l="1"/>
  <c r="S162" i="1"/>
  <c r="P147" i="1"/>
  <c r="P148" i="1" s="1"/>
  <c r="P143" i="1"/>
  <c r="P145" i="1" s="1"/>
  <c r="P146" i="1" s="1"/>
  <c r="C12" i="5"/>
  <c r="C7" i="5"/>
  <c r="C8" i="5" s="1"/>
  <c r="C9" i="5" s="1"/>
  <c r="C21" i="5"/>
  <c r="C18" i="5"/>
  <c r="C15" i="5"/>
  <c r="C24" i="5"/>
  <c r="C3" i="5"/>
  <c r="V138" i="1" l="1"/>
  <c r="C30" i="5"/>
  <c r="P144" i="1"/>
  <c r="T162" i="1"/>
  <c r="P141" i="1"/>
  <c r="P142" i="1" s="1"/>
  <c r="C34" i="5"/>
  <c r="W138" i="1" l="1"/>
  <c r="U162" i="1"/>
  <c r="C13" i="5"/>
  <c r="C14" i="5" s="1"/>
  <c r="BG139" i="1"/>
  <c r="P157" i="1"/>
  <c r="P155" i="1"/>
  <c r="P158" i="1"/>
  <c r="P156" i="1"/>
  <c r="BH163" i="1" l="1"/>
  <c r="BG163" i="1"/>
  <c r="X138" i="1"/>
  <c r="BG196" i="1"/>
  <c r="BG197" i="1" s="1"/>
  <c r="BG194" i="1"/>
  <c r="BG200" i="1"/>
  <c r="BG201" i="1" s="1"/>
  <c r="BG204" i="1"/>
  <c r="BG198" i="1"/>
  <c r="BG199" i="1" s="1"/>
  <c r="BG202" i="1"/>
  <c r="BG203" i="1" s="1"/>
  <c r="V162" i="1"/>
  <c r="BG140" i="1"/>
  <c r="BH153" i="1"/>
  <c r="BH151" i="1"/>
  <c r="BH149" i="1"/>
  <c r="BG147" i="1"/>
  <c r="BG143" i="1"/>
  <c r="BG145" i="1" s="1"/>
  <c r="C22" i="5"/>
  <c r="C23" i="5" s="1"/>
  <c r="C35" i="5"/>
  <c r="C40" i="5" s="1"/>
  <c r="C25" i="5"/>
  <c r="C19" i="5"/>
  <c r="C20" i="5" s="1"/>
  <c r="C16" i="5"/>
  <c r="C17" i="5" s="1"/>
  <c r="C31" i="5"/>
  <c r="AP25" i="4"/>
  <c r="E31" i="4"/>
  <c r="B17" i="4" s="1"/>
  <c r="K20" i="4" l="1"/>
  <c r="B18" i="4"/>
  <c r="B19" i="4" s="1"/>
  <c r="Y138" i="1"/>
  <c r="BG195" i="1"/>
  <c r="BG207" i="1" s="1"/>
  <c r="BG20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138" i="1"/>
  <c r="E18" i="4"/>
  <c r="K21" i="4" s="1"/>
  <c r="N20" i="4"/>
  <c r="H17" i="4"/>
  <c r="P194" i="1"/>
  <c r="P195" i="1" s="1"/>
  <c r="AA138" i="1" l="1"/>
  <c r="E19" i="4"/>
  <c r="Q20" i="4"/>
  <c r="H18" i="4"/>
  <c r="N22" i="4" s="1"/>
  <c r="K17" i="4"/>
  <c r="Y24" i="4"/>
  <c r="B14" i="3"/>
  <c r="AB138" i="1" l="1"/>
  <c r="H19" i="4"/>
  <c r="T20" i="4"/>
  <c r="K18" i="4"/>
  <c r="K19" i="4" s="1"/>
  <c r="N21" i="4"/>
  <c r="AB24" i="4" s="1"/>
  <c r="N17" i="4"/>
  <c r="AC138" i="1" l="1"/>
  <c r="Q17" i="4"/>
  <c r="T17" i="4" s="1"/>
  <c r="W20" i="4"/>
  <c r="N18" i="4"/>
  <c r="N19" i="4" s="1"/>
  <c r="Q21" i="4"/>
  <c r="AE24" i="4" s="1"/>
  <c r="Q22" i="4"/>
  <c r="AD138" i="1" l="1"/>
  <c r="T18" i="4"/>
  <c r="T19" i="4" s="1"/>
  <c r="AC20" i="4"/>
  <c r="Z20" i="4"/>
  <c r="Q18" i="4"/>
  <c r="Q19" i="4" s="1"/>
  <c r="T21" i="4"/>
  <c r="AH24" i="4" s="1"/>
  <c r="T22" i="4"/>
  <c r="T23" i="4"/>
  <c r="W17" i="4"/>
  <c r="W21" i="4" l="1"/>
  <c r="AK24" i="4" s="1"/>
  <c r="W23" i="4"/>
  <c r="AH138" i="1"/>
  <c r="W18" i="4"/>
  <c r="W19" i="4" s="1"/>
  <c r="AF20" i="4"/>
  <c r="W22" i="4"/>
  <c r="Z21" i="4"/>
  <c r="AN24" i="4" s="1"/>
  <c r="Z23" i="4"/>
  <c r="Z22" i="4"/>
  <c r="Z17" i="4"/>
  <c r="C204" i="1"/>
  <c r="C202" i="1"/>
  <c r="C200" i="1"/>
  <c r="C198" i="1"/>
  <c r="C196" i="1"/>
  <c r="C194" i="1"/>
  <c r="P153" i="1"/>
  <c r="C5" i="3"/>
  <c r="D173" i="1" s="1"/>
  <c r="AH164" i="1" l="1"/>
  <c r="AG138" i="1"/>
  <c r="AE138" i="1"/>
  <c r="AF138" i="1"/>
  <c r="AL138" i="1"/>
  <c r="Z18" i="4"/>
  <c r="Z19" i="4" s="1"/>
  <c r="AI20" i="4"/>
  <c r="BG173" i="1"/>
  <c r="BG174" i="1"/>
  <c r="AC21" i="4"/>
  <c r="AC22" i="4"/>
  <c r="AC23" i="4"/>
  <c r="AC17" i="4"/>
  <c r="BG153" i="1"/>
  <c r="C7" i="3"/>
  <c r="D177" i="1" s="1"/>
  <c r="C4" i="3"/>
  <c r="D171" i="1" s="1"/>
  <c r="C12" i="3"/>
  <c r="D187" i="1" s="1"/>
  <c r="C11" i="3"/>
  <c r="D185" i="1" s="1"/>
  <c r="C10" i="3"/>
  <c r="D183" i="1" s="1"/>
  <c r="C9" i="3"/>
  <c r="D181" i="1" s="1"/>
  <c r="C8" i="3"/>
  <c r="D179" i="1" s="1"/>
  <c r="C6" i="3"/>
  <c r="D175" i="1" s="1"/>
  <c r="C129" i="1"/>
  <c r="C10" i="5" s="1"/>
  <c r="C26" i="5" s="1"/>
  <c r="C27" i="5" s="1"/>
  <c r="C130" i="1"/>
  <c r="C11" i="5" s="1"/>
  <c r="C28" i="5" s="1"/>
  <c r="C29" i="5" s="1"/>
  <c r="P174" i="1"/>
  <c r="P204" i="1"/>
  <c r="P202" i="1"/>
  <c r="P200" i="1"/>
  <c r="P201" i="1" s="1"/>
  <c r="P198" i="1"/>
  <c r="P199" i="1" s="1"/>
  <c r="P196" i="1"/>
  <c r="P197" i="1" s="1"/>
  <c r="C173" i="1"/>
  <c r="C175" i="1"/>
  <c r="C177" i="1"/>
  <c r="C179" i="1"/>
  <c r="C181" i="1"/>
  <c r="C183" i="1"/>
  <c r="C185" i="1"/>
  <c r="C187" i="1"/>
  <c r="C171" i="1"/>
  <c r="P140" i="1"/>
  <c r="Q139" i="1"/>
  <c r="AI138" i="1" l="1"/>
  <c r="AJ138" i="1"/>
  <c r="AK138" i="1"/>
  <c r="AE161" i="1"/>
  <c r="AE162" i="1"/>
  <c r="AG162" i="1"/>
  <c r="AG161" i="1"/>
  <c r="AF162" i="1"/>
  <c r="AF161" i="1"/>
  <c r="AE164" i="1"/>
  <c r="AG164" i="1"/>
  <c r="AF164" i="1"/>
  <c r="AQ138" i="1"/>
  <c r="BG171" i="1"/>
  <c r="BG172" i="1"/>
  <c r="AL20" i="4"/>
  <c r="AC18" i="4"/>
  <c r="AC19" i="4" s="1"/>
  <c r="BG183" i="1"/>
  <c r="BG184" i="1"/>
  <c r="BG176" i="1"/>
  <c r="BG175" i="1"/>
  <c r="BG179" i="1"/>
  <c r="BG180" i="1"/>
  <c r="BG186" i="1"/>
  <c r="BG185" i="1"/>
  <c r="BG178" i="1"/>
  <c r="BG177" i="1"/>
  <c r="BG182" i="1"/>
  <c r="BG181" i="1"/>
  <c r="P188" i="1"/>
  <c r="BG188" i="1"/>
  <c r="BG187" i="1"/>
  <c r="Q151" i="1"/>
  <c r="Q152" i="1" s="1"/>
  <c r="Q147" i="1"/>
  <c r="Q148" i="1" s="1"/>
  <c r="Q155" i="1"/>
  <c r="Q158" i="1"/>
  <c r="Q161" i="1"/>
  <c r="Q156" i="1"/>
  <c r="Q157" i="1"/>
  <c r="Q143" i="1"/>
  <c r="AF22" i="4"/>
  <c r="AF23" i="4"/>
  <c r="AF21" i="4"/>
  <c r="AF17" i="4"/>
  <c r="P172" i="1"/>
  <c r="P171" i="1"/>
  <c r="P180" i="1"/>
  <c r="P179" i="1"/>
  <c r="P183" i="1"/>
  <c r="P182" i="1"/>
  <c r="P185" i="1"/>
  <c r="P175" i="1"/>
  <c r="R139" i="1"/>
  <c r="Q198" i="1"/>
  <c r="Q199" i="1" s="1"/>
  <c r="P176" i="1"/>
  <c r="Q187" i="1"/>
  <c r="Q196" i="1"/>
  <c r="Q197" i="1" s="1"/>
  <c r="P184" i="1"/>
  <c r="Q185" i="1"/>
  <c r="Q204" i="1"/>
  <c r="P173" i="1"/>
  <c r="P181" i="1"/>
  <c r="Q202" i="1"/>
  <c r="Q203" i="1" s="1"/>
  <c r="Q200" i="1"/>
  <c r="Q201" i="1" s="1"/>
  <c r="Q183" i="1"/>
  <c r="Q176" i="1"/>
  <c r="Q180" i="1"/>
  <c r="Q184" i="1"/>
  <c r="Q188" i="1"/>
  <c r="P206" i="1"/>
  <c r="Q194" i="1"/>
  <c r="Q195" i="1" s="1"/>
  <c r="P177" i="1"/>
  <c r="Q173" i="1"/>
  <c r="P178" i="1"/>
  <c r="P186" i="1"/>
  <c r="Q177" i="1"/>
  <c r="Q174" i="1"/>
  <c r="Q181" i="1"/>
  <c r="P187" i="1"/>
  <c r="Q171" i="1"/>
  <c r="Q178" i="1"/>
  <c r="Q182" i="1"/>
  <c r="Q186" i="1"/>
  <c r="Q175" i="1"/>
  <c r="Q172" i="1"/>
  <c r="Q179" i="1"/>
  <c r="P203" i="1"/>
  <c r="P207" i="1" s="1"/>
  <c r="Q140" i="1"/>
  <c r="Q153" i="1"/>
  <c r="AK162" i="1" l="1"/>
  <c r="AK161" i="1"/>
  <c r="AJ161" i="1"/>
  <c r="AJ162" i="1"/>
  <c r="AI161" i="1"/>
  <c r="AI162" i="1"/>
  <c r="AM138" i="1"/>
  <c r="AO138" i="1"/>
  <c r="AN138" i="1"/>
  <c r="AP138" i="1"/>
  <c r="R147" i="1"/>
  <c r="R148" i="1" s="1"/>
  <c r="AV138" i="1"/>
  <c r="AS138" i="1" s="1"/>
  <c r="AO20" i="4"/>
  <c r="AF18" i="4"/>
  <c r="AF19" i="4" s="1"/>
  <c r="BG190" i="1"/>
  <c r="BG189" i="1"/>
  <c r="R196" i="1"/>
  <c r="R197" i="1" s="1"/>
  <c r="R177" i="1"/>
  <c r="R151" i="1"/>
  <c r="R152" i="1" s="1"/>
  <c r="R202" i="1"/>
  <c r="R203" i="1" s="1"/>
  <c r="R173" i="1"/>
  <c r="R172" i="1"/>
  <c r="R194" i="1"/>
  <c r="R195" i="1" s="1"/>
  <c r="R174" i="1"/>
  <c r="R140" i="1"/>
  <c r="Q144" i="1"/>
  <c r="Q145" i="1"/>
  <c r="Q146" i="1" s="1"/>
  <c r="R164" i="1"/>
  <c r="S139" i="1"/>
  <c r="R143" i="1"/>
  <c r="R153" i="1"/>
  <c r="R187" i="1"/>
  <c r="R186" i="1"/>
  <c r="R198" i="1"/>
  <c r="R199" i="1" s="1"/>
  <c r="R182" i="1"/>
  <c r="R181" i="1"/>
  <c r="R157" i="1"/>
  <c r="R155" i="1"/>
  <c r="R158" i="1"/>
  <c r="R161" i="1"/>
  <c r="R156" i="1"/>
  <c r="AI23" i="4"/>
  <c r="AI21" i="4"/>
  <c r="AI22" i="4"/>
  <c r="AI17" i="4"/>
  <c r="AI18" i="4" s="1"/>
  <c r="P190" i="1"/>
  <c r="Q190" i="1"/>
  <c r="R184" i="1"/>
  <c r="R183" i="1"/>
  <c r="R179" i="1"/>
  <c r="R176" i="1"/>
  <c r="R178" i="1"/>
  <c r="R171" i="1"/>
  <c r="R180" i="1"/>
  <c r="R185" i="1"/>
  <c r="R204" i="1"/>
  <c r="R175" i="1"/>
  <c r="R200" i="1"/>
  <c r="R201" i="1" s="1"/>
  <c r="R188" i="1"/>
  <c r="Q206" i="1"/>
  <c r="P189" i="1"/>
  <c r="Q189" i="1"/>
  <c r="Q207" i="1"/>
  <c r="AS162" i="1" l="1"/>
  <c r="AS161" i="1"/>
  <c r="AM161" i="1"/>
  <c r="AM162" i="1"/>
  <c r="AM164" i="1"/>
  <c r="AR138" i="1"/>
  <c r="BA138" i="1"/>
  <c r="AW138" i="1" s="1"/>
  <c r="AP162" i="1"/>
  <c r="AP161" i="1"/>
  <c r="AT138" i="1"/>
  <c r="AO162" i="1"/>
  <c r="AO161" i="1"/>
  <c r="AN162" i="1"/>
  <c r="AN161" i="1"/>
  <c r="AU138" i="1"/>
  <c r="S147" i="1"/>
  <c r="S148" i="1" s="1"/>
  <c r="S188" i="1"/>
  <c r="S178" i="1"/>
  <c r="S176" i="1"/>
  <c r="S174" i="1"/>
  <c r="S196" i="1"/>
  <c r="S197" i="1" s="1"/>
  <c r="S184" i="1"/>
  <c r="S183" i="1"/>
  <c r="S175" i="1"/>
  <c r="S186" i="1"/>
  <c r="S181" i="1"/>
  <c r="S204" i="1"/>
  <c r="S171" i="1"/>
  <c r="S151" i="1"/>
  <c r="S152" i="1" s="1"/>
  <c r="S182" i="1"/>
  <c r="S180" i="1"/>
  <c r="S173" i="1"/>
  <c r="S194" i="1"/>
  <c r="S195" i="1" s="1"/>
  <c r="S177" i="1"/>
  <c r="T139" i="1"/>
  <c r="S187" i="1"/>
  <c r="S185" i="1"/>
  <c r="S153" i="1"/>
  <c r="S198" i="1"/>
  <c r="S199" i="1" s="1"/>
  <c r="R207" i="1"/>
  <c r="S172" i="1"/>
  <c r="S200" i="1"/>
  <c r="S201" i="1" s="1"/>
  <c r="S202" i="1"/>
  <c r="S203" i="1" s="1"/>
  <c r="S140" i="1"/>
  <c r="S179" i="1"/>
  <c r="S164" i="1"/>
  <c r="R144" i="1"/>
  <c r="R145" i="1"/>
  <c r="R146" i="1" s="1"/>
  <c r="S156" i="1"/>
  <c r="S157" i="1"/>
  <c r="S158" i="1"/>
  <c r="S161" i="1"/>
  <c r="S155" i="1"/>
  <c r="R206" i="1"/>
  <c r="S143" i="1"/>
  <c r="AL22" i="4"/>
  <c r="AL21" i="4"/>
  <c r="AL23" i="4"/>
  <c r="AL17" i="4"/>
  <c r="AL18" i="4" s="1"/>
  <c r="AI19" i="4"/>
  <c r="R189" i="1"/>
  <c r="R190" i="1"/>
  <c r="AW161" i="1" l="1"/>
  <c r="AW162" i="1"/>
  <c r="AW164" i="1"/>
  <c r="AY138" i="1"/>
  <c r="AU162" i="1"/>
  <c r="AU161" i="1"/>
  <c r="AX138" i="1"/>
  <c r="AR161" i="1"/>
  <c r="AR162" i="1"/>
  <c r="AR164" i="1"/>
  <c r="AZ138" i="1"/>
  <c r="AT161" i="1"/>
  <c r="AT162" i="1"/>
  <c r="T183" i="1"/>
  <c r="BB138" i="1"/>
  <c r="T187" i="1"/>
  <c r="T184" i="1"/>
  <c r="T196" i="1"/>
  <c r="T197" i="1" s="1"/>
  <c r="T181" i="1"/>
  <c r="T182" i="1"/>
  <c r="T173" i="1"/>
  <c r="T179" i="1"/>
  <c r="T194" i="1"/>
  <c r="T195" i="1" s="1"/>
  <c r="S190" i="1"/>
  <c r="T180" i="1"/>
  <c r="T172" i="1"/>
  <c r="T202" i="1"/>
  <c r="T203" i="1" s="1"/>
  <c r="T186" i="1"/>
  <c r="T178" i="1"/>
  <c r="T185" i="1"/>
  <c r="T200" i="1"/>
  <c r="T201" i="1" s="1"/>
  <c r="S207" i="1"/>
  <c r="T147" i="1"/>
  <c r="T140" i="1"/>
  <c r="T174" i="1"/>
  <c r="T175" i="1"/>
  <c r="T198" i="1"/>
  <c r="T199" i="1" s="1"/>
  <c r="T143" i="1"/>
  <c r="T145" i="1" s="1"/>
  <c r="T153" i="1"/>
  <c r="T177" i="1"/>
  <c r="U139" i="1"/>
  <c r="U171" i="1" s="1"/>
  <c r="T188" i="1"/>
  <c r="S189" i="1"/>
  <c r="T176" i="1"/>
  <c r="T204" i="1"/>
  <c r="S206" i="1"/>
  <c r="T171" i="1"/>
  <c r="T164" i="1"/>
  <c r="S144" i="1"/>
  <c r="S145" i="1"/>
  <c r="S146" i="1" s="1"/>
  <c r="T156" i="1"/>
  <c r="T161" i="1"/>
  <c r="T157" i="1"/>
  <c r="T158" i="1"/>
  <c r="T155" i="1"/>
  <c r="AO21" i="4"/>
  <c r="AO22" i="4"/>
  <c r="AO23" i="4"/>
  <c r="AO17" i="4"/>
  <c r="AO18" i="4" s="1"/>
  <c r="AO19" i="4" s="1"/>
  <c r="AL19" i="4"/>
  <c r="AX161" i="1" l="1"/>
  <c r="AX162" i="1"/>
  <c r="AY162" i="1"/>
  <c r="AY161" i="1"/>
  <c r="U181" i="1"/>
  <c r="AZ162" i="1"/>
  <c r="AZ161" i="1"/>
  <c r="U184" i="1"/>
  <c r="BC138" i="1"/>
  <c r="BB161" i="1"/>
  <c r="BB162" i="1"/>
  <c r="U174" i="1"/>
  <c r="T189" i="1"/>
  <c r="T207" i="1"/>
  <c r="U187" i="1"/>
  <c r="U153" i="1"/>
  <c r="V139" i="1"/>
  <c r="V143" i="1" s="1"/>
  <c r="U176" i="1"/>
  <c r="U202" i="1"/>
  <c r="U203" i="1" s="1"/>
  <c r="U182" i="1"/>
  <c r="U183" i="1"/>
  <c r="T206" i="1"/>
  <c r="U179" i="1"/>
  <c r="T190" i="1"/>
  <c r="U140" i="1"/>
  <c r="U177" i="1"/>
  <c r="U200" i="1"/>
  <c r="U201" i="1" s="1"/>
  <c r="U147" i="1"/>
  <c r="U196" i="1"/>
  <c r="U197" i="1" s="1"/>
  <c r="U178" i="1"/>
  <c r="U143" i="1"/>
  <c r="U144" i="1" s="1"/>
  <c r="U186" i="1"/>
  <c r="U185" i="1"/>
  <c r="U180" i="1"/>
  <c r="U198" i="1"/>
  <c r="U199" i="1" s="1"/>
  <c r="U173" i="1"/>
  <c r="U194" i="1"/>
  <c r="U195" i="1" s="1"/>
  <c r="U204" i="1"/>
  <c r="U175" i="1"/>
  <c r="T144" i="1"/>
  <c r="U172" i="1"/>
  <c r="U188" i="1"/>
  <c r="U164" i="1"/>
  <c r="U156" i="1"/>
  <c r="U157" i="1"/>
  <c r="U155" i="1"/>
  <c r="U158" i="1"/>
  <c r="U161" i="1"/>
  <c r="V185" i="1" l="1"/>
  <c r="V147" i="1"/>
  <c r="BD138" i="1"/>
  <c r="BC162" i="1"/>
  <c r="BC161" i="1"/>
  <c r="V153" i="1"/>
  <c r="V182" i="1"/>
  <c r="V194" i="1"/>
  <c r="V204" i="1"/>
  <c r="V179" i="1"/>
  <c r="V180" i="1"/>
  <c r="V172" i="1"/>
  <c r="V186" i="1"/>
  <c r="V173" i="1"/>
  <c r="V171" i="1"/>
  <c r="V176" i="1"/>
  <c r="V183" i="1"/>
  <c r="V184" i="1"/>
  <c r="V140" i="1"/>
  <c r="V196" i="1"/>
  <c r="V197" i="1" s="1"/>
  <c r="V181" i="1"/>
  <c r="V174" i="1"/>
  <c r="V200" i="1"/>
  <c r="V201" i="1" s="1"/>
  <c r="V198" i="1"/>
  <c r="V199" i="1" s="1"/>
  <c r="V178" i="1"/>
  <c r="V177" i="1"/>
  <c r="W139" i="1"/>
  <c r="V188" i="1"/>
  <c r="V187" i="1"/>
  <c r="V202" i="1"/>
  <c r="V203" i="1" s="1"/>
  <c r="V175" i="1"/>
  <c r="U207" i="1"/>
  <c r="U190" i="1"/>
  <c r="U206" i="1"/>
  <c r="U189" i="1"/>
  <c r="U145" i="1"/>
  <c r="V164" i="1"/>
  <c r="V144" i="1"/>
  <c r="V145" i="1"/>
  <c r="V156" i="1"/>
  <c r="V157" i="1"/>
  <c r="V158" i="1"/>
  <c r="V155" i="1"/>
  <c r="V161" i="1"/>
  <c r="V195" i="1"/>
  <c r="W181" i="1" l="1"/>
  <c r="BE138" i="1"/>
  <c r="BD161" i="1"/>
  <c r="BD162" i="1"/>
  <c r="W184" i="1"/>
  <c r="W196" i="1"/>
  <c r="W197" i="1" s="1"/>
  <c r="W171" i="1"/>
  <c r="W194" i="1"/>
  <c r="W195" i="1" s="1"/>
  <c r="W153" i="1"/>
  <c r="W182" i="1"/>
  <c r="W187" i="1"/>
  <c r="W204" i="1"/>
  <c r="W176" i="1"/>
  <c r="X139" i="1"/>
  <c r="W183" i="1"/>
  <c r="W188" i="1"/>
  <c r="W172" i="1"/>
  <c r="V189" i="1"/>
  <c r="W178" i="1"/>
  <c r="V190" i="1"/>
  <c r="V206" i="1"/>
  <c r="W174" i="1"/>
  <c r="W185" i="1"/>
  <c r="W180" i="1"/>
  <c r="W179" i="1"/>
  <c r="W198" i="1"/>
  <c r="W199" i="1" s="1"/>
  <c r="V207" i="1"/>
  <c r="W143" i="1"/>
  <c r="W144" i="1" s="1"/>
  <c r="W200" i="1"/>
  <c r="W201" i="1" s="1"/>
  <c r="W147" i="1"/>
  <c r="W140" i="1"/>
  <c r="W173" i="1"/>
  <c r="W175" i="1"/>
  <c r="W186" i="1"/>
  <c r="W202" i="1"/>
  <c r="W203" i="1" s="1"/>
  <c r="W177" i="1"/>
  <c r="X164" i="1"/>
  <c r="W164" i="1"/>
  <c r="W162" i="1"/>
  <c r="W161" i="1"/>
  <c r="W156" i="1"/>
  <c r="W158" i="1"/>
  <c r="W157" i="1"/>
  <c r="W155" i="1"/>
  <c r="X147" i="1" l="1"/>
  <c r="BF138" i="1"/>
  <c r="BE161" i="1"/>
  <c r="BE162" i="1"/>
  <c r="X184" i="1"/>
  <c r="X187" i="1"/>
  <c r="X188" i="1"/>
  <c r="X140" i="1"/>
  <c r="X202" i="1"/>
  <c r="X203" i="1" s="1"/>
  <c r="X200" i="1"/>
  <c r="X201" i="1" s="1"/>
  <c r="X198" i="1"/>
  <c r="X199" i="1" s="1"/>
  <c r="X179" i="1"/>
  <c r="X196" i="1"/>
  <c r="X197" i="1" s="1"/>
  <c r="X182" i="1"/>
  <c r="X174" i="1"/>
  <c r="X172" i="1"/>
  <c r="X171" i="1"/>
  <c r="X180" i="1"/>
  <c r="X186" i="1"/>
  <c r="X153" i="1"/>
  <c r="X173" i="1"/>
  <c r="X181" i="1"/>
  <c r="X185" i="1"/>
  <c r="X194" i="1"/>
  <c r="X195" i="1" s="1"/>
  <c r="X178" i="1"/>
  <c r="X183" i="1"/>
  <c r="X177" i="1"/>
  <c r="X176" i="1"/>
  <c r="Y139" i="1"/>
  <c r="Y177" i="1" s="1"/>
  <c r="X175" i="1"/>
  <c r="X204" i="1"/>
  <c r="X143" i="1"/>
  <c r="X144" i="1" s="1"/>
  <c r="W190" i="1"/>
  <c r="W145" i="1"/>
  <c r="W189" i="1"/>
  <c r="W206" i="1"/>
  <c r="W207" i="1"/>
  <c r="X161" i="1"/>
  <c r="X162" i="1"/>
  <c r="X156" i="1"/>
  <c r="X158" i="1"/>
  <c r="X155" i="1"/>
  <c r="X157" i="1"/>
  <c r="Y204" i="1"/>
  <c r="Y200" i="1"/>
  <c r="Y201" i="1" s="1"/>
  <c r="Y153" i="1" l="1"/>
  <c r="Y143" i="1"/>
  <c r="Y145" i="1" s="1"/>
  <c r="Y140" i="1"/>
  <c r="BG138" i="1"/>
  <c r="BF161" i="1"/>
  <c r="BF162" i="1"/>
  <c r="X207" i="1"/>
  <c r="X206" i="1"/>
  <c r="X190" i="1"/>
  <c r="X189" i="1"/>
  <c r="Y174" i="1"/>
  <c r="Y176" i="1"/>
  <c r="Y184" i="1"/>
  <c r="Y171" i="1"/>
  <c r="Z139" i="1"/>
  <c r="Y185" i="1"/>
  <c r="Y198" i="1"/>
  <c r="Y199" i="1" s="1"/>
  <c r="Y194" i="1"/>
  <c r="Y195" i="1" s="1"/>
  <c r="Y187" i="1"/>
  <c r="Y196" i="1"/>
  <c r="Y197" i="1" s="1"/>
  <c r="Y182" i="1"/>
  <c r="Y178" i="1"/>
  <c r="Y183" i="1"/>
  <c r="Y173" i="1"/>
  <c r="Y147" i="1"/>
  <c r="Y181" i="1"/>
  <c r="Y179" i="1"/>
  <c r="Y172" i="1"/>
  <c r="Y188" i="1"/>
  <c r="Y180" i="1"/>
  <c r="Y202" i="1"/>
  <c r="Y203" i="1" s="1"/>
  <c r="Y186" i="1"/>
  <c r="Y175" i="1"/>
  <c r="X145" i="1"/>
  <c r="Y144" i="1"/>
  <c r="Y164" i="1"/>
  <c r="Y162" i="1"/>
  <c r="Y161" i="1"/>
  <c r="Y157" i="1"/>
  <c r="Y158" i="1"/>
  <c r="Y155" i="1"/>
  <c r="Y156" i="1"/>
  <c r="Z147" i="1" l="1"/>
  <c r="Z176" i="1"/>
  <c r="Z181" i="1"/>
  <c r="Z179" i="1"/>
  <c r="Z196" i="1"/>
  <c r="Z197" i="1" s="1"/>
  <c r="Z183" i="1"/>
  <c r="Y189" i="1"/>
  <c r="Z187" i="1"/>
  <c r="Z194" i="1"/>
  <c r="Z195" i="1" s="1"/>
  <c r="Z173" i="1"/>
  <c r="Z180" i="1"/>
  <c r="Z153" i="1"/>
  <c r="Z198" i="1"/>
  <c r="Z199" i="1" s="1"/>
  <c r="Z185" i="1"/>
  <c r="Z182" i="1"/>
  <c r="Z188" i="1"/>
  <c r="Z174" i="1"/>
  <c r="Z178" i="1"/>
  <c r="Z200" i="1"/>
  <c r="Z201" i="1" s="1"/>
  <c r="Z186" i="1"/>
  <c r="AA139" i="1"/>
  <c r="AA185" i="1" s="1"/>
  <c r="Z171" i="1"/>
  <c r="Z143" i="1"/>
  <c r="Z145" i="1" s="1"/>
  <c r="Y190" i="1"/>
  <c r="Z184" i="1"/>
  <c r="Z177" i="1"/>
  <c r="Z202" i="1"/>
  <c r="Z203" i="1" s="1"/>
  <c r="Z172" i="1"/>
  <c r="Z175" i="1"/>
  <c r="Z204" i="1"/>
  <c r="Z140" i="1"/>
  <c r="Y206" i="1"/>
  <c r="Y207" i="1"/>
  <c r="Z164" i="1"/>
  <c r="Z162" i="1"/>
  <c r="Z161" i="1"/>
  <c r="Z158" i="1"/>
  <c r="Z155" i="1"/>
  <c r="Z157" i="1"/>
  <c r="Z156" i="1"/>
  <c r="AA198" i="1" l="1"/>
  <c r="AA199" i="1" s="1"/>
  <c r="AA183" i="1"/>
  <c r="AA140" i="1"/>
  <c r="AA176" i="1"/>
  <c r="AA202" i="1"/>
  <c r="AA203" i="1" s="1"/>
  <c r="Z144" i="1"/>
  <c r="AA204" i="1"/>
  <c r="AA188" i="1"/>
  <c r="AA178" i="1"/>
  <c r="AA179" i="1"/>
  <c r="AA177" i="1"/>
  <c r="AA174" i="1"/>
  <c r="AA187" i="1"/>
  <c r="AA171" i="1"/>
  <c r="Z206" i="1"/>
  <c r="Z189" i="1"/>
  <c r="AA181" i="1"/>
  <c r="AA186" i="1"/>
  <c r="AA153" i="1"/>
  <c r="AA184" i="1"/>
  <c r="AA147" i="1"/>
  <c r="AA175" i="1"/>
  <c r="AA173" i="1"/>
  <c r="AB139" i="1"/>
  <c r="AB204" i="1" s="1"/>
  <c r="AA172" i="1"/>
  <c r="AA143" i="1"/>
  <c r="AA145" i="1" s="1"/>
  <c r="AA182" i="1"/>
  <c r="AA200" i="1"/>
  <c r="AA201" i="1" s="1"/>
  <c r="AA180" i="1"/>
  <c r="Z190" i="1"/>
  <c r="Z207" i="1"/>
  <c r="AA196" i="1"/>
  <c r="AA197" i="1" s="1"/>
  <c r="AA194" i="1"/>
  <c r="AA195" i="1" s="1"/>
  <c r="AA162" i="1"/>
  <c r="AA164" i="1"/>
  <c r="AA155" i="1"/>
  <c r="AA157" i="1"/>
  <c r="AA161" i="1"/>
  <c r="AA156" i="1"/>
  <c r="AA158" i="1"/>
  <c r="AB179" i="1" l="1"/>
  <c r="AB196" i="1"/>
  <c r="AB197" i="1" s="1"/>
  <c r="AB185" i="1"/>
  <c r="AB178" i="1"/>
  <c r="AB175" i="1"/>
  <c r="AB147" i="1"/>
  <c r="AB181" i="1"/>
  <c r="AB198" i="1"/>
  <c r="AB199" i="1" s="1"/>
  <c r="AB183" i="1"/>
  <c r="AB182" i="1"/>
  <c r="AB186" i="1"/>
  <c r="AB173" i="1"/>
  <c r="AB143" i="1"/>
  <c r="AB144" i="1" s="1"/>
  <c r="AB200" i="1"/>
  <c r="AB201" i="1" s="1"/>
  <c r="AB140" i="1"/>
  <c r="AA190" i="1"/>
  <c r="AA189" i="1"/>
  <c r="AB171" i="1"/>
  <c r="AB172" i="1"/>
  <c r="AB180" i="1"/>
  <c r="AB176" i="1"/>
  <c r="AB174" i="1"/>
  <c r="AB177" i="1"/>
  <c r="AA144" i="1"/>
  <c r="AB187" i="1"/>
  <c r="AC139" i="1"/>
  <c r="AB202" i="1"/>
  <c r="AB203" i="1" s="1"/>
  <c r="AA206" i="1"/>
  <c r="AB194" i="1"/>
  <c r="AB195" i="1" s="1"/>
  <c r="AB184" i="1"/>
  <c r="AB188" i="1"/>
  <c r="AB153" i="1"/>
  <c r="AA207" i="1"/>
  <c r="AB162" i="1"/>
  <c r="AB164" i="1"/>
  <c r="AB155" i="1"/>
  <c r="AB157" i="1"/>
  <c r="AB158" i="1"/>
  <c r="AB161" i="1"/>
  <c r="AB156" i="1"/>
  <c r="AC147" i="1" l="1"/>
  <c r="AB145" i="1"/>
  <c r="AB190" i="1"/>
  <c r="AB189" i="1"/>
  <c r="AC172" i="1"/>
  <c r="AC173" i="1"/>
  <c r="AC185" i="1"/>
  <c r="AC188" i="1"/>
  <c r="AC171" i="1"/>
  <c r="AC182" i="1"/>
  <c r="AC204" i="1"/>
  <c r="AC180" i="1"/>
  <c r="AC177" i="1"/>
  <c r="AC175" i="1"/>
  <c r="AC196" i="1"/>
  <c r="AC197" i="1" s="1"/>
  <c r="AC178" i="1"/>
  <c r="AC174" i="1"/>
  <c r="AC184" i="1"/>
  <c r="AC181" i="1"/>
  <c r="AC176" i="1"/>
  <c r="AC140" i="1"/>
  <c r="AD139" i="1"/>
  <c r="AC143" i="1"/>
  <c r="AC144" i="1" s="1"/>
  <c r="AC198" i="1"/>
  <c r="AC199" i="1" s="1"/>
  <c r="AC183" i="1"/>
  <c r="AC153" i="1"/>
  <c r="AC187" i="1"/>
  <c r="AB207" i="1"/>
  <c r="AB206" i="1"/>
  <c r="AC194" i="1"/>
  <c r="AC195" i="1" s="1"/>
  <c r="AC179" i="1"/>
  <c r="AC186" i="1"/>
  <c r="AC202" i="1"/>
  <c r="AC203" i="1" s="1"/>
  <c r="AC200" i="1"/>
  <c r="AC201" i="1" s="1"/>
  <c r="AC162" i="1"/>
  <c r="AC164" i="1"/>
  <c r="AC158" i="1"/>
  <c r="AC157" i="1"/>
  <c r="AC155" i="1"/>
  <c r="AC161" i="1"/>
  <c r="AC156" i="1"/>
  <c r="AD147" i="1" l="1"/>
  <c r="AD178" i="1"/>
  <c r="AD177" i="1"/>
  <c r="AD179" i="1"/>
  <c r="AD183" i="1"/>
  <c r="AH139" i="1"/>
  <c r="AH180" i="1" s="1"/>
  <c r="AD174" i="1"/>
  <c r="AD153" i="1"/>
  <c r="AD176" i="1"/>
  <c r="AD202" i="1"/>
  <c r="AD203" i="1" s="1"/>
  <c r="AD182" i="1"/>
  <c r="AD140" i="1"/>
  <c r="AD180" i="1"/>
  <c r="AD196" i="1"/>
  <c r="AD197" i="1" s="1"/>
  <c r="AD143" i="1"/>
  <c r="AD144" i="1" s="1"/>
  <c r="AD172" i="1"/>
  <c r="AD204" i="1"/>
  <c r="AD198" i="1"/>
  <c r="AD199" i="1" s="1"/>
  <c r="AD200" i="1"/>
  <c r="AD201" i="1" s="1"/>
  <c r="AD184" i="1"/>
  <c r="AC190" i="1"/>
  <c r="AD186" i="1"/>
  <c r="AD185" i="1"/>
  <c r="AD187" i="1"/>
  <c r="AD181" i="1"/>
  <c r="AD171" i="1"/>
  <c r="AD188" i="1"/>
  <c r="AC189" i="1"/>
  <c r="AC145" i="1"/>
  <c r="AC207" i="1"/>
  <c r="AC206" i="1"/>
  <c r="AD173" i="1"/>
  <c r="AD175" i="1"/>
  <c r="AD194" i="1"/>
  <c r="AD195" i="1" s="1"/>
  <c r="AD162" i="1"/>
  <c r="AD164" i="1"/>
  <c r="AD158" i="1"/>
  <c r="AD155" i="1"/>
  <c r="AD157" i="1"/>
  <c r="AD161" i="1"/>
  <c r="AD156" i="1"/>
  <c r="AH178" i="1"/>
  <c r="AH183" i="1"/>
  <c r="AH173" i="1" l="1"/>
  <c r="AE139" i="1"/>
  <c r="AG139" i="1"/>
  <c r="AF139" i="1"/>
  <c r="AH200" i="1"/>
  <c r="AH201" i="1" s="1"/>
  <c r="AH174" i="1"/>
  <c r="AH202" i="1"/>
  <c r="AH203" i="1" s="1"/>
  <c r="AH171" i="1"/>
  <c r="AH181" i="1"/>
  <c r="AH186" i="1"/>
  <c r="AH196" i="1"/>
  <c r="AH197" i="1" s="1"/>
  <c r="AH185" i="1"/>
  <c r="AH188" i="1"/>
  <c r="AH175" i="1"/>
  <c r="AH187" i="1"/>
  <c r="AH140" i="1"/>
  <c r="AH147" i="1"/>
  <c r="AH172" i="1"/>
  <c r="AH184" i="1"/>
  <c r="AH176" i="1"/>
  <c r="AH143" i="1"/>
  <c r="AH144" i="1" s="1"/>
  <c r="AH182" i="1"/>
  <c r="AH198" i="1"/>
  <c r="AH199" i="1" s="1"/>
  <c r="AH204" i="1"/>
  <c r="AH177" i="1"/>
  <c r="AL139" i="1"/>
  <c r="AH179" i="1"/>
  <c r="AH194" i="1"/>
  <c r="AH195" i="1" s="1"/>
  <c r="AH153" i="1"/>
  <c r="AD207" i="1"/>
  <c r="AD190" i="1"/>
  <c r="AD145" i="1"/>
  <c r="AD189" i="1"/>
  <c r="AD206" i="1"/>
  <c r="AH162" i="1"/>
  <c r="AH155" i="1"/>
  <c r="AH157" i="1"/>
  <c r="AH161" i="1"/>
  <c r="AH156" i="1"/>
  <c r="AH158" i="1"/>
  <c r="AL163" i="1" l="1"/>
  <c r="AI139" i="1"/>
  <c r="AJ139" i="1"/>
  <c r="AK139" i="1"/>
  <c r="AL184" i="1"/>
  <c r="AQ163" i="1"/>
  <c r="AV163" i="1" s="1"/>
  <c r="BA163" i="1" s="1"/>
  <c r="BB163" i="1" s="1"/>
  <c r="AL174" i="1"/>
  <c r="AL186" i="1"/>
  <c r="AL153" i="1"/>
  <c r="AQ139" i="1"/>
  <c r="AL185" i="1"/>
  <c r="AH145" i="1"/>
  <c r="AL188" i="1"/>
  <c r="AL200" i="1"/>
  <c r="AL201" i="1" s="1"/>
  <c r="AL175" i="1"/>
  <c r="AL171" i="1"/>
  <c r="AL196" i="1"/>
  <c r="AL197" i="1" s="1"/>
  <c r="AL179" i="1"/>
  <c r="AL181" i="1"/>
  <c r="AL140" i="1"/>
  <c r="AL202" i="1"/>
  <c r="AL203" i="1" s="1"/>
  <c r="AL198" i="1"/>
  <c r="AL199" i="1" s="1"/>
  <c r="AL204" i="1"/>
  <c r="AL187" i="1"/>
  <c r="AL172" i="1"/>
  <c r="AL173" i="1"/>
  <c r="AL180" i="1"/>
  <c r="AL147" i="1"/>
  <c r="AL194" i="1"/>
  <c r="AL195" i="1" s="1"/>
  <c r="AL177" i="1"/>
  <c r="AH189" i="1"/>
  <c r="AH190" i="1"/>
  <c r="AL183" i="1"/>
  <c r="AH206" i="1"/>
  <c r="AL143" i="1"/>
  <c r="AL144" i="1" s="1"/>
  <c r="AL176" i="1"/>
  <c r="AL178" i="1"/>
  <c r="AL182" i="1"/>
  <c r="AH207" i="1"/>
  <c r="AF196" i="1"/>
  <c r="AF197" i="1" s="1"/>
  <c r="AF202" i="1"/>
  <c r="AF203" i="1" s="1"/>
  <c r="AF198" i="1"/>
  <c r="AF199" i="1" s="1"/>
  <c r="AF153" i="1"/>
  <c r="AF140" i="1"/>
  <c r="AF143" i="1"/>
  <c r="AF194" i="1"/>
  <c r="AF147" i="1"/>
  <c r="AF204" i="1"/>
  <c r="AF200" i="1"/>
  <c r="AF201" i="1" s="1"/>
  <c r="AF174" i="1"/>
  <c r="AF173" i="1"/>
  <c r="AF182" i="1"/>
  <c r="AF175" i="1"/>
  <c r="AF179" i="1"/>
  <c r="AF181" i="1"/>
  <c r="AF185" i="1"/>
  <c r="AF176" i="1"/>
  <c r="AF180" i="1"/>
  <c r="AF186" i="1"/>
  <c r="AF187" i="1"/>
  <c r="AF183" i="1"/>
  <c r="AF171" i="1"/>
  <c r="AF177" i="1"/>
  <c r="AF188" i="1"/>
  <c r="AF184" i="1"/>
  <c r="AF178" i="1"/>
  <c r="AF172" i="1"/>
  <c r="AG196" i="1"/>
  <c r="AG197" i="1" s="1"/>
  <c r="AG202" i="1"/>
  <c r="AG203" i="1" s="1"/>
  <c r="AG143" i="1"/>
  <c r="AG198" i="1"/>
  <c r="AG199" i="1" s="1"/>
  <c r="AG200" i="1"/>
  <c r="AG201" i="1" s="1"/>
  <c r="AG194" i="1"/>
  <c r="AG147" i="1"/>
  <c r="AG204" i="1"/>
  <c r="AG153" i="1"/>
  <c r="AG140" i="1"/>
  <c r="AG173" i="1"/>
  <c r="AG174" i="1"/>
  <c r="AG185" i="1"/>
  <c r="AG186" i="1"/>
  <c r="AG175" i="1"/>
  <c r="AG179" i="1"/>
  <c r="AG171" i="1"/>
  <c r="AG182" i="1"/>
  <c r="AG181" i="1"/>
  <c r="AG176" i="1"/>
  <c r="AG180" i="1"/>
  <c r="AG178" i="1"/>
  <c r="AG187" i="1"/>
  <c r="AG183" i="1"/>
  <c r="AG177" i="1"/>
  <c r="AG188" i="1"/>
  <c r="AG184" i="1"/>
  <c r="AG172" i="1"/>
  <c r="AE140" i="1"/>
  <c r="AE147" i="1"/>
  <c r="AE194" i="1"/>
  <c r="AE143" i="1"/>
  <c r="AE204" i="1"/>
  <c r="AE200" i="1"/>
  <c r="AE201" i="1" s="1"/>
  <c r="AE153" i="1"/>
  <c r="AE196" i="1"/>
  <c r="AE197" i="1" s="1"/>
  <c r="AE202" i="1"/>
  <c r="AE203" i="1" s="1"/>
  <c r="AE198" i="1"/>
  <c r="AE199" i="1" s="1"/>
  <c r="AE173" i="1"/>
  <c r="AE174" i="1"/>
  <c r="AE175" i="1"/>
  <c r="AE179" i="1"/>
  <c r="AE181" i="1"/>
  <c r="AE185" i="1"/>
  <c r="AE176" i="1"/>
  <c r="AE180" i="1"/>
  <c r="AE186" i="1"/>
  <c r="AE182" i="1"/>
  <c r="AE183" i="1"/>
  <c r="AE171" i="1"/>
  <c r="AE177" i="1"/>
  <c r="AE188" i="1"/>
  <c r="AE184" i="1"/>
  <c r="AE172" i="1"/>
  <c r="AE187" i="1"/>
  <c r="AE178" i="1"/>
  <c r="AL164" i="1"/>
  <c r="AL162" i="1"/>
  <c r="W146" i="1" s="1"/>
  <c r="AL161" i="1"/>
  <c r="AL156" i="1"/>
  <c r="AL155" i="1"/>
  <c r="AL157" i="1"/>
  <c r="AL158" i="1"/>
  <c r="AQ175" i="1"/>
  <c r="Z148" i="1" l="1"/>
  <c r="AB154" i="1"/>
  <c r="W151" i="1"/>
  <c r="W152" i="1" s="1"/>
  <c r="V146" i="1"/>
  <c r="U146" i="1"/>
  <c r="AB146" i="1"/>
  <c r="AE148" i="1"/>
  <c r="V149" i="1"/>
  <c r="V150" i="1" s="1"/>
  <c r="AX149" i="1"/>
  <c r="AX151" i="1"/>
  <c r="AX152" i="1" s="1"/>
  <c r="AX154" i="1"/>
  <c r="T149" i="1"/>
  <c r="T150" i="1" s="1"/>
  <c r="AE151" i="1"/>
  <c r="AE152" i="1" s="1"/>
  <c r="V151" i="1"/>
  <c r="V152" i="1" s="1"/>
  <c r="Y149" i="1"/>
  <c r="Y150" i="1" s="1"/>
  <c r="AA146" i="1"/>
  <c r="Y148" i="1"/>
  <c r="AJ154" i="1"/>
  <c r="AF154" i="1"/>
  <c r="Q149" i="1"/>
  <c r="Q150" i="1" s="1"/>
  <c r="Q141" i="1" s="1"/>
  <c r="Q142" i="1" s="1"/>
  <c r="AC146" i="1"/>
  <c r="V148" i="1"/>
  <c r="V141" i="1" s="1"/>
  <c r="V142" i="1" s="1"/>
  <c r="U148" i="1"/>
  <c r="U141" i="1" s="1"/>
  <c r="U142" i="1" s="1"/>
  <c r="AE154" i="1"/>
  <c r="T146" i="1"/>
  <c r="AG154" i="1"/>
  <c r="U149" i="1"/>
  <c r="U150" i="1" s="1"/>
  <c r="X151" i="1"/>
  <c r="X152" i="1" s="1"/>
  <c r="AD154" i="1"/>
  <c r="U151" i="1"/>
  <c r="U152" i="1" s="1"/>
  <c r="T148" i="1"/>
  <c r="S149" i="1"/>
  <c r="S150" i="1" s="1"/>
  <c r="S141" i="1" s="1"/>
  <c r="S142" i="1" s="1"/>
  <c r="Z146" i="1"/>
  <c r="Y151" i="1"/>
  <c r="Y152" i="1" s="1"/>
  <c r="R149" i="1"/>
  <c r="R150" i="1" s="1"/>
  <c r="R141" i="1" s="1"/>
  <c r="R142" i="1" s="1"/>
  <c r="W149" i="1"/>
  <c r="W150" i="1" s="1"/>
  <c r="AC154" i="1"/>
  <c r="Z149" i="1"/>
  <c r="Z150" i="1" s="1"/>
  <c r="X148" i="1"/>
  <c r="AI154" i="1"/>
  <c r="T151" i="1"/>
  <c r="T152" i="1" s="1"/>
  <c r="W148" i="1"/>
  <c r="W141" i="1" s="1"/>
  <c r="W142" i="1" s="1"/>
  <c r="Y146" i="1"/>
  <c r="X146" i="1"/>
  <c r="Z151" i="1"/>
  <c r="Z152" i="1" s="1"/>
  <c r="AK154" i="1"/>
  <c r="X149" i="1"/>
  <c r="X150" i="1" s="1"/>
  <c r="AQ147" i="1"/>
  <c r="AQ200" i="1"/>
  <c r="AQ201" i="1" s="1"/>
  <c r="AN139" i="1"/>
  <c r="AQ194" i="1"/>
  <c r="AQ195" i="1" s="1"/>
  <c r="AM139" i="1"/>
  <c r="AO139" i="1"/>
  <c r="AP139" i="1"/>
  <c r="AQ143" i="1"/>
  <c r="AQ145" i="1" s="1"/>
  <c r="T141" i="1"/>
  <c r="T142" i="1" s="1"/>
  <c r="AV139" i="1"/>
  <c r="AQ178" i="1"/>
  <c r="AQ153" i="1"/>
  <c r="AQ187" i="1"/>
  <c r="AQ184" i="1"/>
  <c r="AQ177" i="1"/>
  <c r="AQ179" i="1"/>
  <c r="AQ188" i="1"/>
  <c r="AQ182" i="1"/>
  <c r="AQ204" i="1"/>
  <c r="AQ172" i="1"/>
  <c r="AQ180" i="1"/>
  <c r="AQ173" i="1"/>
  <c r="AQ186" i="1"/>
  <c r="AQ198" i="1"/>
  <c r="AQ199" i="1" s="1"/>
  <c r="AQ202" i="1"/>
  <c r="AQ203" i="1" s="1"/>
  <c r="AK143" i="1"/>
  <c r="AK198" i="1"/>
  <c r="AK199" i="1" s="1"/>
  <c r="AK202" i="1"/>
  <c r="AK203" i="1" s="1"/>
  <c r="AK171" i="1"/>
  <c r="AK175" i="1"/>
  <c r="AK179" i="1"/>
  <c r="AK183" i="1"/>
  <c r="AK187" i="1"/>
  <c r="AK194" i="1"/>
  <c r="AK178" i="1"/>
  <c r="AK172" i="1"/>
  <c r="AK176" i="1"/>
  <c r="AK180" i="1"/>
  <c r="AK184" i="1"/>
  <c r="AK188" i="1"/>
  <c r="AK163" i="1"/>
  <c r="AK186" i="1"/>
  <c r="AK196" i="1"/>
  <c r="AK197" i="1" s="1"/>
  <c r="AK200" i="1"/>
  <c r="AK201" i="1" s="1"/>
  <c r="AK204" i="1"/>
  <c r="AK173" i="1"/>
  <c r="AK177" i="1"/>
  <c r="AK181" i="1"/>
  <c r="AK185" i="1"/>
  <c r="AK182" i="1"/>
  <c r="AK174" i="1"/>
  <c r="AK153" i="1"/>
  <c r="AK147" i="1"/>
  <c r="AK140" i="1"/>
  <c r="AQ176" i="1"/>
  <c r="AQ140" i="1"/>
  <c r="AJ147" i="1"/>
  <c r="AJ198" i="1"/>
  <c r="AJ199" i="1" s="1"/>
  <c r="AJ202" i="1"/>
  <c r="AJ203" i="1" s="1"/>
  <c r="AJ171" i="1"/>
  <c r="AJ175" i="1"/>
  <c r="AJ179" i="1"/>
  <c r="AJ183" i="1"/>
  <c r="AJ187" i="1"/>
  <c r="AJ200" i="1"/>
  <c r="AJ201" i="1" s="1"/>
  <c r="AJ177" i="1"/>
  <c r="AJ174" i="1"/>
  <c r="AJ194" i="1"/>
  <c r="AJ196" i="1"/>
  <c r="AJ197" i="1" s="1"/>
  <c r="AJ173" i="1"/>
  <c r="AJ185" i="1"/>
  <c r="AJ182" i="1"/>
  <c r="AJ172" i="1"/>
  <c r="AJ176" i="1"/>
  <c r="AJ180" i="1"/>
  <c r="AJ184" i="1"/>
  <c r="AJ188" i="1"/>
  <c r="AJ204" i="1"/>
  <c r="AJ181" i="1"/>
  <c r="AJ163" i="1"/>
  <c r="AJ178" i="1"/>
  <c r="AJ186" i="1"/>
  <c r="AJ140" i="1"/>
  <c r="AJ143" i="1"/>
  <c r="AJ153" i="1"/>
  <c r="AQ183" i="1"/>
  <c r="AQ174" i="1"/>
  <c r="AQ181" i="1"/>
  <c r="AQ171" i="1"/>
  <c r="AQ185" i="1"/>
  <c r="AQ196" i="1"/>
  <c r="AQ197" i="1" s="1"/>
  <c r="AI153" i="1"/>
  <c r="AI194" i="1"/>
  <c r="AI182" i="1"/>
  <c r="AI175" i="1"/>
  <c r="AI179" i="1"/>
  <c r="AI172" i="1"/>
  <c r="AI176" i="1"/>
  <c r="AI180" i="1"/>
  <c r="AI184" i="1"/>
  <c r="AI188" i="1"/>
  <c r="AI174" i="1"/>
  <c r="AI198" i="1"/>
  <c r="AI199" i="1" s="1"/>
  <c r="AI163" i="1"/>
  <c r="AI183" i="1"/>
  <c r="AI187" i="1"/>
  <c r="AI196" i="1"/>
  <c r="AI197" i="1" s="1"/>
  <c r="AI200" i="1"/>
  <c r="AI201" i="1" s="1"/>
  <c r="AI204" i="1"/>
  <c r="AI173" i="1"/>
  <c r="AI177" i="1"/>
  <c r="AI181" i="1"/>
  <c r="AI185" i="1"/>
  <c r="AI186" i="1"/>
  <c r="AI171" i="1"/>
  <c r="AI178" i="1"/>
  <c r="AI202" i="1"/>
  <c r="AI203" i="1" s="1"/>
  <c r="AI140" i="1"/>
  <c r="AI147" i="1"/>
  <c r="AI143" i="1"/>
  <c r="BC163" i="1"/>
  <c r="BB164" i="1"/>
  <c r="AL145" i="1"/>
  <c r="AL206" i="1"/>
  <c r="AL189" i="1"/>
  <c r="AL207" i="1"/>
  <c r="AL190" i="1"/>
  <c r="AG190" i="1"/>
  <c r="AE190" i="1"/>
  <c r="AE144" i="1"/>
  <c r="AE145" i="1"/>
  <c r="AE146" i="1" s="1"/>
  <c r="AE206" i="1"/>
  <c r="AE195" i="1"/>
  <c r="AE207" i="1" s="1"/>
  <c r="AF189" i="1"/>
  <c r="AG195" i="1"/>
  <c r="AG207" i="1" s="1"/>
  <c r="AG206" i="1"/>
  <c r="AG189" i="1"/>
  <c r="AG144" i="1"/>
  <c r="AG145" i="1"/>
  <c r="AF195" i="1"/>
  <c r="AF207" i="1" s="1"/>
  <c r="AF206" i="1"/>
  <c r="AE189" i="1"/>
  <c r="AF144" i="1"/>
  <c r="AF145" i="1"/>
  <c r="AF190" i="1"/>
  <c r="AD146" i="1"/>
  <c r="AB148" i="1"/>
  <c r="AC148" i="1"/>
  <c r="AD148" i="1"/>
  <c r="AA148" i="1"/>
  <c r="AA151" i="1"/>
  <c r="AA152" i="1" s="1"/>
  <c r="AA149" i="1"/>
  <c r="AA150" i="1" s="1"/>
  <c r="AB149" i="1"/>
  <c r="AB150" i="1" s="1"/>
  <c r="AB151" i="1"/>
  <c r="AB152" i="1" s="1"/>
  <c r="AC151" i="1"/>
  <c r="AC152" i="1" s="1"/>
  <c r="AC149" i="1"/>
  <c r="AC150" i="1" s="1"/>
  <c r="AD151" i="1"/>
  <c r="AD152" i="1" s="1"/>
  <c r="AH154" i="1"/>
  <c r="AQ162" i="1"/>
  <c r="AQ164" i="1"/>
  <c r="AQ156" i="1"/>
  <c r="AQ157" i="1"/>
  <c r="AQ155" i="1"/>
  <c r="AQ158" i="1"/>
  <c r="AQ161" i="1"/>
  <c r="AV153" i="1"/>
  <c r="AV175" i="1" l="1"/>
  <c r="AX150" i="1"/>
  <c r="Y141" i="1"/>
  <c r="Y142" i="1" s="1"/>
  <c r="X141" i="1"/>
  <c r="X142" i="1" s="1"/>
  <c r="Z141" i="1"/>
  <c r="Z142" i="1" s="1"/>
  <c r="AN196" i="1"/>
  <c r="AN197" i="1" s="1"/>
  <c r="AN200" i="1"/>
  <c r="AN201" i="1" s="1"/>
  <c r="AN204" i="1"/>
  <c r="AN172" i="1"/>
  <c r="AN175" i="1"/>
  <c r="AN178" i="1"/>
  <c r="AN181" i="1"/>
  <c r="AN184" i="1"/>
  <c r="AN187" i="1"/>
  <c r="AN176" i="1"/>
  <c r="AN188" i="1"/>
  <c r="AN173" i="1"/>
  <c r="AN182" i="1"/>
  <c r="AN185" i="1"/>
  <c r="AN194" i="1"/>
  <c r="AN198" i="1"/>
  <c r="AN199" i="1" s="1"/>
  <c r="AN179" i="1"/>
  <c r="AN202" i="1"/>
  <c r="AN203" i="1" s="1"/>
  <c r="AN171" i="1"/>
  <c r="AN174" i="1"/>
  <c r="AN177" i="1"/>
  <c r="AN180" i="1"/>
  <c r="AN183" i="1"/>
  <c r="AN186" i="1"/>
  <c r="AM187" i="1"/>
  <c r="AM180" i="1"/>
  <c r="AM183" i="1"/>
  <c r="AM196" i="1"/>
  <c r="AM197" i="1" s="1"/>
  <c r="AM200" i="1"/>
  <c r="AM201" i="1" s="1"/>
  <c r="AM204" i="1"/>
  <c r="AM172" i="1"/>
  <c r="AM175" i="1"/>
  <c r="AM178" i="1"/>
  <c r="AM181" i="1"/>
  <c r="AM184" i="1"/>
  <c r="AM174" i="1"/>
  <c r="AM177" i="1"/>
  <c r="AM194" i="1"/>
  <c r="AM198" i="1"/>
  <c r="AM199" i="1" s="1"/>
  <c r="AM173" i="1"/>
  <c r="AM176" i="1"/>
  <c r="AM179" i="1"/>
  <c r="AM182" i="1"/>
  <c r="AM185" i="1"/>
  <c r="AM188" i="1"/>
  <c r="AM186" i="1"/>
  <c r="AM202" i="1"/>
  <c r="AM203" i="1" s="1"/>
  <c r="AM171" i="1"/>
  <c r="AT139" i="1"/>
  <c r="AR139" i="1"/>
  <c r="AU139" i="1"/>
  <c r="AP176" i="1"/>
  <c r="AP202" i="1"/>
  <c r="AP203" i="1" s="1"/>
  <c r="AP171" i="1"/>
  <c r="AP174" i="1"/>
  <c r="AP177" i="1"/>
  <c r="AP180" i="1"/>
  <c r="AP183" i="1"/>
  <c r="AP186" i="1"/>
  <c r="AP182" i="1"/>
  <c r="AP173" i="1"/>
  <c r="AP194" i="1"/>
  <c r="AP198" i="1"/>
  <c r="AP199" i="1" s="1"/>
  <c r="AP196" i="1"/>
  <c r="AP197" i="1" s="1"/>
  <c r="AP200" i="1"/>
  <c r="AP201" i="1" s="1"/>
  <c r="AP204" i="1"/>
  <c r="AP172" i="1"/>
  <c r="AP175" i="1"/>
  <c r="AP178" i="1"/>
  <c r="AP181" i="1"/>
  <c r="AP184" i="1"/>
  <c r="AP187" i="1"/>
  <c r="AP179" i="1"/>
  <c r="AP188" i="1"/>
  <c r="AP185" i="1"/>
  <c r="AS139" i="1"/>
  <c r="AO202" i="1"/>
  <c r="AO203" i="1" s="1"/>
  <c r="AO171" i="1"/>
  <c r="AO174" i="1"/>
  <c r="AO177" i="1"/>
  <c r="AO180" i="1"/>
  <c r="AO183" i="1"/>
  <c r="AO186" i="1"/>
  <c r="AO176" i="1"/>
  <c r="AO182" i="1"/>
  <c r="AO196" i="1"/>
  <c r="AO197" i="1" s="1"/>
  <c r="AO200" i="1"/>
  <c r="AO201" i="1" s="1"/>
  <c r="AO204" i="1"/>
  <c r="AO172" i="1"/>
  <c r="AO175" i="1"/>
  <c r="AO178" i="1"/>
  <c r="AO181" i="1"/>
  <c r="AO184" i="1"/>
  <c r="AO187" i="1"/>
  <c r="AO185" i="1"/>
  <c r="AO179" i="1"/>
  <c r="AO188" i="1"/>
  <c r="AO194" i="1"/>
  <c r="AO198" i="1"/>
  <c r="AO199" i="1" s="1"/>
  <c r="AO173" i="1"/>
  <c r="AV177" i="1"/>
  <c r="AV179" i="1"/>
  <c r="AV183" i="1"/>
  <c r="AV181" i="1"/>
  <c r="AV171" i="1"/>
  <c r="AV173" i="1"/>
  <c r="BA139" i="1"/>
  <c r="D135" i="1" s="1"/>
  <c r="AV140" i="1"/>
  <c r="AQ144" i="1"/>
  <c r="AV174" i="1"/>
  <c r="AI164" i="1"/>
  <c r="AN163" i="1"/>
  <c r="AJ164" i="1"/>
  <c r="AO163" i="1"/>
  <c r="AV204" i="1"/>
  <c r="AP140" i="1"/>
  <c r="AP153" i="1"/>
  <c r="AP143" i="1"/>
  <c r="AP147" i="1"/>
  <c r="AV178" i="1"/>
  <c r="AV187" i="1"/>
  <c r="AV182" i="1"/>
  <c r="AV176" i="1"/>
  <c r="AV198" i="1"/>
  <c r="AV199" i="1" s="1"/>
  <c r="AO140" i="1"/>
  <c r="AO153" i="1"/>
  <c r="AO143" i="1"/>
  <c r="AO147" i="1"/>
  <c r="AK164" i="1"/>
  <c r="AP163" i="1"/>
  <c r="AM140" i="1"/>
  <c r="AM153" i="1"/>
  <c r="AM143" i="1"/>
  <c r="AM147" i="1"/>
  <c r="AV180" i="1"/>
  <c r="AV202" i="1"/>
  <c r="AV203" i="1" s="1"/>
  <c r="AV184" i="1"/>
  <c r="AV172" i="1"/>
  <c r="AV200" i="1"/>
  <c r="AV201" i="1" s="1"/>
  <c r="AV147" i="1"/>
  <c r="AV196" i="1"/>
  <c r="AV197" i="1" s="1"/>
  <c r="AV185" i="1"/>
  <c r="AV188" i="1"/>
  <c r="AV194" i="1"/>
  <c r="AV143" i="1"/>
  <c r="AV145" i="1" s="1"/>
  <c r="AN140" i="1"/>
  <c r="AN153" i="1"/>
  <c r="AN143" i="1"/>
  <c r="AN147" i="1"/>
  <c r="AV186" i="1"/>
  <c r="AK189" i="1"/>
  <c r="AQ189" i="1"/>
  <c r="AQ206" i="1"/>
  <c r="AQ190" i="1"/>
  <c r="AQ207" i="1"/>
  <c r="AI145" i="1"/>
  <c r="AI144" i="1"/>
  <c r="AJ145" i="1"/>
  <c r="AJ144" i="1"/>
  <c r="AJ189" i="1"/>
  <c r="AK190" i="1"/>
  <c r="AI190" i="1"/>
  <c r="AI195" i="1"/>
  <c r="AI207" i="1" s="1"/>
  <c r="AI206" i="1"/>
  <c r="AK195" i="1"/>
  <c r="AK207" i="1" s="1"/>
  <c r="AK206" i="1"/>
  <c r="AK145" i="1"/>
  <c r="AK144" i="1"/>
  <c r="AJ195" i="1"/>
  <c r="AJ207" i="1" s="1"/>
  <c r="AJ206" i="1"/>
  <c r="AI189" i="1"/>
  <c r="AJ190" i="1"/>
  <c r="BD163" i="1"/>
  <c r="BC164" i="1"/>
  <c r="BA143" i="1"/>
  <c r="BA145" i="1" s="1"/>
  <c r="BA183" i="1"/>
  <c r="AC141" i="1"/>
  <c r="AC142" i="1" s="1"/>
  <c r="AB141" i="1"/>
  <c r="AB142" i="1" s="1"/>
  <c r="AA141" i="1"/>
  <c r="AA142" i="1" s="1"/>
  <c r="AV162" i="1"/>
  <c r="AW149" i="1" s="1"/>
  <c r="AV164" i="1"/>
  <c r="AV157" i="1"/>
  <c r="AV156" i="1"/>
  <c r="AV155" i="1"/>
  <c r="AV158" i="1"/>
  <c r="AV161" i="1"/>
  <c r="BA198" i="1"/>
  <c r="BA199" i="1" s="1"/>
  <c r="BA194" i="1"/>
  <c r="BA200" i="1"/>
  <c r="BA201" i="1" s="1"/>
  <c r="BA172" i="1"/>
  <c r="BA177" i="1"/>
  <c r="AW151" i="1" l="1"/>
  <c r="AW152" i="1" s="1"/>
  <c r="AW150" i="1" s="1"/>
  <c r="AX139" i="1"/>
  <c r="AY139" i="1"/>
  <c r="AZ139" i="1"/>
  <c r="AW139" i="1"/>
  <c r="BA180" i="1"/>
  <c r="BA187" i="1"/>
  <c r="AW154" i="1"/>
  <c r="BA182" i="1"/>
  <c r="BA185" i="1"/>
  <c r="BA196" i="1"/>
  <c r="BA197" i="1" s="1"/>
  <c r="AM189" i="1"/>
  <c r="AM190" i="1"/>
  <c r="BA181" i="1"/>
  <c r="BA178" i="1"/>
  <c r="BA184" i="1"/>
  <c r="BA147" i="1"/>
  <c r="BA186" i="1"/>
  <c r="BA176" i="1"/>
  <c r="BA188" i="1"/>
  <c r="BA173" i="1"/>
  <c r="BA171" i="1"/>
  <c r="BA204" i="1"/>
  <c r="BA153" i="1"/>
  <c r="BA140" i="1"/>
  <c r="BA202" i="1"/>
  <c r="BA203" i="1" s="1"/>
  <c r="AR149" i="1"/>
  <c r="AR154" i="1"/>
  <c r="AO164" i="1"/>
  <c r="AT163" i="1"/>
  <c r="AN164" i="1"/>
  <c r="AS163" i="1"/>
  <c r="AO189" i="1"/>
  <c r="AS194" i="1"/>
  <c r="AS198" i="1"/>
  <c r="AS199" i="1" s="1"/>
  <c r="AS173" i="1"/>
  <c r="AS176" i="1"/>
  <c r="AS179" i="1"/>
  <c r="AS182" i="1"/>
  <c r="AS185" i="1"/>
  <c r="AS188" i="1"/>
  <c r="AS202" i="1"/>
  <c r="AS203" i="1" s="1"/>
  <c r="AS171" i="1"/>
  <c r="AS174" i="1"/>
  <c r="AS177" i="1"/>
  <c r="AS180" i="1"/>
  <c r="AS183" i="1"/>
  <c r="AS186" i="1"/>
  <c r="AS140" i="1"/>
  <c r="AS153" i="1"/>
  <c r="AS196" i="1"/>
  <c r="AS197" i="1" s="1"/>
  <c r="AS200" i="1"/>
  <c r="AS201" i="1" s="1"/>
  <c r="AS204" i="1"/>
  <c r="AS172" i="1"/>
  <c r="AS175" i="1"/>
  <c r="AS178" i="1"/>
  <c r="AS181" i="1"/>
  <c r="AS184" i="1"/>
  <c r="AS187" i="1"/>
  <c r="AS143" i="1"/>
  <c r="AS147" i="1"/>
  <c r="AP190" i="1"/>
  <c r="AU147" i="1"/>
  <c r="AU194" i="1"/>
  <c r="AU198" i="1"/>
  <c r="AU199" i="1" s="1"/>
  <c r="AU173" i="1"/>
  <c r="AU176" i="1"/>
  <c r="AU179" i="1"/>
  <c r="AU182" i="1"/>
  <c r="AU185" i="1"/>
  <c r="AU188" i="1"/>
  <c r="AU202" i="1"/>
  <c r="AU203" i="1" s="1"/>
  <c r="AU171" i="1"/>
  <c r="AU174" i="1"/>
  <c r="AU177" i="1"/>
  <c r="AU180" i="1"/>
  <c r="AU183" i="1"/>
  <c r="AU186" i="1"/>
  <c r="AU140" i="1"/>
  <c r="AU153" i="1"/>
  <c r="AU196" i="1"/>
  <c r="AU197" i="1" s="1"/>
  <c r="AU200" i="1"/>
  <c r="AU201" i="1" s="1"/>
  <c r="AU204" i="1"/>
  <c r="AU172" i="1"/>
  <c r="AU175" i="1"/>
  <c r="AU178" i="1"/>
  <c r="AU181" i="1"/>
  <c r="AU184" i="1"/>
  <c r="AU187" i="1"/>
  <c r="AU143" i="1"/>
  <c r="AN206" i="1"/>
  <c r="AN195" i="1"/>
  <c r="AN207" i="1" s="1"/>
  <c r="AO195" i="1"/>
  <c r="AO207" i="1" s="1"/>
  <c r="AO206" i="1"/>
  <c r="AP195" i="1"/>
  <c r="AP207" i="1" s="1"/>
  <c r="AP206" i="1"/>
  <c r="AR194" i="1"/>
  <c r="AR198" i="1"/>
  <c r="AR199" i="1" s="1"/>
  <c r="AR173" i="1"/>
  <c r="AR176" i="1"/>
  <c r="AR179" i="1"/>
  <c r="AR182" i="1"/>
  <c r="AR185" i="1"/>
  <c r="AR188" i="1"/>
  <c r="AR202" i="1"/>
  <c r="AR203" i="1" s="1"/>
  <c r="AR171" i="1"/>
  <c r="AR174" i="1"/>
  <c r="AR177" i="1"/>
  <c r="AR180" i="1"/>
  <c r="AR183" i="1"/>
  <c r="AR186" i="1"/>
  <c r="AR140" i="1"/>
  <c r="AR153" i="1"/>
  <c r="AR196" i="1"/>
  <c r="AR197" i="1" s="1"/>
  <c r="AR200" i="1"/>
  <c r="AR201" i="1" s="1"/>
  <c r="AR204" i="1"/>
  <c r="AR172" i="1"/>
  <c r="AR175" i="1"/>
  <c r="AR178" i="1"/>
  <c r="AR181" i="1"/>
  <c r="AR184" i="1"/>
  <c r="AR187" i="1"/>
  <c r="AR143" i="1"/>
  <c r="AR147" i="1"/>
  <c r="AR148" i="1" s="1"/>
  <c r="AM206" i="1"/>
  <c r="AM195" i="1"/>
  <c r="AM207" i="1" s="1"/>
  <c r="AP189" i="1"/>
  <c r="AT178" i="1"/>
  <c r="AT143" i="1"/>
  <c r="AT184" i="1"/>
  <c r="AT194" i="1"/>
  <c r="AT198" i="1"/>
  <c r="AT199" i="1" s="1"/>
  <c r="AT173" i="1"/>
  <c r="AT176" i="1"/>
  <c r="AT179" i="1"/>
  <c r="AT182" i="1"/>
  <c r="AT185" i="1"/>
  <c r="AT188" i="1"/>
  <c r="AT200" i="1"/>
  <c r="AT201" i="1" s="1"/>
  <c r="AT172" i="1"/>
  <c r="AT175" i="1"/>
  <c r="AT181" i="1"/>
  <c r="AT202" i="1"/>
  <c r="AT203" i="1" s="1"/>
  <c r="AT171" i="1"/>
  <c r="AT174" i="1"/>
  <c r="AT177" i="1"/>
  <c r="AT180" i="1"/>
  <c r="AT183" i="1"/>
  <c r="AT186" i="1"/>
  <c r="AT140" i="1"/>
  <c r="AT196" i="1"/>
  <c r="AT197" i="1" s="1"/>
  <c r="AT153" i="1"/>
  <c r="AT187" i="1"/>
  <c r="AT147" i="1"/>
  <c r="AT204" i="1"/>
  <c r="AN190" i="1"/>
  <c r="AV206" i="1"/>
  <c r="AO190" i="1"/>
  <c r="AN189" i="1"/>
  <c r="AP164" i="1"/>
  <c r="AU163" i="1"/>
  <c r="BA179" i="1"/>
  <c r="BB139" i="1"/>
  <c r="BB177" i="1" s="1"/>
  <c r="AV189" i="1"/>
  <c r="BA175" i="1"/>
  <c r="BA174" i="1"/>
  <c r="AV144" i="1"/>
  <c r="AN148" i="1"/>
  <c r="AV190" i="1"/>
  <c r="AO145" i="1"/>
  <c r="AO146" i="1" s="1"/>
  <c r="AO144" i="1"/>
  <c r="AN145" i="1"/>
  <c r="AN144" i="1"/>
  <c r="AP144" i="1"/>
  <c r="AP145" i="1"/>
  <c r="AV195" i="1"/>
  <c r="AV207" i="1" s="1"/>
  <c r="AI148" i="1"/>
  <c r="AM154" i="1"/>
  <c r="AN151" i="1"/>
  <c r="AN152" i="1" s="1"/>
  <c r="AN154" i="1"/>
  <c r="AN149" i="1"/>
  <c r="AP154" i="1"/>
  <c r="AM151" i="1"/>
  <c r="AM152" i="1" s="1"/>
  <c r="AM148" i="1"/>
  <c r="AM145" i="1"/>
  <c r="AM146" i="1" s="1"/>
  <c r="AM144" i="1"/>
  <c r="AJ149" i="1"/>
  <c r="AI149" i="1"/>
  <c r="AJ151" i="1"/>
  <c r="AJ152" i="1" s="1"/>
  <c r="AI151" i="1"/>
  <c r="AI152" i="1" s="1"/>
  <c r="AK149" i="1"/>
  <c r="AK151" i="1"/>
  <c r="AK152" i="1" s="1"/>
  <c r="AJ146" i="1"/>
  <c r="AI146" i="1"/>
  <c r="AK146" i="1"/>
  <c r="AJ148" i="1"/>
  <c r="AK148" i="1"/>
  <c r="BE163" i="1"/>
  <c r="BD164" i="1"/>
  <c r="BA144" i="1"/>
  <c r="BB202" i="1"/>
  <c r="BB203" i="1" s="1"/>
  <c r="BB200" i="1"/>
  <c r="BB201" i="1" s="1"/>
  <c r="BB172" i="1"/>
  <c r="BB174" i="1"/>
  <c r="BB140" i="1"/>
  <c r="BB153" i="1"/>
  <c r="BA162" i="1"/>
  <c r="AO151" i="1" s="1"/>
  <c r="AO152" i="1" s="1"/>
  <c r="BA164" i="1"/>
  <c r="BA158" i="1"/>
  <c r="BA155" i="1"/>
  <c r="BA161" i="1"/>
  <c r="BA156" i="1"/>
  <c r="BA157" i="1"/>
  <c r="BA195" i="1"/>
  <c r="BA207" i="1" s="1"/>
  <c r="AS164" i="1" l="1"/>
  <c r="AX163" i="1"/>
  <c r="AX164" i="1" s="1"/>
  <c r="AT164" i="1"/>
  <c r="AY163" i="1"/>
  <c r="AY164" i="1" s="1"/>
  <c r="AU164" i="1"/>
  <c r="AZ163" i="1"/>
  <c r="AZ164" i="1" s="1"/>
  <c r="AW194" i="1"/>
  <c r="AW198" i="1"/>
  <c r="AW199" i="1" s="1"/>
  <c r="AW202" i="1"/>
  <c r="AW203" i="1" s="1"/>
  <c r="AW140" i="1"/>
  <c r="AW196" i="1"/>
  <c r="AW197" i="1" s="1"/>
  <c r="AW153" i="1"/>
  <c r="AW200" i="1"/>
  <c r="AW201" i="1" s="1"/>
  <c r="AW204" i="1"/>
  <c r="AW143" i="1"/>
  <c r="AW147" i="1"/>
  <c r="AW148" i="1" s="1"/>
  <c r="AW141" i="1"/>
  <c r="AW142" i="1" s="1"/>
  <c r="AW174" i="1"/>
  <c r="AW173" i="1"/>
  <c r="AW176" i="1"/>
  <c r="AW179" i="1"/>
  <c r="AW184" i="1"/>
  <c r="AW171" i="1"/>
  <c r="AW189" i="1" s="1"/>
  <c r="AW187" i="1"/>
  <c r="AW172" i="1"/>
  <c r="AW188" i="1"/>
  <c r="AW181" i="1"/>
  <c r="AW183" i="1"/>
  <c r="AW186" i="1"/>
  <c r="AW177" i="1"/>
  <c r="AW180" i="1"/>
  <c r="AW175" i="1"/>
  <c r="AW182" i="1"/>
  <c r="AW185" i="1"/>
  <c r="AW178" i="1"/>
  <c r="AU148" i="1"/>
  <c r="AZ200" i="1"/>
  <c r="AZ201" i="1" s="1"/>
  <c r="AZ194" i="1"/>
  <c r="AZ198" i="1"/>
  <c r="AZ199" i="1" s="1"/>
  <c r="AZ153" i="1"/>
  <c r="AZ143" i="1"/>
  <c r="AZ202" i="1"/>
  <c r="AZ203" i="1" s="1"/>
  <c r="AZ140" i="1"/>
  <c r="AZ204" i="1"/>
  <c r="AZ147" i="1"/>
  <c r="AZ148" i="1" s="1"/>
  <c r="AZ196" i="1"/>
  <c r="AZ197" i="1" s="1"/>
  <c r="AZ174" i="1"/>
  <c r="AZ173" i="1"/>
  <c r="AZ188" i="1"/>
  <c r="AZ180" i="1"/>
  <c r="AZ186" i="1"/>
  <c r="AZ183" i="1"/>
  <c r="AZ178" i="1"/>
  <c r="AZ187" i="1"/>
  <c r="AZ182" i="1"/>
  <c r="AZ171" i="1"/>
  <c r="AZ184" i="1"/>
  <c r="AZ185" i="1"/>
  <c r="AZ176" i="1"/>
  <c r="AZ181" i="1"/>
  <c r="AZ172" i="1"/>
  <c r="AZ179" i="1"/>
  <c r="AZ177" i="1"/>
  <c r="AZ175" i="1"/>
  <c r="AY147" i="1"/>
  <c r="AY148" i="1" s="1"/>
  <c r="AY194" i="1"/>
  <c r="AY198" i="1"/>
  <c r="AY199" i="1" s="1"/>
  <c r="AY204" i="1"/>
  <c r="AY202" i="1"/>
  <c r="AY203" i="1" s="1"/>
  <c r="AY140" i="1"/>
  <c r="AY143" i="1"/>
  <c r="AY153" i="1"/>
  <c r="AY196" i="1"/>
  <c r="AY197" i="1" s="1"/>
  <c r="AY200" i="1"/>
  <c r="AY201" i="1" s="1"/>
  <c r="AY174" i="1"/>
  <c r="AY173" i="1"/>
  <c r="AY183" i="1"/>
  <c r="AY175" i="1"/>
  <c r="AY188" i="1"/>
  <c r="AY178" i="1"/>
  <c r="AY184" i="1"/>
  <c r="AY171" i="1"/>
  <c r="AY185" i="1"/>
  <c r="AY177" i="1"/>
  <c r="AY187" i="1"/>
  <c r="AY182" i="1"/>
  <c r="AY186" i="1"/>
  <c r="AY176" i="1"/>
  <c r="AY179" i="1"/>
  <c r="AY181" i="1"/>
  <c r="AY172" i="1"/>
  <c r="AY180" i="1"/>
  <c r="AX194" i="1"/>
  <c r="AX198" i="1"/>
  <c r="AX199" i="1" s="1"/>
  <c r="AX202" i="1"/>
  <c r="AX203" i="1" s="1"/>
  <c r="AX140" i="1"/>
  <c r="AX147" i="1"/>
  <c r="AX148" i="1" s="1"/>
  <c r="AX153" i="1"/>
  <c r="AX204" i="1"/>
  <c r="AX143" i="1"/>
  <c r="AX200" i="1"/>
  <c r="AX201" i="1" s="1"/>
  <c r="AX196" i="1"/>
  <c r="AX197" i="1" s="1"/>
  <c r="AX173" i="1"/>
  <c r="AX174" i="1"/>
  <c r="AX175" i="1"/>
  <c r="AX178" i="1"/>
  <c r="AX180" i="1"/>
  <c r="AX182" i="1"/>
  <c r="AX185" i="1"/>
  <c r="AX187" i="1"/>
  <c r="AX184" i="1"/>
  <c r="AX176" i="1"/>
  <c r="AX171" i="1"/>
  <c r="AX179" i="1"/>
  <c r="AX181" i="1"/>
  <c r="AX186" i="1"/>
  <c r="AX172" i="1"/>
  <c r="AX177" i="1"/>
  <c r="AX188" i="1"/>
  <c r="AX183" i="1"/>
  <c r="AX141" i="1"/>
  <c r="AX142" i="1" s="1"/>
  <c r="BB175" i="1"/>
  <c r="BB173" i="1"/>
  <c r="BA190" i="1"/>
  <c r="AM149" i="1"/>
  <c r="AM150" i="1" s="1"/>
  <c r="AM141" i="1" s="1"/>
  <c r="AM142" i="1" s="1"/>
  <c r="AP149" i="1"/>
  <c r="AR151" i="1"/>
  <c r="AR152" i="1" s="1"/>
  <c r="AR150" i="1" s="1"/>
  <c r="AS148" i="1"/>
  <c r="AS149" i="1"/>
  <c r="AS154" i="1"/>
  <c r="AS151" i="1"/>
  <c r="AS152" i="1" s="1"/>
  <c r="AO148" i="1"/>
  <c r="AT148" i="1"/>
  <c r="AO154" i="1"/>
  <c r="AN146" i="1"/>
  <c r="BA189" i="1"/>
  <c r="AP148" i="1"/>
  <c r="BA206" i="1"/>
  <c r="AP151" i="1"/>
  <c r="AP152" i="1" s="1"/>
  <c r="AP150" i="1" s="1"/>
  <c r="AP141" i="1" s="1"/>
  <c r="AP142" i="1" s="1"/>
  <c r="AO149" i="1"/>
  <c r="AP146" i="1"/>
  <c r="AT189" i="1"/>
  <c r="BB147" i="1"/>
  <c r="BB148" i="1" s="1"/>
  <c r="BB204" i="1"/>
  <c r="BB171" i="1"/>
  <c r="AT206" i="1"/>
  <c r="AT195" i="1"/>
  <c r="AT207" i="1" s="1"/>
  <c r="BC139" i="1"/>
  <c r="BC188" i="1" s="1"/>
  <c r="BB194" i="1"/>
  <c r="BB195" i="1" s="1"/>
  <c r="BB198" i="1"/>
  <c r="BB199" i="1" s="1"/>
  <c r="AT144" i="1"/>
  <c r="AT145" i="1"/>
  <c r="AT146" i="1" s="1"/>
  <c r="AS144" i="1"/>
  <c r="AS145" i="1"/>
  <c r="AS146" i="1" s="1"/>
  <c r="AS189" i="1"/>
  <c r="BB188" i="1"/>
  <c r="BB196" i="1"/>
  <c r="BB197" i="1" s="1"/>
  <c r="BB143" i="1"/>
  <c r="BB145" i="1" s="1"/>
  <c r="BB146" i="1" s="1"/>
  <c r="AR206" i="1"/>
  <c r="AR195" i="1"/>
  <c r="AR207" i="1" s="1"/>
  <c r="AS206" i="1"/>
  <c r="AS195" i="1"/>
  <c r="AS207" i="1" s="1"/>
  <c r="AS190" i="1"/>
  <c r="BB185" i="1"/>
  <c r="AU190" i="1"/>
  <c r="BB186" i="1"/>
  <c r="BB184" i="1"/>
  <c r="BB183" i="1"/>
  <c r="AU144" i="1"/>
  <c r="AU145" i="1"/>
  <c r="AU146" i="1" s="1"/>
  <c r="AU189" i="1"/>
  <c r="AT151" i="1"/>
  <c r="AT152" i="1" s="1"/>
  <c r="AT154" i="1"/>
  <c r="AT149" i="1"/>
  <c r="BB187" i="1"/>
  <c r="BB182" i="1"/>
  <c r="BB180" i="1"/>
  <c r="BB181" i="1"/>
  <c r="AR141" i="1"/>
  <c r="AR142" i="1" s="1"/>
  <c r="AR190" i="1"/>
  <c r="AU206" i="1"/>
  <c r="AU195" i="1"/>
  <c r="AU207" i="1" s="1"/>
  <c r="AU149" i="1"/>
  <c r="AU154" i="1"/>
  <c r="AU151" i="1"/>
  <c r="AU152" i="1" s="1"/>
  <c r="BB178" i="1"/>
  <c r="BB179" i="1"/>
  <c r="BB176" i="1"/>
  <c r="AT190" i="1"/>
  <c r="AR144" i="1"/>
  <c r="AR145" i="1"/>
  <c r="AR146" i="1" s="1"/>
  <c r="AR189" i="1"/>
  <c r="AO150" i="1"/>
  <c r="AO141" i="1" s="1"/>
  <c r="AO142" i="1" s="1"/>
  <c r="AN150" i="1"/>
  <c r="AN141" i="1" s="1"/>
  <c r="AN142" i="1" s="1"/>
  <c r="AK150" i="1"/>
  <c r="AK141" i="1" s="1"/>
  <c r="AK142" i="1" s="1"/>
  <c r="AI150" i="1"/>
  <c r="AI141" i="1" s="1"/>
  <c r="AI142" i="1" s="1"/>
  <c r="AJ150" i="1"/>
  <c r="AJ141" i="1" s="1"/>
  <c r="AJ142" i="1" s="1"/>
  <c r="AH149" i="1"/>
  <c r="AL149" i="1"/>
  <c r="BF163" i="1"/>
  <c r="BF164" i="1" s="1"/>
  <c r="BE164" i="1"/>
  <c r="AF151" i="1"/>
  <c r="AF152" i="1" s="1"/>
  <c r="AF148" i="1"/>
  <c r="AF146" i="1"/>
  <c r="AH148" i="1"/>
  <c r="AL148" i="1"/>
  <c r="AQ148" i="1"/>
  <c r="AG148" i="1"/>
  <c r="AV148" i="1"/>
  <c r="BA148" i="1"/>
  <c r="AQ146" i="1"/>
  <c r="AG149" i="1"/>
  <c r="AG146" i="1"/>
  <c r="AG151" i="1"/>
  <c r="AG152" i="1" s="1"/>
  <c r="AF149" i="1"/>
  <c r="AV146" i="1"/>
  <c r="BB154" i="1"/>
  <c r="AH146" i="1"/>
  <c r="AL146" i="1"/>
  <c r="AH151" i="1"/>
  <c r="AH152" i="1" s="1"/>
  <c r="AL154" i="1"/>
  <c r="BD149" i="1"/>
  <c r="BE149" i="1"/>
  <c r="BE151" i="1"/>
  <c r="BE152" i="1" s="1"/>
  <c r="BA146" i="1"/>
  <c r="BC180" i="1"/>
  <c r="BC184" i="1"/>
  <c r="BC186" i="1"/>
  <c r="BC179" i="1"/>
  <c r="BC183" i="1"/>
  <c r="BC185" i="1"/>
  <c r="BB151" i="1"/>
  <c r="BB152" i="1" s="1"/>
  <c r="BC154" i="1"/>
  <c r="BE154" i="1"/>
  <c r="BD154" i="1"/>
  <c r="BC140" i="1"/>
  <c r="BD151" i="1"/>
  <c r="BD152" i="1" s="1"/>
  <c r="BB149" i="1"/>
  <c r="BC151" i="1"/>
  <c r="BC152" i="1" s="1"/>
  <c r="BC149" i="1"/>
  <c r="AD149" i="1"/>
  <c r="AD150" i="1" s="1"/>
  <c r="AQ154" i="1"/>
  <c r="AV154" i="1"/>
  <c r="BA154" i="1"/>
  <c r="BA149" i="1"/>
  <c r="BG162" i="1"/>
  <c r="BG164" i="1"/>
  <c r="BG149" i="1" s="1"/>
  <c r="BG158" i="1"/>
  <c r="BG155" i="1"/>
  <c r="BG161" i="1"/>
  <c r="BH138" i="1"/>
  <c r="BG157" i="1"/>
  <c r="BG156" i="1"/>
  <c r="AY144" i="1" l="1"/>
  <c r="AY145" i="1"/>
  <c r="AY189" i="1"/>
  <c r="AZ207" i="1"/>
  <c r="AX190" i="1"/>
  <c r="AX206" i="1"/>
  <c r="AX195" i="1"/>
  <c r="AX207" i="1" s="1"/>
  <c r="AZ189" i="1"/>
  <c r="AY190" i="1"/>
  <c r="AW206" i="1"/>
  <c r="AW195" i="1"/>
  <c r="AW207" i="1" s="1"/>
  <c r="AY206" i="1"/>
  <c r="AY195" i="1"/>
  <c r="AZ144" i="1"/>
  <c r="AZ145" i="1"/>
  <c r="AX144" i="1"/>
  <c r="AX145" i="1"/>
  <c r="AX146" i="1" s="1"/>
  <c r="AZ151" i="1"/>
  <c r="AZ152" i="1" s="1"/>
  <c r="AZ149" i="1"/>
  <c r="AZ154" i="1"/>
  <c r="AZ146" i="1"/>
  <c r="AW145" i="1"/>
  <c r="AW146" i="1" s="1"/>
  <c r="AW144" i="1"/>
  <c r="AZ206" i="1"/>
  <c r="AZ195" i="1"/>
  <c r="AY151" i="1"/>
  <c r="AY152" i="1" s="1"/>
  <c r="AY149" i="1"/>
  <c r="AY150" i="1" s="1"/>
  <c r="AY141" i="1" s="1"/>
  <c r="AY154" i="1"/>
  <c r="AY146" i="1"/>
  <c r="BB189" i="1"/>
  <c r="AX189" i="1"/>
  <c r="AY207" i="1"/>
  <c r="AZ190" i="1"/>
  <c r="AW190" i="1"/>
  <c r="BB190" i="1"/>
  <c r="AS150" i="1"/>
  <c r="AS141" i="1" s="1"/>
  <c r="AS142" i="1" s="1"/>
  <c r="AU150" i="1"/>
  <c r="BB144" i="1"/>
  <c r="BC181" i="1"/>
  <c r="BC182" i="1"/>
  <c r="AU141" i="1"/>
  <c r="AU142" i="1" s="1"/>
  <c r="BC177" i="1"/>
  <c r="BC178" i="1"/>
  <c r="BB206" i="1"/>
  <c r="BC174" i="1"/>
  <c r="BB207" i="1"/>
  <c r="BC171" i="1"/>
  <c r="BC172" i="1"/>
  <c r="BC173" i="1"/>
  <c r="BC200" i="1"/>
  <c r="BC201" i="1" s="1"/>
  <c r="BC202" i="1"/>
  <c r="BC203" i="1" s="1"/>
  <c r="BC204" i="1"/>
  <c r="BC176" i="1"/>
  <c r="BD139" i="1"/>
  <c r="BD186" i="1" s="1"/>
  <c r="BC194" i="1"/>
  <c r="BC195" i="1" s="1"/>
  <c r="BC198" i="1"/>
  <c r="BC199" i="1" s="1"/>
  <c r="BC175" i="1"/>
  <c r="BC147" i="1"/>
  <c r="BC148" i="1" s="1"/>
  <c r="BC143" i="1"/>
  <c r="BC145" i="1" s="1"/>
  <c r="BC146" i="1" s="1"/>
  <c r="AT150" i="1"/>
  <c r="AT141" i="1" s="1"/>
  <c r="AT142" i="1" s="1"/>
  <c r="BC196" i="1"/>
  <c r="BC197" i="1" s="1"/>
  <c r="BC153" i="1"/>
  <c r="BC187" i="1"/>
  <c r="BF154" i="1"/>
  <c r="AG150" i="1"/>
  <c r="AG141" i="1" s="1"/>
  <c r="AG142" i="1" s="1"/>
  <c r="AF150" i="1"/>
  <c r="AF141" i="1" s="1"/>
  <c r="AF142" i="1" s="1"/>
  <c r="BE150" i="1"/>
  <c r="BD150" i="1"/>
  <c r="BF151" i="1"/>
  <c r="BF152" i="1" s="1"/>
  <c r="BG146" i="1"/>
  <c r="BD177" i="1"/>
  <c r="BD173" i="1"/>
  <c r="BB150" i="1"/>
  <c r="BB141" i="1" s="1"/>
  <c r="BB142" i="1" s="1"/>
  <c r="AD141" i="1"/>
  <c r="AD142" i="1" s="1"/>
  <c r="BC150" i="1"/>
  <c r="BA151" i="1"/>
  <c r="BA152" i="1" s="1"/>
  <c r="BA150" i="1" s="1"/>
  <c r="AQ149" i="1"/>
  <c r="BG154" i="1"/>
  <c r="AH150" i="1"/>
  <c r="AV151" i="1"/>
  <c r="AV152" i="1" s="1"/>
  <c r="AL151" i="1"/>
  <c r="AL152" i="1" s="1"/>
  <c r="AV149" i="1"/>
  <c r="AQ151" i="1"/>
  <c r="AQ152" i="1" s="1"/>
  <c r="BG148" i="1"/>
  <c r="BG151" i="1"/>
  <c r="BG152" i="1" s="1"/>
  <c r="BG150" i="1" s="1"/>
  <c r="BH162" i="1"/>
  <c r="BF149" i="1" s="1"/>
  <c r="BH161" i="1"/>
  <c r="BH164" i="1"/>
  <c r="AY142" i="1" l="1"/>
  <c r="BC190" i="1"/>
  <c r="AZ150" i="1"/>
  <c r="AZ141" i="1" s="1"/>
  <c r="AZ142" i="1" s="1"/>
  <c r="BD202" i="1"/>
  <c r="BD203" i="1" s="1"/>
  <c r="BD175" i="1"/>
  <c r="BD184" i="1"/>
  <c r="BD188" i="1"/>
  <c r="BD182" i="1"/>
  <c r="BD180" i="1"/>
  <c r="BD147" i="1"/>
  <c r="BD178" i="1"/>
  <c r="BC189" i="1"/>
  <c r="BC207" i="1"/>
  <c r="BC141" i="1"/>
  <c r="BC142" i="1" s="1"/>
  <c r="BD176" i="1"/>
  <c r="BD183" i="1"/>
  <c r="BD174" i="1"/>
  <c r="BD196" i="1"/>
  <c r="BD197" i="1" s="1"/>
  <c r="BD172" i="1"/>
  <c r="BD198" i="1"/>
  <c r="BD199" i="1" s="1"/>
  <c r="BD204" i="1"/>
  <c r="BE139" i="1"/>
  <c r="BE198" i="1" s="1"/>
  <c r="BE199" i="1" s="1"/>
  <c r="BD179" i="1"/>
  <c r="BD185" i="1"/>
  <c r="BD153" i="1"/>
  <c r="BD171" i="1"/>
  <c r="BC206" i="1"/>
  <c r="BD140" i="1"/>
  <c r="BD187" i="1"/>
  <c r="BD200" i="1"/>
  <c r="BD201" i="1" s="1"/>
  <c r="BC144" i="1"/>
  <c r="BD194" i="1"/>
  <c r="BD195" i="1" s="1"/>
  <c r="BD181" i="1"/>
  <c r="BH154" i="1"/>
  <c r="AE149" i="1"/>
  <c r="AE150" i="1" s="1"/>
  <c r="AE141" i="1" s="1"/>
  <c r="AE142" i="1" s="1"/>
  <c r="AV150" i="1"/>
  <c r="AV141" i="1" s="1"/>
  <c r="AV142" i="1" s="1"/>
  <c r="BG141" i="1"/>
  <c r="BG142" i="1" s="1"/>
  <c r="BF150" i="1"/>
  <c r="BD144" i="1"/>
  <c r="BD145" i="1"/>
  <c r="BD146" i="1" s="1"/>
  <c r="BE183" i="1"/>
  <c r="AH141" i="1"/>
  <c r="AH142" i="1" s="1"/>
  <c r="BD148" i="1"/>
  <c r="BD141" i="1" s="1"/>
  <c r="BD142" i="1" s="1"/>
  <c r="AQ150" i="1"/>
  <c r="AQ141" i="1" s="1"/>
  <c r="AQ142" i="1" s="1"/>
  <c r="AL150" i="1"/>
  <c r="AL141" i="1" s="1"/>
  <c r="AL142" i="1" s="1"/>
  <c r="BA141" i="1"/>
  <c r="BA142" i="1" s="1"/>
  <c r="BD190" i="1" l="1"/>
  <c r="BE181" i="1"/>
  <c r="BE176" i="1"/>
  <c r="BE179" i="1"/>
  <c r="BE178" i="1"/>
  <c r="BE174" i="1"/>
  <c r="BE172" i="1"/>
  <c r="BE173" i="1"/>
  <c r="BE194" i="1"/>
  <c r="BE204" i="1"/>
  <c r="BE147" i="1"/>
  <c r="BE148" i="1" s="1"/>
  <c r="BE141" i="1" s="1"/>
  <c r="BE142" i="1" s="1"/>
  <c r="BE140" i="1"/>
  <c r="BE188" i="1"/>
  <c r="BE186" i="1"/>
  <c r="BE196" i="1"/>
  <c r="BE197" i="1" s="1"/>
  <c r="BE184" i="1"/>
  <c r="BE177" i="1"/>
  <c r="BE175" i="1"/>
  <c r="BE200" i="1"/>
  <c r="BE201" i="1" s="1"/>
  <c r="BE202" i="1"/>
  <c r="BE203" i="1" s="1"/>
  <c r="BE187" i="1"/>
  <c r="BE182" i="1"/>
  <c r="BE185" i="1"/>
  <c r="BE180" i="1"/>
  <c r="BD189" i="1"/>
  <c r="BE153" i="1"/>
  <c r="BE171" i="1"/>
  <c r="BD207" i="1"/>
  <c r="BD206" i="1"/>
  <c r="BF196" i="1"/>
  <c r="BF197" i="1" s="1"/>
  <c r="BF194" i="1"/>
  <c r="BF200" i="1"/>
  <c r="BF201" i="1" s="1"/>
  <c r="BF204" i="1"/>
  <c r="BF172" i="1"/>
  <c r="BF174" i="1"/>
  <c r="BF176" i="1"/>
  <c r="BF178" i="1"/>
  <c r="BF180" i="1"/>
  <c r="BF182" i="1"/>
  <c r="BF184" i="1"/>
  <c r="BF186" i="1"/>
  <c r="BF188" i="1"/>
  <c r="BF198" i="1"/>
  <c r="BF199" i="1" s="1"/>
  <c r="BF202" i="1"/>
  <c r="BF203" i="1" s="1"/>
  <c r="BF171" i="1"/>
  <c r="BF173" i="1"/>
  <c r="BF175" i="1"/>
  <c r="BF177" i="1"/>
  <c r="BF179" i="1"/>
  <c r="BF181" i="1"/>
  <c r="BF183" i="1"/>
  <c r="BF185" i="1"/>
  <c r="BF187" i="1"/>
  <c r="BE145" i="1"/>
  <c r="BE146" i="1" s="1"/>
  <c r="BE144" i="1"/>
  <c r="BE195" i="1"/>
  <c r="BF153" i="1"/>
  <c r="BF140" i="1"/>
  <c r="BF147" i="1"/>
  <c r="BE190" i="1" l="1"/>
  <c r="BE189" i="1"/>
  <c r="BE207" i="1"/>
  <c r="BE206" i="1"/>
  <c r="BF148" i="1"/>
  <c r="BF141" i="1" s="1"/>
  <c r="BF142" i="1" s="1"/>
  <c r="BF189" i="1"/>
  <c r="BF190" i="1"/>
  <c r="BF144" i="1"/>
  <c r="BF145" i="1"/>
  <c r="BF146" i="1" s="1"/>
  <c r="BF195" i="1"/>
  <c r="BF207" i="1" s="1"/>
  <c r="BF206" i="1"/>
</calcChain>
</file>

<file path=xl/sharedStrings.xml><?xml version="1.0" encoding="utf-8"?>
<sst xmlns="http://schemas.openxmlformats.org/spreadsheetml/2006/main" count="414" uniqueCount="324">
  <si>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</si>
  <si>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</si>
  <si>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</si>
  <si>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</si>
  <si>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</si>
  <si>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</si>
  <si>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</si>
  <si>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</si>
  <si>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</si>
  <si>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</si>
  <si>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</si>
  <si>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</si>
  <si>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</si>
  <si>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</si>
  <si>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</si>
  <si>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</si>
  <si>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</si>
  <si>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</si>
  <si>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</si>
  <si>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</si>
  <si>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</si>
  <si>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</si>
  <si>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</si>
  <si>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</si>
  <si>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</si>
  <si>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</si>
  <si>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</si>
  <si>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</si>
  <si>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</si>
  <si>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</si>
  <si>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</si>
  <si>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</si>
  <si>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</si>
  <si>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</si>
  <si>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</si>
  <si>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</si>
  <si>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</si>
  <si>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</si>
  <si>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</si>
  <si>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</si>
  <si>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</si>
  <si>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</si>
  <si>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</si>
  <si>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</si>
  <si>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</si>
  <si>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</si>
  <si>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</si>
  <si>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</si>
  <si>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</si>
  <si>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</si>
  <si>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</si>
  <si>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</si>
  <si>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</si>
  <si>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</si>
  <si>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</si>
  <si>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</si>
  <si>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</si>
  <si>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</si>
  <si>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</si>
  <si>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</si>
  <si>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</si>
  <si>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</si>
  <si>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</si>
  <si>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</si>
  <si>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</si>
  <si>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</si>
  <si>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</si>
  <si>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</si>
  <si>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</si>
  <si>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</si>
  <si>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</si>
  <si>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</si>
  <si>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</si>
  <si>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</si>
  <si>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</si>
  <si>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</si>
  <si>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</si>
  <si>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</si>
  <si>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</si>
  <si>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</si>
  <si>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</si>
  <si>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</si>
  <si>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</si>
  <si>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</si>
  <si>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</si>
  <si>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</si>
  <si>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</si>
  <si>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</si>
  <si>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</si>
  <si>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</si>
  <si>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</si>
  <si>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</si>
  <si>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</si>
  <si>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</si>
  <si>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</si>
  <si>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</si>
  <si>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</si>
  <si>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</si>
  <si>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</si>
  <si>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</si>
  <si>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</si>
  <si>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</si>
  <si>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</si>
  <si>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</si>
  <si>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</si>
  <si>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</si>
  <si>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</si>
  <si>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</si>
  <si>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</si>
  <si>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</si>
  <si>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</si>
  <si>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</si>
  <si>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</si>
  <si>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</si>
  <si>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</si>
  <si>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</si>
  <si>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</si>
  <si>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</si>
  <si>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</si>
  <si>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</si>
  <si>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</si>
  <si>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</si>
  <si>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</si>
  <si>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</si>
  <si>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</si>
  <si>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</si>
  <si>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</si>
  <si>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</si>
  <si>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</si>
  <si>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</si>
  <si>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</si>
  <si>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</si>
  <si>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</si>
  <si>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</si>
  <si>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</si>
  <si>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</si>
  <si>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</si>
  <si>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</si>
  <si>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</si>
  <si>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</si>
  <si>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</si>
  <si>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</si>
  <si>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</si>
  <si>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</si>
  <si>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</si>
  <si>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</si>
  <si>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</si>
  <si>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</si>
  <si>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</si>
  <si>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</si>
  <si>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</si>
  <si>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</si>
  <si>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</si>
  <si>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</si>
  <si>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</si>
  <si>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</si>
  <si>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</si>
  <si>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</si>
  <si>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</si>
  <si>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</si>
  <si>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</si>
  <si>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</si>
  <si>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</si>
  <si>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</si>
  <si>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</si>
  <si>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</si>
  <si>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</si>
  <si>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</si>
  <si>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</si>
  <si>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</si>
  <si>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</si>
  <si>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</si>
  <si>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</si>
  <si>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</si>
  <si>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</si>
  <si>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</si>
  <si>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</si>
  <si>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</si>
  <si>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</si>
  <si>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</si>
  <si>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</si>
  <si>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</si>
  <si>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</si>
  <si>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</si>
  <si>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</si>
  <si>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</si>
  <si>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</si>
  <si>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</si>
  <si>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</si>
  <si>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</si>
  <si>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</si>
  <si>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</si>
  <si>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</si>
  <si>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</si>
  <si>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</si>
  <si>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</si>
  <si>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</si>
  <si>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</si>
  <si>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</si>
  <si>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</si>
  <si>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</si>
  <si>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</si>
  <si>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</si>
  <si>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</si>
  <si>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</si>
  <si>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</si>
  <si>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</si>
  <si>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</si>
  <si>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</si>
  <si>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</si>
  <si>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</si>
  <si>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</si>
  <si>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</si>
  <si>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</si>
  <si>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</si>
  <si>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</si>
  <si>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</si>
  <si>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</si>
  <si>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</si>
  <si>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</si>
  <si>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</si>
  <si>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</si>
  <si>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</si>
  <si>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</si>
  <si>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</si>
  <si>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</si>
  <si>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</si>
  <si>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</si>
  <si>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</si>
  <si>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</si>
  <si>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</si>
  <si>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</si>
  <si>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</si>
  <si>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</si>
  <si>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</si>
  <si>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</si>
  <si>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</si>
  <si>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</si>
  <si>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</si>
  <si>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</si>
  <si>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</si>
  <si>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</si>
  <si>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</si>
  <si>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</si>
  <si>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</si>
  <si>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</si>
  <si>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</si>
  <si>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</si>
  <si>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</si>
  <si>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</si>
  <si>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</si>
  <si>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</si>
  <si>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</si>
  <si>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</si>
  <si>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</si>
  <si>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</si>
  <si>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</si>
  <si>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</si>
  <si>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</si>
  <si>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Right wing protests begin in some states against lockdown laws</t>
  </si>
  <si>
    <t>Trump falsely states that he "inherited a broken test" for COVID-19 (COVID-19 is a new virus, not one that had occurred during previous presidencies), tells nation to prepare for hard days</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</si>
  <si>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state at home orders.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</si>
  <si>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</si>
  <si>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</si>
  <si>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</si>
  <si>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</si>
  <si>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</si>
  <si>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</si>
  <si>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</si>
  <si>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</si>
  <si>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</si>
  <si>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</si>
  <si>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</si>
  <si>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</si>
  <si>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</si>
  <si>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</si>
  <si>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</si>
  <si>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</si>
  <si>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</si>
  <si>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</si>
  <si>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</si>
  <si>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</si>
  <si>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</si>
  <si>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contradicts public health expert estimates of death rate of COVID-19 as less than 1% based on a hunch, and suggests that those infected can still go to work, comparing it with the flu and referring to it as the corona flu</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</si>
  <si>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</si>
  <si>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</si>
  <si>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</si>
  <si>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</si>
  <si>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</si>
  <si>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</si>
  <si>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</si>
  <si>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</si>
  <si>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</si>
  <si>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</si>
  <si>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</si>
  <si>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</si>
  <si>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</si>
  <si>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</si>
  <si>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</si>
  <si>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"The Fake News Media &amp; their partner, the Democrat Pary, is doing everything within its semi-considerable power to inflame the Coronavirus situation"</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</si>
  <si>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</si>
  <si>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</si>
  <si>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</si>
  <si>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</si>
  <si>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</si>
  <si>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</si>
  <si>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</si>
  <si>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</si>
  <si>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</si>
  <si>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</si>
  <si>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</si>
  <si>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</si>
  <si>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</si>
  <si>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</si>
  <si>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</si>
  <si>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New cases peaked 24/4</t>
  </si>
  <si>
    <t>Trump states that he can't understand why there has been an increase in people asking about using disenfectants for treating coronavirus and when asked if he took responsibility, he responded "no, I don't."</t>
  </si>
  <si>
    <t>States begin reporting increase in emergency calls to poison hotlines and questions to COVID-19 support services regarding the use of disenfectants and UV light for treating COVID-19 infections</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</si>
  <si>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</si>
  <si>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</si>
  <si>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Projections less meaningul as rates begin to decrease</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</si>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</sst>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4" fontId="0" fillId="0" borderId="22" xfId="0" applyNumberFormat="1" applyFill="1" applyBorder="1"/>
    <xf numFmtId="171" fontId="11" fillId="0" borderId="7" xfId="0" applyNumberFormat="1" applyFon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8" borderId="14" xfId="0" applyNumberFormat="1" applyFill="1" applyBorder="1"/>
    <xf numFmtId="171" fontId="12" fillId="0" borderId="7" xfId="0" applyNumberFormat="1" applyFont="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151.51515151515153</c:v>
                </c:pt>
                <c:pt idx="1">
                  <c:v>303.03030303030306</c:v>
                </c:pt>
                <c:pt idx="2">
                  <c:v>606.06060606060612</c:v>
                </c:pt>
                <c:pt idx="3">
                  <c:v>1212.1212121212122</c:v>
                </c:pt>
                <c:pt idx="4">
                  <c:v>2424.2424242424245</c:v>
                </c:pt>
                <c:pt idx="5">
                  <c:v>4848.484848484849</c:v>
                </c:pt>
                <c:pt idx="6">
                  <c:v>9696.9696969696979</c:v>
                </c:pt>
                <c:pt idx="7">
                  <c:v>19393.939393939396</c:v>
                </c:pt>
                <c:pt idx="8">
                  <c:v>38787.878787878792</c:v>
                </c:pt>
                <c:pt idx="9">
                  <c:v>77575.757575757583</c:v>
                </c:pt>
                <c:pt idx="10">
                  <c:v>155151.51515151517</c:v>
                </c:pt>
                <c:pt idx="11">
                  <c:v>310303.03030303033</c:v>
                </c:pt>
                <c:pt idx="12">
                  <c:v>620606.06060606067</c:v>
                </c:pt>
                <c:pt idx="13">
                  <c:v>1241212.1212121213</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133.33333333333334</c:v>
                </c:pt>
                <c:pt idx="1">
                  <c:v>266.66666666666669</c:v>
                </c:pt>
                <c:pt idx="2">
                  <c:v>533.33333333333337</c:v>
                </c:pt>
                <c:pt idx="3">
                  <c:v>1066.6666666666667</c:v>
                </c:pt>
                <c:pt idx="4">
                  <c:v>2133.3333333333335</c:v>
                </c:pt>
                <c:pt idx="5">
                  <c:v>4266.666666666667</c:v>
                </c:pt>
                <c:pt idx="6">
                  <c:v>8533.3333333333339</c:v>
                </c:pt>
                <c:pt idx="7">
                  <c:v>17066.666666666668</c:v>
                </c:pt>
                <c:pt idx="8">
                  <c:v>34133.333333333336</c:v>
                </c:pt>
                <c:pt idx="9">
                  <c:v>68266.666666666672</c:v>
                </c:pt>
                <c:pt idx="10">
                  <c:v>136533.33333333334</c:v>
                </c:pt>
                <c:pt idx="11">
                  <c:v>273066.66666666669</c:v>
                </c:pt>
                <c:pt idx="12">
                  <c:v>546133.33333333337</c:v>
                </c:pt>
                <c:pt idx="13">
                  <c:v>1092266.6666666667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Projections!$A$139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Projections!$P$139:$BG$139</c15:sqref>
                  </c15:fullRef>
                </c:ext>
              </c:extLst>
              <c:f>Projections!$P$139:$AL$139</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Projections!$A$163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Projections!$P$163:$BG$163</c15:sqref>
                  </c15:fullRef>
                </c:ext>
              </c:extLst>
              <c:f>Projections!$P$163:$AL$163</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1280000</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Projections!$A$153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Projections!$P$153:$BG$153</c15:sqref>
                  </c15:fullRef>
                </c:ext>
              </c:extLst>
              <c:f>Projections!$P$153:$AL$153</c:f>
              <c:numCache>
                <c:formatCode>#,##0_ ;[Red]\-#,##0\ </c:formatCode>
                <c:ptCount val="23"/>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numCache>
            </c:numRef>
          </c:val>
          <c:smooth val="0"/>
          <c:extLst>
            <c:ext xmlns:c16="http://schemas.microsoft.com/office/drawing/2014/chart" uri="{C3380CC4-5D6E-409C-BE32-E72D297353CC}">
              <c16:uniqueId val="{00000000-50BE-40C1-B679-81AF0BCE3FCD}"/>
            </c:ext>
          </c:extLst>
        </c:ser>
        <c:ser>
          <c:idx val="1"/>
          <c:order val="1"/>
          <c:tx>
            <c:strRef>
              <c:f>Projections!$A$167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Projections!$P$167:$BG$167</c15:sqref>
                  </c15:fullRef>
                </c:ext>
              </c:extLst>
              <c:f>Projections!$P$167:$AL$167</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Projections!$P$149:$BG$149</c15:sqref>
                  </c15:fullRef>
                </c:ext>
              </c:extLst>
              <c:f>Projections!$P$149:$AQ$149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200258.94228430718</c:v>
                </c:pt>
                <c:pt idx="20">
                  <c:v>250270.48083150713</c:v>
                </c:pt>
                <c:pt idx="21">
                  <c:v>296852.34990976623</c:v>
                </c:pt>
                <c:pt idx="22">
                  <c:v>342924.73002205521</c:v>
                </c:pt>
                <c:pt idx="23">
                  <c:v>665287.8662262687</c:v>
                </c:pt>
                <c:pt idx="24">
                  <c:v>608534.02120355377</c:v>
                </c:pt>
                <c:pt idx="25">
                  <c:v>734563.87388449581</c:v>
                </c:pt>
                <c:pt idx="26">
                  <c:v>845586.46744864958</c:v>
                </c:pt>
                <c:pt idx="27">
                  <c:v>952081.11966056121</c:v>
                </c:pt>
              </c:numCache>
            </c:numRef>
          </c:val>
          <c:smooth val="0"/>
          <c:extLst>
            <c:ext xmlns:c16="http://schemas.microsoft.com/office/drawing/2014/chart" uri="{C3380CC4-5D6E-409C-BE32-E72D297353CC}">
              <c16:uniqueId val="{00000000-A3C2-4B4C-996C-CDB1A252886F}"/>
            </c:ext>
          </c:extLst>
        </c:ser>
        <c:ser>
          <c:idx val="2"/>
          <c:order val="1"/>
          <c:tx>
            <c:strRef>
              <c:f>Projections!$A$150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Projections!$P$150:$BG$150</c15:sqref>
                  </c15:fullRef>
                </c:ext>
              </c:extLst>
              <c:f>Projections!$P$150:$AQ$150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156055.91192138585</c:v>
                </c:pt>
                <c:pt idx="20">
                  <c:v>191021.09785356827</c:v>
                </c:pt>
                <c:pt idx="21">
                  <c:v>113241.86506176133</c:v>
                </c:pt>
                <c:pt idx="22">
                  <c:v>183131.90395536859</c:v>
                </c:pt>
                <c:pt idx="23">
                  <c:v>362300.41021426558</c:v>
                </c:pt>
                <c:pt idx="24">
                  <c:v>0</c:v>
                </c:pt>
                <c:pt idx="25">
                  <c:v>203481.39418705474</c:v>
                </c:pt>
                <c:pt idx="26">
                  <c:v>0</c:v>
                </c:pt>
                <c:pt idx="27">
                  <c:v>118824.25675016112</c:v>
                </c:pt>
              </c:numCache>
            </c:numRef>
          </c:val>
          <c:smooth val="0"/>
          <c:extLst>
            <c:ext xmlns:c16="http://schemas.microsoft.com/office/drawing/2014/chart" uri="{C3380CC4-5D6E-409C-BE32-E72D297353CC}">
              <c16:uniqueId val="{00000001-A3C2-4B4C-996C-CDB1A252886F}"/>
            </c:ext>
          </c:extLst>
        </c:ser>
        <c:ser>
          <c:idx val="0"/>
          <c:order val="2"/>
          <c:tx>
            <c:strRef>
              <c:f>Projections!$A$151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Projections!$P$151:$BG$151</c15:sqref>
                  </c15:fullRef>
                </c:ext>
              </c:extLst>
              <c:f>Projections!$P$151:$AQ$151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48527.686624092399</c:v>
                </c:pt>
                <c:pt idx="20">
                  <c:v>61572.988963700482</c:v>
                </c:pt>
                <c:pt idx="21">
                  <c:v>75908.447892907818</c:v>
                </c:pt>
                <c:pt idx="22">
                  <c:v>88996.021400140351</c:v>
                </c:pt>
                <c:pt idx="23">
                  <c:v>181510.39218532681</c:v>
                </c:pt>
                <c:pt idx="24">
                  <c:v>335250.99708197563</c:v>
                </c:pt>
                <c:pt idx="25">
                  <c:v>284279.88501626055</c:v>
                </c:pt>
                <c:pt idx="26">
                  <c:v>326964.04031430848</c:v>
                </c:pt>
                <c:pt idx="27">
                  <c:v>361056.91060199292</c:v>
                </c:pt>
              </c:numCache>
            </c:numRef>
          </c:val>
          <c:smooth val="0"/>
          <c:extLst>
            <c:ext xmlns:c16="http://schemas.microsoft.com/office/drawing/2014/chart" uri="{C3380CC4-5D6E-409C-BE32-E72D297353CC}">
              <c16:uniqueId val="{00000002-A3C2-4B4C-996C-CDB1A252886F}"/>
            </c:ext>
          </c:extLst>
        </c:ser>
        <c:ser>
          <c:idx val="4"/>
          <c:order val="3"/>
          <c:tx>
            <c:strRef>
              <c:f>Projections!$A$152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Projections!$P$152:$BG$152</c15:sqref>
                  </c15:fullRef>
                </c:ext>
              </c:extLst>
              <c:f>Projections!$P$152:$AQ$152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37513.979144579796</c:v>
                </c:pt>
                <c:pt idx="20">
                  <c:v>20544.911077719866</c:v>
                </c:pt>
                <c:pt idx="21">
                  <c:v>40962.370375624028</c:v>
                </c:pt>
                <c:pt idx="22">
                  <c:v>42400.499171367694</c:v>
                </c:pt>
                <c:pt idx="23">
                  <c:v>107727.22469269449</c:v>
                </c:pt>
                <c:pt idx="24">
                  <c:v>173147.04652534609</c:v>
                </c:pt>
                <c:pt idx="25">
                  <c:v>150473.53169511273</c:v>
                </c:pt>
                <c:pt idx="26">
                  <c:v>200675.0588373038</c:v>
                </c:pt>
                <c:pt idx="27">
                  <c:v>205533.40787542466</c:v>
                </c:pt>
              </c:numCache>
            </c:numRef>
          </c:val>
          <c:smooth val="0"/>
          <c:extLst>
            <c:ext xmlns:c16="http://schemas.microsoft.com/office/drawing/2014/chart" uri="{C3380CC4-5D6E-409C-BE32-E72D297353CC}">
              <c16:uniqueId val="{00000003-A3C2-4B4C-996C-CDB1A252886F}"/>
            </c:ext>
          </c:extLst>
        </c:ser>
        <c:ser>
          <c:idx val="1"/>
          <c:order val="4"/>
          <c:tx>
            <c:strRef>
              <c:f>Projections!$A$153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Projections!$P$153:$BG$153</c15:sqref>
                  </c15:fullRef>
                </c:ext>
              </c:extLst>
              <c:f>Projections!$P$153:$AQ$153</c:f>
              <c:numCache>
                <c:formatCode>#,##0_ ;[Red]\-#,##0\ </c:formatCode>
                <c:ptCount val="28"/>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pt idx="23">
                  <c:v>135168</c:v>
                </c:pt>
                <c:pt idx="24">
                  <c:v>157696</c:v>
                </c:pt>
                <c:pt idx="25">
                  <c:v>180224</c:v>
                </c:pt>
                <c:pt idx="26">
                  <c:v>202752</c:v>
                </c:pt>
                <c:pt idx="27">
                  <c:v>225280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Projections!$A$171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Projections!$P$171:$BG$171</c15:sqref>
                  </c15:fullRef>
                </c:ext>
              </c:extLst>
              <c:f>Projections!$P$171:$AQ$171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Projections!$A$173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Projections!$P$173:$BG$173</c15:sqref>
                  </c15:fullRef>
                </c:ext>
              </c:extLst>
              <c:f>Projections!$P$173:$AQ$173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Projections!$A$175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Projections!$P$175:$BG$175</c15:sqref>
                  </c15:fullRef>
                </c:ext>
              </c:extLst>
              <c:f>Projections!$P$175:$AQ$175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Projections!$A$177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Projections!$P$177:$BG$177</c15:sqref>
                  </c15:fullRef>
                </c:ext>
              </c:extLst>
              <c:f>Projections!$P$177:$AQ$177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Projections!$A$179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Projections!$P$179:$BG$179</c15:sqref>
                  </c15:fullRef>
                </c:ext>
              </c:extLst>
              <c:f>Projections!$P$179:$AQ$179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Projections!$A$181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Projections!$P$181:$BG$181</c15:sqref>
                  </c15:fullRef>
                </c:ext>
              </c:extLst>
              <c:f>Projections!$P$181:$AQ$181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Projections!$A$183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Projections!$P$183:$BG$183</c15:sqref>
                  </c15:fullRef>
                </c:ext>
              </c:extLst>
              <c:f>Projections!$P$183:$AQ$183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Projections!$A$185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Projections!$P$185:$BG$185</c15:sqref>
                  </c15:fullRef>
                </c:ext>
              </c:extLst>
              <c:f>Projections!$P$185:$AQ$185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Projections!$A$187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Projections!$P$187:$BG$187</c15:sqref>
                  </c15:fullRef>
                </c:ext>
              </c:extLst>
              <c:f>Projections!$P$187:$AQ$187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Projections!$A$171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Projections!$P$172:$BG$172</c15:sqref>
                  </c15:fullRef>
                </c:ext>
              </c:extLst>
              <c:f>Projections!$P$172:$AQ$172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Projections!$A$173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Projections!$P$174:$BG$174</c15:sqref>
                  </c15:fullRef>
                </c:ext>
              </c:extLst>
              <c:f>Projections!$P$174:$AQ$174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Projections!$A$175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Projections!$P$176:$BG$176</c15:sqref>
                  </c15:fullRef>
                </c:ext>
              </c:extLst>
              <c:f>Projections!$P$176:$AQ$176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Projections!$A$177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Projections!$P$178:$BG$178</c15:sqref>
                  </c15:fullRef>
                </c:ext>
              </c:extLst>
              <c:f>Projections!$P$178:$AQ$178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Projections!$A$179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Projections!$P$180:$BG$180</c15:sqref>
                  </c15:fullRef>
                </c:ext>
              </c:extLst>
              <c:f>Projections!$P$180:$AQ$180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Projections!$A$181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Projections!$P$182:$BG$182</c15:sqref>
                  </c15:fullRef>
                </c:ext>
              </c:extLst>
              <c:f>Projections!$P$182:$AQ$182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Projections!$A$183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Projections!$P$184:$BG$184</c15:sqref>
                  </c15:fullRef>
                </c:ext>
              </c:extLst>
              <c:f>Projections!$P$184:$AQ$184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Projections!$A$185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Projections!$P$186:$BG$186</c15:sqref>
                  </c15:fullRef>
                </c:ext>
              </c:extLst>
              <c:f>Projections!$P$186:$AQ$186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Projections!$A$187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Projections!$P$188:$BG$188</c15:sqref>
                  </c15:fullRef>
                </c:ext>
              </c:extLst>
              <c:f>Projections!$P$188:$AQ$188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Projections!$A$200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Projections!$P$200:$BG$200</c15:sqref>
                  </c15:fullRef>
                </c:ext>
              </c:extLst>
              <c:f>Projections!$P$200:$AQ$200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Projections!$A$198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Projections!$P$198:$BG$198</c15:sqref>
                  </c15:fullRef>
                </c:ext>
              </c:extLst>
              <c:f>Projections!$P$198:$AQ$198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Projections!$A$204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Projections!$P$204:$BG$204</c15:sqref>
                  </c15:fullRef>
                </c:ext>
              </c:extLst>
              <c:f>Projections!$P$204:$AQ$204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Projections!$A$194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Projections!$P$194:$BG$194</c15:sqref>
                  </c15:fullRef>
                </c:ext>
              </c:extLst>
              <c:f>Projections!$P$194:$AQ$194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Projections!$A$196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Projections!$P$196:$BG$196</c15:sqref>
                  </c15:fullRef>
                </c:ext>
              </c:extLst>
              <c:f>Projections!$P$196:$AQ$196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Projections!$A$202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Projections!$P$202:$BG$202</c15:sqref>
                  </c15:fullRef>
                </c:ext>
              </c:extLst>
              <c:f>Projections!$P$202:$AQ$202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Projections!$A$200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Projections!$A$198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Projections!$P$199:$BG$199</c15:sqref>
                  </c15:fullRef>
                </c:ext>
              </c:extLst>
              <c:f>Projections!$P$199:$AQ$199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Projections!$A$194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Projections!$P$195:$BG$195</c15:sqref>
                  </c15:fullRef>
                </c:ext>
              </c:extLst>
              <c:f>Projections!$P$195:$AQ$195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Projections!$A$196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Projections!$P$197:$BG$197</c15:sqref>
                  </c15:fullRef>
                </c:ext>
              </c:extLst>
              <c:f>Projections!$P$197:$AQ$197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Projections!$A$202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Projections!$P$203:$BG$203</c15:sqref>
                  </c15:fullRef>
                </c:ext>
              </c:extLst>
              <c:f>Projections!$P$203:$AQ$203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Projections!$A$139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Projections!$P$139:$BG$139</c15:sqref>
                  </c15:fullRef>
                </c:ext>
              </c:extLst>
              <c:f>Projections!$P$139:$AL$139</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Projections!$A$163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Projections!$P$163:$BG$163</c15:sqref>
                  </c15:fullRef>
                </c:ext>
              </c:extLst>
              <c:f>Projections!$P$163:$AL$163</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1280000</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Projections!$A$153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Projections!$P$153:$BG$153</c15:sqref>
                  </c15:fullRef>
                </c:ext>
              </c:extLst>
              <c:f>Projections!$P$153:$AL$153</c:f>
              <c:numCache>
                <c:formatCode>#,##0_ ;[Red]\-#,##0\ </c:formatCode>
                <c:ptCount val="23"/>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numCache>
            </c:numRef>
          </c:val>
          <c:smooth val="0"/>
          <c:extLst>
            <c:ext xmlns:c16="http://schemas.microsoft.com/office/drawing/2014/chart" uri="{C3380CC4-5D6E-409C-BE32-E72D297353CC}">
              <c16:uniqueId val="{00000000-FE1B-4946-A476-7952C5C71231}"/>
            </c:ext>
          </c:extLst>
        </c:ser>
        <c:ser>
          <c:idx val="1"/>
          <c:order val="1"/>
          <c:tx>
            <c:strRef>
              <c:f>Projections!$A$167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Projections!$P$138:$BG$138</c15:sqref>
                  </c15:fullRef>
                </c:ext>
              </c:extLst>
              <c:f>Projections!$P$138:$AL$138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numCache>
            </c:numRef>
          </c:cat>
          <c:val>
            <c:numRef>
              <c:extLst>
                <c:ext xmlns:c15="http://schemas.microsoft.com/office/drawing/2012/chart" uri="{02D57815-91ED-43cb-92C2-25804820EDAC}">
                  <c15:fullRef>
                    <c15:sqref>Projections!$P$167:$BG$167</c15:sqref>
                  </c15:fullRef>
                </c:ext>
              </c:extLst>
              <c:f>Projections!$P$167:$AL$167</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18.181818181818187</c:v>
                </c:pt>
                <c:pt idx="3">
                  <c:v>36.363636363636374</c:v>
                </c:pt>
                <c:pt idx="4">
                  <c:v>58.909090909090928</c:v>
                </c:pt>
                <c:pt idx="5">
                  <c:v>117.81818181818186</c:v>
                </c:pt>
                <c:pt idx="6">
                  <c:v>235.63636363636371</c:v>
                </c:pt>
                <c:pt idx="7">
                  <c:v>456.54545454545467</c:v>
                </c:pt>
                <c:pt idx="8">
                  <c:v>913.09090909090935</c:v>
                </c:pt>
                <c:pt idx="9">
                  <c:v>1826.1818181818187</c:v>
                </c:pt>
                <c:pt idx="10">
                  <c:v>3652.3636363636374</c:v>
                </c:pt>
                <c:pt idx="11">
                  <c:v>7304.7272727272748</c:v>
                </c:pt>
                <c:pt idx="12">
                  <c:v>14624.181818181823</c:v>
                </c:pt>
                <c:pt idx="13">
                  <c:v>29248.363636363647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13.818181818181822</c:v>
                </c:pt>
                <c:pt idx="5">
                  <c:v>27.636363636363644</c:v>
                </c:pt>
                <c:pt idx="6">
                  <c:v>40.727272727272741</c:v>
                </c:pt>
                <c:pt idx="7">
                  <c:v>81.454545454545482</c:v>
                </c:pt>
                <c:pt idx="8">
                  <c:v>162.90909090909096</c:v>
                </c:pt>
                <c:pt idx="9">
                  <c:v>325.81818181818193</c:v>
                </c:pt>
                <c:pt idx="10">
                  <c:v>651.63636363636385</c:v>
                </c:pt>
                <c:pt idx="11">
                  <c:v>1303.2727272727277</c:v>
                </c:pt>
                <c:pt idx="12">
                  <c:v>2606.5454545454554</c:v>
                </c:pt>
                <c:pt idx="13">
                  <c:v>5213.0909090909108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14.54545454545455</c:v>
                </c:pt>
                <c:pt idx="7">
                  <c:v>29.090909090909101</c:v>
                </c:pt>
                <c:pt idx="8">
                  <c:v>58.181818181818201</c:v>
                </c:pt>
                <c:pt idx="9">
                  <c:v>116.3636363636364</c:v>
                </c:pt>
                <c:pt idx="10">
                  <c:v>232.7272727272728</c:v>
                </c:pt>
                <c:pt idx="11">
                  <c:v>465.45454545454561</c:v>
                </c:pt>
                <c:pt idx="12">
                  <c:v>930.90909090909122</c:v>
                </c:pt>
                <c:pt idx="13">
                  <c:v>1861.8181818181824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151.51515151515153</c:v>
                </c:pt>
                <c:pt idx="1">
                  <c:v>303.03030303030306</c:v>
                </c:pt>
                <c:pt idx="2">
                  <c:v>606.06060606060612</c:v>
                </c:pt>
                <c:pt idx="3">
                  <c:v>1212.1212121212122</c:v>
                </c:pt>
                <c:pt idx="4">
                  <c:v>2424.2424242424245</c:v>
                </c:pt>
                <c:pt idx="5">
                  <c:v>4848.484848484849</c:v>
                </c:pt>
                <c:pt idx="6">
                  <c:v>9696.9696969696979</c:v>
                </c:pt>
                <c:pt idx="7">
                  <c:v>19393.939393939396</c:v>
                </c:pt>
                <c:pt idx="8">
                  <c:v>38787.878787878792</c:v>
                </c:pt>
                <c:pt idx="9">
                  <c:v>77575.757575757583</c:v>
                </c:pt>
                <c:pt idx="10">
                  <c:v>155151.51515151517</c:v>
                </c:pt>
                <c:pt idx="11">
                  <c:v>310303.03030303033</c:v>
                </c:pt>
                <c:pt idx="12">
                  <c:v>620606.06060606067</c:v>
                </c:pt>
                <c:pt idx="13">
                  <c:v>1241212.1212121213</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133.33333333333334</c:v>
                </c:pt>
                <c:pt idx="1">
                  <c:v>266.66666666666669</c:v>
                </c:pt>
                <c:pt idx="2">
                  <c:v>533.33333333333337</c:v>
                </c:pt>
                <c:pt idx="3">
                  <c:v>1066.6666666666667</c:v>
                </c:pt>
                <c:pt idx="4">
                  <c:v>2133.3333333333335</c:v>
                </c:pt>
                <c:pt idx="5">
                  <c:v>4266.666666666667</c:v>
                </c:pt>
                <c:pt idx="6">
                  <c:v>8533.3333333333339</c:v>
                </c:pt>
                <c:pt idx="7">
                  <c:v>17066.666666666668</c:v>
                </c:pt>
                <c:pt idx="8">
                  <c:v>34133.333333333336</c:v>
                </c:pt>
                <c:pt idx="9">
                  <c:v>68266.666666666672</c:v>
                </c:pt>
                <c:pt idx="10">
                  <c:v>136533.33333333334</c:v>
                </c:pt>
                <c:pt idx="11">
                  <c:v>273066.66666666669</c:v>
                </c:pt>
                <c:pt idx="12">
                  <c:v>546133.33333333337</c:v>
                </c:pt>
                <c:pt idx="13">
                  <c:v>1092266.6666666667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18.181818181818183</c:v>
                </c:pt>
                <c:pt idx="4">
                  <c:v>36.363636363636367</c:v>
                </c:pt>
                <c:pt idx="5">
                  <c:v>72.727272727272734</c:v>
                </c:pt>
                <c:pt idx="6">
                  <c:v>145.45454545454547</c:v>
                </c:pt>
                <c:pt idx="7">
                  <c:v>290.90909090909093</c:v>
                </c:pt>
                <c:pt idx="8">
                  <c:v>581.81818181818187</c:v>
                </c:pt>
                <c:pt idx="9">
                  <c:v>1163.6363636363637</c:v>
                </c:pt>
                <c:pt idx="10">
                  <c:v>2327.2727272727275</c:v>
                </c:pt>
                <c:pt idx="11">
                  <c:v>4654.545454545455</c:v>
                </c:pt>
                <c:pt idx="12">
                  <c:v>9309.0909090909099</c:v>
                </c:pt>
                <c:pt idx="13">
                  <c:v>18618.18181818182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18.181818181818187</c:v>
                </c:pt>
                <c:pt idx="3">
                  <c:v>36.363636363636374</c:v>
                </c:pt>
                <c:pt idx="4">
                  <c:v>58.909090909090928</c:v>
                </c:pt>
                <c:pt idx="5">
                  <c:v>117.81818181818186</c:v>
                </c:pt>
                <c:pt idx="6">
                  <c:v>235.63636363636371</c:v>
                </c:pt>
                <c:pt idx="7">
                  <c:v>456.54545454545467</c:v>
                </c:pt>
                <c:pt idx="8">
                  <c:v>913.09090909090935</c:v>
                </c:pt>
                <c:pt idx="9">
                  <c:v>1826.1818181818187</c:v>
                </c:pt>
                <c:pt idx="10">
                  <c:v>3652.3636363636374</c:v>
                </c:pt>
                <c:pt idx="11">
                  <c:v>7304.7272727272748</c:v>
                </c:pt>
                <c:pt idx="12">
                  <c:v>14624.181818181823</c:v>
                </c:pt>
                <c:pt idx="13">
                  <c:v>29248.363636363647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13.818181818181822</c:v>
                </c:pt>
                <c:pt idx="5">
                  <c:v>27.636363636363644</c:v>
                </c:pt>
                <c:pt idx="6">
                  <c:v>40.727272727272741</c:v>
                </c:pt>
                <c:pt idx="7">
                  <c:v>81.454545454545482</c:v>
                </c:pt>
                <c:pt idx="8">
                  <c:v>162.90909090909096</c:v>
                </c:pt>
                <c:pt idx="9">
                  <c:v>325.81818181818193</c:v>
                </c:pt>
                <c:pt idx="10">
                  <c:v>651.63636363636385</c:v>
                </c:pt>
                <c:pt idx="11">
                  <c:v>1303.2727272727277</c:v>
                </c:pt>
                <c:pt idx="12">
                  <c:v>2606.5454545454554</c:v>
                </c:pt>
                <c:pt idx="13">
                  <c:v>5213.0909090909108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43909.654994444441</c:v>
                </c:pt>
                <c:pt idx="1">
                  <c:v>43912.654994444441</c:v>
                </c:pt>
                <c:pt idx="2">
                  <c:v>43915.654994444441</c:v>
                </c:pt>
                <c:pt idx="3">
                  <c:v>43918.654994444441</c:v>
                </c:pt>
                <c:pt idx="4">
                  <c:v>43921.654994444441</c:v>
                </c:pt>
                <c:pt idx="5">
                  <c:v>43924.654994444441</c:v>
                </c:pt>
                <c:pt idx="6">
                  <c:v>43927.654994444441</c:v>
                </c:pt>
                <c:pt idx="7">
                  <c:v>43930.654994444441</c:v>
                </c:pt>
                <c:pt idx="8">
                  <c:v>43933.654994444441</c:v>
                </c:pt>
                <c:pt idx="9">
                  <c:v>43936.654994444441</c:v>
                </c:pt>
                <c:pt idx="10">
                  <c:v>43939.654994444441</c:v>
                </c:pt>
                <c:pt idx="11">
                  <c:v>43942.654994444441</c:v>
                </c:pt>
                <c:pt idx="12">
                  <c:v>43945.654994444441</c:v>
                </c:pt>
                <c:pt idx="13">
                  <c:v>43948.654994444441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14.54545454545455</c:v>
                </c:pt>
                <c:pt idx="7">
                  <c:v>29.090909090909101</c:v>
                </c:pt>
                <c:pt idx="8">
                  <c:v>58.181818181818201</c:v>
                </c:pt>
                <c:pt idx="9">
                  <c:v>116.3636363636364</c:v>
                </c:pt>
                <c:pt idx="10">
                  <c:v>232.7272727272728</c:v>
                </c:pt>
                <c:pt idx="11">
                  <c:v>465.45454545454561</c:v>
                </c:pt>
                <c:pt idx="12">
                  <c:v>930.90909090909122</c:v>
                </c:pt>
                <c:pt idx="13">
                  <c:v>1861.8181818181824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Projections!$P$149:$BG$149</c15:sqref>
                  </c15:fullRef>
                </c:ext>
              </c:extLst>
              <c:f>Projections!$P$149:$AQ$149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200258.94228430718</c:v>
                </c:pt>
                <c:pt idx="20">
                  <c:v>250270.48083150713</c:v>
                </c:pt>
                <c:pt idx="21">
                  <c:v>296852.34990976623</c:v>
                </c:pt>
                <c:pt idx="22">
                  <c:v>342924.73002205521</c:v>
                </c:pt>
                <c:pt idx="23">
                  <c:v>665287.8662262687</c:v>
                </c:pt>
                <c:pt idx="24">
                  <c:v>608534.02120355377</c:v>
                </c:pt>
                <c:pt idx="25">
                  <c:v>734563.87388449581</c:v>
                </c:pt>
                <c:pt idx="26">
                  <c:v>845586.46744864958</c:v>
                </c:pt>
                <c:pt idx="27">
                  <c:v>952081.11966056121</c:v>
                </c:pt>
              </c:numCache>
            </c:numRef>
          </c:val>
          <c:smooth val="0"/>
          <c:extLst>
            <c:ext xmlns:c16="http://schemas.microsoft.com/office/drawing/2014/chart" uri="{C3380CC4-5D6E-409C-BE32-E72D297353CC}">
              <c16:uniqueId val="{00000003-5231-4BE2-97ED-54F0C3DB105C}"/>
            </c:ext>
          </c:extLst>
        </c:ser>
        <c:ser>
          <c:idx val="2"/>
          <c:order val="1"/>
          <c:tx>
            <c:strRef>
              <c:f>Projections!$A$150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Projections!$P$150:$BG$150</c15:sqref>
                  </c15:fullRef>
                </c:ext>
              </c:extLst>
              <c:f>Projections!$P$150:$AQ$150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156055.91192138585</c:v>
                </c:pt>
                <c:pt idx="20">
                  <c:v>191021.09785356827</c:v>
                </c:pt>
                <c:pt idx="21">
                  <c:v>113241.86506176133</c:v>
                </c:pt>
                <c:pt idx="22">
                  <c:v>183131.90395536859</c:v>
                </c:pt>
                <c:pt idx="23">
                  <c:v>362300.41021426558</c:v>
                </c:pt>
                <c:pt idx="24">
                  <c:v>0</c:v>
                </c:pt>
                <c:pt idx="25">
                  <c:v>203481.39418705474</c:v>
                </c:pt>
                <c:pt idx="26">
                  <c:v>0</c:v>
                </c:pt>
                <c:pt idx="27">
                  <c:v>118824.25675016112</c:v>
                </c:pt>
              </c:numCache>
            </c:numRef>
          </c:val>
          <c:smooth val="0"/>
          <c:extLst>
            <c:ext xmlns:c16="http://schemas.microsoft.com/office/drawing/2014/chart" uri="{C3380CC4-5D6E-409C-BE32-E72D297353CC}">
              <c16:uniqueId val="{00000002-9381-4A4E-BB43-DCD8EC2F4E00}"/>
            </c:ext>
          </c:extLst>
        </c:ser>
        <c:ser>
          <c:idx val="0"/>
          <c:order val="2"/>
          <c:tx>
            <c:strRef>
              <c:f>Projections!$A$151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Projections!$P$151:$BG$151</c15:sqref>
                  </c15:fullRef>
                </c:ext>
              </c:extLst>
              <c:f>Projections!$P$151:$AQ$151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48527.686624092399</c:v>
                </c:pt>
                <c:pt idx="20">
                  <c:v>61572.988963700482</c:v>
                </c:pt>
                <c:pt idx="21">
                  <c:v>75908.447892907818</c:v>
                </c:pt>
                <c:pt idx="22">
                  <c:v>88996.021400140351</c:v>
                </c:pt>
                <c:pt idx="23">
                  <c:v>181510.39218532681</c:v>
                </c:pt>
                <c:pt idx="24">
                  <c:v>335250.99708197563</c:v>
                </c:pt>
                <c:pt idx="25">
                  <c:v>284279.88501626055</c:v>
                </c:pt>
                <c:pt idx="26">
                  <c:v>326964.04031430848</c:v>
                </c:pt>
                <c:pt idx="27">
                  <c:v>361056.91060199292</c:v>
                </c:pt>
              </c:numCache>
            </c:numRef>
          </c:val>
          <c:smooth val="0"/>
          <c:extLst>
            <c:ext xmlns:c16="http://schemas.microsoft.com/office/drawing/2014/chart" uri="{C3380CC4-5D6E-409C-BE32-E72D297353CC}">
              <c16:uniqueId val="{00000000-9381-4A4E-BB43-DCD8EC2F4E00}"/>
            </c:ext>
          </c:extLst>
        </c:ser>
        <c:ser>
          <c:idx val="4"/>
          <c:order val="3"/>
          <c:tx>
            <c:strRef>
              <c:f>Projections!$A$152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Projections!$P$152:$BG$152</c15:sqref>
                  </c15:fullRef>
                </c:ext>
              </c:extLst>
              <c:f>Projections!$P$152:$AQ$152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37513.979144579796</c:v>
                </c:pt>
                <c:pt idx="20">
                  <c:v>20544.911077719866</c:v>
                </c:pt>
                <c:pt idx="21">
                  <c:v>40962.370375624028</c:v>
                </c:pt>
                <c:pt idx="22">
                  <c:v>42400.499171367694</c:v>
                </c:pt>
                <c:pt idx="23">
                  <c:v>107727.22469269449</c:v>
                </c:pt>
                <c:pt idx="24">
                  <c:v>173147.04652534609</c:v>
                </c:pt>
                <c:pt idx="25">
                  <c:v>150473.53169511273</c:v>
                </c:pt>
                <c:pt idx="26">
                  <c:v>200675.0588373038</c:v>
                </c:pt>
                <c:pt idx="27">
                  <c:v>205533.40787542466</c:v>
                </c:pt>
              </c:numCache>
            </c:numRef>
          </c:val>
          <c:smooth val="0"/>
          <c:extLst>
            <c:ext xmlns:c16="http://schemas.microsoft.com/office/drawing/2014/chart" uri="{C3380CC4-5D6E-409C-BE32-E72D297353CC}">
              <c16:uniqueId val="{00000003-9381-4A4E-BB43-DCD8EC2F4E00}"/>
            </c:ext>
          </c:extLst>
        </c:ser>
        <c:ser>
          <c:idx val="1"/>
          <c:order val="4"/>
          <c:tx>
            <c:strRef>
              <c:f>Projections!$A$153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Projections!$P$153:$BG$153</c15:sqref>
                  </c15:fullRef>
                </c:ext>
              </c:extLst>
              <c:f>Projections!$P$153:$AQ$153</c:f>
              <c:numCache>
                <c:formatCode>#,##0_ ;[Red]\-#,##0\ </c:formatCode>
                <c:ptCount val="28"/>
                <c:pt idx="0">
                  <c:v>1.71875</c:v>
                </c:pt>
                <c:pt idx="1">
                  <c:v>3.4375</c:v>
                </c:pt>
                <c:pt idx="2">
                  <c:v>6.875</c:v>
                </c:pt>
                <c:pt idx="3">
                  <c:v>13.75</c:v>
                </c:pt>
                <c:pt idx="4">
                  <c:v>27.5</c:v>
                </c:pt>
                <c:pt idx="5">
                  <c:v>55</c:v>
                </c:pt>
                <c:pt idx="6">
                  <c:v>110</c:v>
                </c:pt>
                <c:pt idx="7">
                  <c:v>220</c:v>
                </c:pt>
                <c:pt idx="8">
                  <c:v>440</c:v>
                </c:pt>
                <c:pt idx="9">
                  <c:v>880</c:v>
                </c:pt>
                <c:pt idx="10">
                  <c:v>1760</c:v>
                </c:pt>
                <c:pt idx="11">
                  <c:v>3520</c:v>
                </c:pt>
                <c:pt idx="12">
                  <c:v>7040</c:v>
                </c:pt>
                <c:pt idx="13">
                  <c:v>14080</c:v>
                </c:pt>
                <c:pt idx="14">
                  <c:v>28160</c:v>
                </c:pt>
                <c:pt idx="15">
                  <c:v>35200</c:v>
                </c:pt>
                <c:pt idx="16">
                  <c:v>42240</c:v>
                </c:pt>
                <c:pt idx="17">
                  <c:v>49280</c:v>
                </c:pt>
                <c:pt idx="18">
                  <c:v>56320</c:v>
                </c:pt>
                <c:pt idx="19">
                  <c:v>70400</c:v>
                </c:pt>
                <c:pt idx="20">
                  <c:v>84480</c:v>
                </c:pt>
                <c:pt idx="21">
                  <c:v>98560</c:v>
                </c:pt>
                <c:pt idx="22">
                  <c:v>112640</c:v>
                </c:pt>
                <c:pt idx="23">
                  <c:v>135168</c:v>
                </c:pt>
                <c:pt idx="24">
                  <c:v>157696</c:v>
                </c:pt>
                <c:pt idx="25">
                  <c:v>180224</c:v>
                </c:pt>
                <c:pt idx="26">
                  <c:v>202752</c:v>
                </c:pt>
                <c:pt idx="27">
                  <c:v>225280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Projections!$A$171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Projections!$P$171:$BG$171</c15:sqref>
                  </c15:fullRef>
                </c:ext>
              </c:extLst>
              <c:f>Projections!$P$171:$AQ$171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Projections!$A$173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Projections!$P$173:$BG$173</c15:sqref>
                  </c15:fullRef>
                </c:ext>
              </c:extLst>
              <c:f>Projections!$P$173:$AQ$173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Projections!$A$175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Projections!$P$175:$BG$175</c15:sqref>
                  </c15:fullRef>
                </c:ext>
              </c:extLst>
              <c:f>Projections!$P$175:$AQ$175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Projections!$A$177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Projections!$P$177:$BG$177</c15:sqref>
                  </c15:fullRef>
                </c:ext>
              </c:extLst>
              <c:f>Projections!$P$177:$AQ$177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Projections!$A$179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Projections!$P$179:$BG$179</c15:sqref>
                  </c15:fullRef>
                </c:ext>
              </c:extLst>
              <c:f>Projections!$P$179:$AQ$179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Projections!$A$181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Projections!$P$181:$BG$181</c15:sqref>
                  </c15:fullRef>
                </c:ext>
              </c:extLst>
              <c:f>Projections!$P$181:$AQ$181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Projections!$A$183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Projections!$P$183:$BG$183</c15:sqref>
                  </c15:fullRef>
                </c:ext>
              </c:extLst>
              <c:f>Projections!$P$183:$AQ$183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Projections!$A$185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Projections!$P$185:$BG$185</c15:sqref>
                  </c15:fullRef>
                </c:ext>
              </c:extLst>
              <c:f>Projections!$P$185:$AQ$185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Projections!$A$187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Projections!$P$187:$BG$187</c15:sqref>
                  </c15:fullRef>
                </c:ext>
              </c:extLst>
              <c:f>Projections!$P$187:$AQ$187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Projections!$A$171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Projections!$P$172:$BG$172</c15:sqref>
                  </c15:fullRef>
                </c:ext>
              </c:extLst>
              <c:f>Projections!$P$172:$AQ$172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Projections!$A$173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Projections!$P$174:$BG$174</c15:sqref>
                  </c15:fullRef>
                </c:ext>
              </c:extLst>
              <c:f>Projections!$P$174:$AQ$174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Projections!$A$175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Projections!$P$176:$BG$176</c15:sqref>
                  </c15:fullRef>
                </c:ext>
              </c:extLst>
              <c:f>Projections!$P$176:$AQ$176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Projections!$A$177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Projections!$P$178:$BG$178</c15:sqref>
                  </c15:fullRef>
                </c:ext>
              </c:extLst>
              <c:f>Projections!$P$178:$AQ$178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Projections!$A$179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Projections!$P$180:$BG$180</c15:sqref>
                  </c15:fullRef>
                </c:ext>
              </c:extLst>
              <c:f>Projections!$P$180:$AQ$180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Projections!$A$181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Projections!$P$182:$BG$182</c15:sqref>
                  </c15:fullRef>
                </c:ext>
              </c:extLst>
              <c:f>Projections!$P$182:$AQ$182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Projections!$A$183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Projections!$P$184:$BG$184</c15:sqref>
                  </c15:fullRef>
                </c:ext>
              </c:extLst>
              <c:f>Projections!$P$184:$AQ$184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Projections!$A$185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Projections!$P$186:$BG$186</c15:sqref>
                  </c15:fullRef>
                </c:ext>
              </c:extLst>
              <c:f>Projections!$P$186:$AQ$186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Projections!$A$187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Projections!$P$188:$BG$188</c15:sqref>
                  </c15:fullRef>
                </c:ext>
              </c:extLst>
              <c:f>Projections!$P$188:$AQ$188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Projections!$A$200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Projections!$P$200:$BG$200</c15:sqref>
                  </c15:fullRef>
                </c:ext>
              </c:extLst>
              <c:f>Projections!$P$200:$AQ$200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Projections!$A$198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Projections!$P$198:$BG$198</c15:sqref>
                  </c15:fullRef>
                </c:ext>
              </c:extLst>
              <c:f>Projections!$P$198:$AQ$198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Projections!$A$204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Projections!$P$204:$BG$204</c15:sqref>
                  </c15:fullRef>
                </c:ext>
              </c:extLst>
              <c:f>Projections!$P$204:$AQ$204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Projections!$A$194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Projections!$P$194:$BG$194</c15:sqref>
                  </c15:fullRef>
                </c:ext>
              </c:extLst>
              <c:f>Projections!$P$194:$AQ$194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Projections!$A$196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Projections!$P$196:$BG$196</c15:sqref>
                  </c15:fullRef>
                </c:ext>
              </c:extLst>
              <c:f>Projections!$P$196:$AQ$196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Projections!$A$202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Projections!$P$202:$BG$202</c15:sqref>
                  </c15:fullRef>
                </c:ext>
              </c:extLst>
              <c:f>Projections!$P$202:$AQ$202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Projections!$A$200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Projections!$A$198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Projections!$P$199:$BG$199</c15:sqref>
                  </c15:fullRef>
                </c:ext>
              </c:extLst>
              <c:f>Projections!$P$199:$AQ$199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Projections!$A$194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Projections!$P$195:$BG$195</c15:sqref>
                  </c15:fullRef>
                </c:ext>
              </c:extLst>
              <c:f>Projections!$P$195:$AQ$195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Projections!$A$196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Projections!$P$197:$BG$197</c15:sqref>
                  </c15:fullRef>
                </c:ext>
              </c:extLst>
              <c:f>Projections!$P$197:$AQ$197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Projections!$A$202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Projections!$P$138:$BG$138</c15:sqref>
                  </c15:fullRef>
                </c:ext>
              </c:extLst>
              <c:f>Projections!$P$138:$AQ$138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43956</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Projections!$P$203:$BG$203</c15:sqref>
                  </c15:fullRef>
                </c:ext>
              </c:extLst>
              <c:f>Projections!$P$203:$AQ$203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137</xdr:row>
      <xdr:rowOff>104775</xdr:rowOff>
    </xdr:from>
    <xdr:to>
      <xdr:col>72</xdr:col>
      <xdr:colOff>600075</xdr:colOff>
      <xdr:row>169</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209</xdr:row>
      <xdr:rowOff>120114</xdr:rowOff>
    </xdr:from>
    <xdr:to>
      <xdr:col>73</xdr:col>
      <xdr:colOff>19050</xdr:colOff>
      <xdr:row>232</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233</xdr:row>
      <xdr:rowOff>124876</xdr:rowOff>
    </xdr:from>
    <xdr:to>
      <xdr:col>73</xdr:col>
      <xdr:colOff>28575</xdr:colOff>
      <xdr:row>250</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251</xdr:row>
      <xdr:rowOff>105825</xdr:rowOff>
    </xdr:from>
    <xdr:to>
      <xdr:col>73</xdr:col>
      <xdr:colOff>38099</xdr:colOff>
      <xdr:row>267</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268</xdr:row>
      <xdr:rowOff>124875</xdr:rowOff>
    </xdr:from>
    <xdr:to>
      <xdr:col>73</xdr:col>
      <xdr:colOff>19050</xdr:colOff>
      <xdr:row>287</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171</xdr:row>
      <xdr:rowOff>119062</xdr:rowOff>
    </xdr:from>
    <xdr:to>
      <xdr:col>73</xdr:col>
      <xdr:colOff>19050</xdr:colOff>
      <xdr:row>191</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192</xdr:row>
      <xdr:rowOff>117021</xdr:rowOff>
    </xdr:from>
    <xdr:to>
      <xdr:col>72</xdr:col>
      <xdr:colOff>590550</xdr:colOff>
      <xdr:row>208</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137</xdr:row>
      <xdr:rowOff>104775</xdr:rowOff>
    </xdr:from>
    <xdr:to>
      <xdr:col>86</xdr:col>
      <xdr:colOff>161925</xdr:colOff>
      <xdr:row>169</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209</xdr:row>
      <xdr:rowOff>101064</xdr:rowOff>
    </xdr:from>
    <xdr:to>
      <xdr:col>86</xdr:col>
      <xdr:colOff>209550</xdr:colOff>
      <xdr:row>232</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233</xdr:row>
      <xdr:rowOff>115351</xdr:rowOff>
    </xdr:from>
    <xdr:to>
      <xdr:col>86</xdr:col>
      <xdr:colOff>200025</xdr:colOff>
      <xdr:row>250</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251</xdr:row>
      <xdr:rowOff>105825</xdr:rowOff>
    </xdr:from>
    <xdr:to>
      <xdr:col>86</xdr:col>
      <xdr:colOff>219074</xdr:colOff>
      <xdr:row>267</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268</xdr:row>
      <xdr:rowOff>124875</xdr:rowOff>
    </xdr:from>
    <xdr:to>
      <xdr:col>86</xdr:col>
      <xdr:colOff>228600</xdr:colOff>
      <xdr:row>287</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171</xdr:row>
      <xdr:rowOff>128587</xdr:rowOff>
    </xdr:from>
    <xdr:to>
      <xdr:col>86</xdr:col>
      <xdr:colOff>200025</xdr:colOff>
      <xdr:row>191</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192</xdr:row>
      <xdr:rowOff>117021</xdr:rowOff>
    </xdr:from>
    <xdr:to>
      <xdr:col>86</xdr:col>
      <xdr:colOff>161925</xdr:colOff>
      <xdr:row>208</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/Projections!B127</f>
        <v>151.51515151515153</v>
      </c>
      <c r="C17" s="103"/>
      <c r="D17" s="104"/>
      <c r="E17" s="98">
        <f>B17*2</f>
        <v>303.03030303030306</v>
      </c>
      <c r="F17" s="103"/>
      <c r="G17" s="98"/>
      <c r="H17" s="98">
        <f>E17*2</f>
        <v>606.06060606060612</v>
      </c>
      <c r="I17" s="103"/>
      <c r="J17" s="104"/>
      <c r="K17" s="95">
        <f>H17*2</f>
        <v>1212.1212121212122</v>
      </c>
      <c r="L17" s="93"/>
      <c r="M17" s="94"/>
      <c r="N17" s="95">
        <f>K17*2</f>
        <v>2424.2424242424245</v>
      </c>
      <c r="O17" s="93"/>
      <c r="P17" s="94"/>
      <c r="Q17" s="95">
        <f>N17*2</f>
        <v>4848.484848484849</v>
      </c>
      <c r="R17" s="93"/>
      <c r="S17" s="94"/>
      <c r="T17" s="95">
        <f>Q17*2</f>
        <v>9696.9696969696979</v>
      </c>
      <c r="U17" s="93"/>
      <c r="V17" s="94"/>
      <c r="W17" s="95">
        <f>T17*2</f>
        <v>19393.939393939396</v>
      </c>
      <c r="X17" s="93"/>
      <c r="Y17" s="94"/>
      <c r="Z17" s="95">
        <f>W17*2</f>
        <v>38787.878787878792</v>
      </c>
      <c r="AA17" s="93"/>
      <c r="AB17" s="94"/>
      <c r="AC17" s="95">
        <f>Z17*2</f>
        <v>77575.757575757583</v>
      </c>
      <c r="AD17" s="93"/>
      <c r="AE17" s="94"/>
      <c r="AF17" s="95">
        <f>AC17*2</f>
        <v>155151.51515151517</v>
      </c>
      <c r="AG17" s="93"/>
      <c r="AH17" s="94"/>
      <c r="AI17" s="95">
        <f>AF17*2</f>
        <v>310303.03030303033</v>
      </c>
      <c r="AJ17" s="93"/>
      <c r="AK17" s="94"/>
      <c r="AL17" s="95">
        <f>AI17*2</f>
        <v>620606.06060606067</v>
      </c>
      <c r="AM17" s="93"/>
      <c r="AN17" s="94"/>
      <c r="AO17" s="95">
        <f>AL17*2</f>
        <v>1241212.1212121213</v>
      </c>
      <c r="AP17" s="98"/>
      <c r="AQ17" t="s">
        <v>92</v>
      </c>
    </row>
    <row r="18" spans="1:43" s="69" customFormat="1" x14ac:dyDescent="0.25">
      <c r="A18" s="69" t="s">
        <v>166</v>
      </c>
      <c r="B18" s="88">
        <f>B17*$E$34</f>
        <v>133.33333333333334</v>
      </c>
      <c r="C18" s="105"/>
      <c r="D18" s="105"/>
      <c r="E18" s="105">
        <f>E17*$E$34</f>
        <v>266.66666666666669</v>
      </c>
      <c r="F18" s="105"/>
      <c r="G18" s="33"/>
      <c r="H18" s="105">
        <f>H17*$E$34</f>
        <v>533.33333333333337</v>
      </c>
      <c r="I18" s="105"/>
      <c r="J18" s="105"/>
      <c r="K18" s="105">
        <f>K17*$E$34</f>
        <v>1066.6666666666667</v>
      </c>
      <c r="L18" s="105"/>
      <c r="M18" s="105"/>
      <c r="N18" s="105">
        <f>N17*$E$34</f>
        <v>2133.3333333333335</v>
      </c>
      <c r="O18" s="105"/>
      <c r="P18" s="105"/>
      <c r="Q18" s="105">
        <f>Q17*$E$34</f>
        <v>4266.666666666667</v>
      </c>
      <c r="R18" s="105"/>
      <c r="S18" s="105"/>
      <c r="T18" s="105">
        <f>T17*$E$34</f>
        <v>8533.3333333333339</v>
      </c>
      <c r="U18" s="105"/>
      <c r="V18" s="105"/>
      <c r="W18" s="105">
        <f>W17*$E$34</f>
        <v>17066.666666666668</v>
      </c>
      <c r="X18" s="105"/>
      <c r="Y18" s="105"/>
      <c r="Z18" s="105">
        <f>Z17*$E$34</f>
        <v>34133.333333333336</v>
      </c>
      <c r="AA18" s="105"/>
      <c r="AB18" s="105"/>
      <c r="AC18" s="105">
        <f>AC17*$E$34</f>
        <v>68266.666666666672</v>
      </c>
      <c r="AD18" s="105"/>
      <c r="AE18" s="105"/>
      <c r="AF18" s="105">
        <f>AF17*$E$34</f>
        <v>136533.33333333334</v>
      </c>
      <c r="AG18" s="105"/>
      <c r="AH18" s="105"/>
      <c r="AI18" s="105">
        <f>AI17*$E$34</f>
        <v>273066.66666666669</v>
      </c>
      <c r="AJ18" s="105"/>
      <c r="AK18" s="105"/>
      <c r="AL18" s="105">
        <f>AL17*$E$34</f>
        <v>546133.33333333337</v>
      </c>
      <c r="AM18" s="105"/>
      <c r="AN18" s="105"/>
      <c r="AO18" s="105">
        <f>AO17*$E$34</f>
        <v>1092266.6666666667</v>
      </c>
      <c r="AP18" s="33"/>
      <c r="AQ18" s="69" t="s">
        <v>166</v>
      </c>
    </row>
    <row r="19" spans="1:43" s="69" customFormat="1" x14ac:dyDescent="0.25">
      <c r="A19" s="47" t="s">
        <v>168</v>
      </c>
      <c r="B19" s="86">
        <f>B18</f>
        <v>133.33333333333334</v>
      </c>
      <c r="C19" s="87"/>
      <c r="D19" s="87"/>
      <c r="E19" s="87">
        <f>E18</f>
        <v>266.66666666666669</v>
      </c>
      <c r="F19" s="87"/>
      <c r="G19" s="34"/>
      <c r="H19" s="87">
        <f>H18</f>
        <v>533.33333333333337</v>
      </c>
      <c r="I19" s="87"/>
      <c r="J19" s="87"/>
      <c r="K19" s="87">
        <f>K18</f>
        <v>1066.6666666666667</v>
      </c>
      <c r="L19" s="87"/>
      <c r="M19" s="87"/>
      <c r="N19" s="87">
        <f>N18</f>
        <v>2133.3333333333335</v>
      </c>
      <c r="O19" s="87"/>
      <c r="P19" s="87"/>
      <c r="Q19" s="87">
        <f>Q18</f>
        <v>4266.666666666667</v>
      </c>
      <c r="R19" s="87"/>
      <c r="S19" s="87"/>
      <c r="T19" s="87">
        <f>T18</f>
        <v>8533.3333333333339</v>
      </c>
      <c r="U19" s="87"/>
      <c r="V19" s="87"/>
      <c r="W19" s="121">
        <f>W18-B18</f>
        <v>16933.333333333336</v>
      </c>
      <c r="X19" s="121"/>
      <c r="Y19" s="121"/>
      <c r="Z19" s="121">
        <f>Z18-E18</f>
        <v>33866.666666666672</v>
      </c>
      <c r="AA19" s="121"/>
      <c r="AB19" s="121"/>
      <c r="AC19" s="121">
        <f>AC18-H18</f>
        <v>67733.333333333343</v>
      </c>
      <c r="AD19" s="121"/>
      <c r="AE19" s="121"/>
      <c r="AF19" s="121">
        <f>AF18-K18</f>
        <v>135466.66666666669</v>
      </c>
      <c r="AG19" s="121"/>
      <c r="AH19" s="121"/>
      <c r="AI19" s="121">
        <f>AI18-N18</f>
        <v>270933.33333333337</v>
      </c>
      <c r="AJ19" s="121"/>
      <c r="AK19" s="121"/>
      <c r="AL19" s="121">
        <f>AL18-Q18</f>
        <v>541866.66666666674</v>
      </c>
      <c r="AM19" s="121"/>
      <c r="AN19" s="121"/>
      <c r="AO19" s="121">
        <f>AO18-T18</f>
        <v>1083733.3333333335</v>
      </c>
      <c r="AP19" s="122"/>
      <c r="AQ19" s="47" t="s">
        <v>168</v>
      </c>
    </row>
    <row r="20" spans="1:43" s="69" customFormat="1" x14ac:dyDescent="0.25">
      <c r="A20" t="s">
        <v>93</v>
      </c>
      <c r="B20" s="88"/>
      <c r="C20" s="105"/>
      <c r="D20" s="105"/>
      <c r="E20" s="105"/>
      <c r="F20" s="105"/>
      <c r="G20" s="33"/>
      <c r="H20" s="106"/>
      <c r="I20" s="107"/>
      <c r="J20" s="108"/>
      <c r="K20" s="131">
        <f>B17*(1-$E$34)</f>
        <v>18.181818181818183</v>
      </c>
      <c r="L20" s="128"/>
      <c r="M20" s="129"/>
      <c r="N20" s="130">
        <f>E17*(1-$E$34)</f>
        <v>36.363636363636367</v>
      </c>
      <c r="O20" s="128"/>
      <c r="P20" s="129"/>
      <c r="Q20" s="130">
        <f>H17*(1-$E$34)</f>
        <v>72.727272727272734</v>
      </c>
      <c r="R20" s="128"/>
      <c r="S20" s="129"/>
      <c r="T20" s="130">
        <f>K17*(1-$E$34)</f>
        <v>145.45454545454547</v>
      </c>
      <c r="U20" s="128"/>
      <c r="V20" s="129"/>
      <c r="W20" s="130">
        <f>N17*(1-$E$34)</f>
        <v>290.90909090909093</v>
      </c>
      <c r="X20" s="128"/>
      <c r="Y20" s="129"/>
      <c r="Z20" s="130">
        <f>Q17*(1-$E$34)</f>
        <v>581.81818181818187</v>
      </c>
      <c r="AA20" s="128"/>
      <c r="AB20" s="129"/>
      <c r="AC20" s="130">
        <f>T17*(1-$E$34)</f>
        <v>1163.6363636363637</v>
      </c>
      <c r="AD20" s="128"/>
      <c r="AE20" s="129"/>
      <c r="AF20" s="130">
        <f>W17*(1-$E$34)</f>
        <v>2327.2727272727275</v>
      </c>
      <c r="AG20" s="128"/>
      <c r="AH20" s="129"/>
      <c r="AI20" s="130">
        <f>Z17*(1-$E$34)</f>
        <v>4654.545454545455</v>
      </c>
      <c r="AJ20" s="128"/>
      <c r="AK20" s="129"/>
      <c r="AL20" s="130">
        <f>AC17*(1-$E$34)</f>
        <v>9309.0909090909099</v>
      </c>
      <c r="AM20" s="128"/>
      <c r="AN20" s="129"/>
      <c r="AO20" s="130">
        <f>AF17*(1-$E$34)</f>
        <v>18618.18181818182</v>
      </c>
      <c r="AP20" s="79"/>
      <c r="AQ20" t="s">
        <v>93</v>
      </c>
    </row>
    <row r="21" spans="1:43" s="69" customFormat="1" x14ac:dyDescent="0.25">
      <c r="A21" s="69" t="s">
        <v>74</v>
      </c>
      <c r="B21" s="80"/>
      <c r="C21" s="81"/>
      <c r="D21" s="81"/>
      <c r="E21" s="81"/>
      <c r="F21" s="81"/>
      <c r="G21" s="82"/>
      <c r="H21" s="123">
        <f>B17-B18</f>
        <v>18.181818181818187</v>
      </c>
      <c r="I21" s="123"/>
      <c r="J21" s="123"/>
      <c r="K21" s="123">
        <f>E17-E18</f>
        <v>36.363636363636374</v>
      </c>
      <c r="L21" s="123"/>
      <c r="M21" s="123"/>
      <c r="N21" s="123">
        <f>(H17-H18)*$E$35</f>
        <v>58.909090909090928</v>
      </c>
      <c r="O21" s="123"/>
      <c r="P21" s="123"/>
      <c r="Q21" s="123">
        <f>(K17-K18)*$E$35</f>
        <v>117.81818181818186</v>
      </c>
      <c r="R21" s="123"/>
      <c r="S21" s="123"/>
      <c r="T21" s="123">
        <f>(N17-N18)*$E$35</f>
        <v>235.63636363636371</v>
      </c>
      <c r="U21" s="123"/>
      <c r="V21" s="123"/>
      <c r="W21" s="123">
        <f>((Q17-Q18)*$E$35)-(H21*$E$35)</f>
        <v>456.54545454545467</v>
      </c>
      <c r="X21" s="123"/>
      <c r="Y21" s="123"/>
      <c r="Z21" s="123">
        <f>((T17-T18)*$E$35)-(K21*$E$35)</f>
        <v>913.09090909090935</v>
      </c>
      <c r="AA21" s="123"/>
      <c r="AB21" s="123"/>
      <c r="AC21" s="123">
        <f>((W17-W18)*$E$35)-N21</f>
        <v>1826.1818181818187</v>
      </c>
      <c r="AD21" s="123"/>
      <c r="AE21" s="123"/>
      <c r="AF21" s="123">
        <f>((Z17-Z18)*$E$35)-Q21</f>
        <v>3652.3636363636374</v>
      </c>
      <c r="AG21" s="123"/>
      <c r="AH21" s="123"/>
      <c r="AI21" s="123">
        <f>((AC17-AC18)*$E$35)-T21</f>
        <v>7304.7272727272748</v>
      </c>
      <c r="AJ21" s="123"/>
      <c r="AK21" s="123"/>
      <c r="AL21" s="123">
        <f>((AF17-AF18)*$E$35)-W21</f>
        <v>14624.181818181823</v>
      </c>
      <c r="AM21" s="123"/>
      <c r="AN21" s="123"/>
      <c r="AO21" s="123">
        <f>((AI17-AI18)*$E$35)-Z21</f>
        <v>29248.363636363647</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13.818181818181822</v>
      </c>
      <c r="O22" s="125"/>
      <c r="P22" s="125"/>
      <c r="Q22" s="125">
        <f>(K17-K18)*($E$36+$E$37)</f>
        <v>27.636363636363644</v>
      </c>
      <c r="R22" s="125"/>
      <c r="S22" s="125"/>
      <c r="T22" s="125">
        <f>(N17-N18)*$E$36</f>
        <v>40.727272727272741</v>
      </c>
      <c r="U22" s="125"/>
      <c r="V22" s="125"/>
      <c r="W22" s="125">
        <f>(Q17-Q18)*$E$36</f>
        <v>81.454545454545482</v>
      </c>
      <c r="X22" s="125"/>
      <c r="Y22" s="125"/>
      <c r="Z22" s="125">
        <f>(T17-T18)*$E$36</f>
        <v>162.90909090909096</v>
      </c>
      <c r="AA22" s="125"/>
      <c r="AB22" s="125"/>
      <c r="AC22" s="125">
        <f>(W17-W18)*$E$36</f>
        <v>325.81818181818193</v>
      </c>
      <c r="AD22" s="125"/>
      <c r="AE22" s="125"/>
      <c r="AF22" s="125">
        <f>(Z17-Z18)*$E$36</f>
        <v>651.63636363636385</v>
      </c>
      <c r="AG22" s="125"/>
      <c r="AH22" s="125"/>
      <c r="AI22" s="125">
        <f>(AC17-AC18)*$E$36</f>
        <v>1303.2727272727277</v>
      </c>
      <c r="AJ22" s="125"/>
      <c r="AK22" s="125"/>
      <c r="AL22" s="125">
        <f>(AF17-AF18)*$E$36</f>
        <v>2606.5454545454554</v>
      </c>
      <c r="AM22" s="125"/>
      <c r="AN22" s="125"/>
      <c r="AO22" s="125">
        <f>(AI17-AI18)*$E$36</f>
        <v>5213.0909090909108</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14.54545454545455</v>
      </c>
      <c r="U23" s="40"/>
      <c r="V23" s="40"/>
      <c r="W23" s="40">
        <f>(Q17-Q18)*$E$37</f>
        <v>29.090909090909101</v>
      </c>
      <c r="X23" s="40"/>
      <c r="Y23" s="40"/>
      <c r="Z23" s="40">
        <f>(T17-T18)*$E$37</f>
        <v>58.181818181818201</v>
      </c>
      <c r="AA23" s="40"/>
      <c r="AB23" s="40"/>
      <c r="AC23" s="40">
        <f>(W17-W18)*$E$37</f>
        <v>116.3636363636364</v>
      </c>
      <c r="AD23" s="40"/>
      <c r="AE23" s="40"/>
      <c r="AF23" s="40">
        <f>(Z17-Z18)*$E$37</f>
        <v>232.7272727272728</v>
      </c>
      <c r="AG23" s="40"/>
      <c r="AH23" s="40"/>
      <c r="AI23" s="40">
        <f>(AC17-AC18)*$E$37</f>
        <v>465.45454545454561</v>
      </c>
      <c r="AJ23" s="40"/>
      <c r="AK23" s="40"/>
      <c r="AL23" s="40">
        <f>(AF17-AF18)*$E$37</f>
        <v>930.90909090909122</v>
      </c>
      <c r="AM23" s="40"/>
      <c r="AN23" s="40"/>
      <c r="AO23" s="40">
        <f>(AI17-AI18)*$E$37</f>
        <v>1861.8181818181824</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14.727272727272732</v>
      </c>
      <c r="W24" s="109"/>
      <c r="X24" s="109"/>
      <c r="Y24" s="109">
        <f>K21*$E$35</f>
        <v>29.454545454545464</v>
      </c>
      <c r="Z24" s="109"/>
      <c r="AA24" s="109"/>
      <c r="AB24" s="109">
        <f>N21</f>
        <v>58.909090909090928</v>
      </c>
      <c r="AC24" s="109"/>
      <c r="AD24" s="109"/>
      <c r="AE24" s="109">
        <f>Q21</f>
        <v>117.81818181818186</v>
      </c>
      <c r="AF24" s="109"/>
      <c r="AG24" s="109"/>
      <c r="AH24" s="109">
        <f>T21</f>
        <v>235.63636363636371</v>
      </c>
      <c r="AI24" s="109"/>
      <c r="AJ24" s="109"/>
      <c r="AK24" s="109">
        <f>W21</f>
        <v>456.54545454545467</v>
      </c>
      <c r="AL24" s="109"/>
      <c r="AM24" s="109"/>
      <c r="AN24" s="109">
        <f>Z21</f>
        <v>913.09090909090935</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43909.654994444441</v>
      </c>
      <c r="C26" s="90">
        <f t="shared" ca="1" si="0"/>
        <v>43910.654994444441</v>
      </c>
      <c r="D26" s="90">
        <f t="shared" ca="1" si="0"/>
        <v>43911.654994444441</v>
      </c>
      <c r="E26" s="90">
        <f t="shared" ca="1" si="0"/>
        <v>43912.654994444441</v>
      </c>
      <c r="F26" s="90">
        <f t="shared" ca="1" si="0"/>
        <v>43913.654994444441</v>
      </c>
      <c r="G26" s="91">
        <f t="shared" ca="1" si="0"/>
        <v>43914.654994444441</v>
      </c>
      <c r="H26" s="90">
        <f t="shared" ref="H26:U26" ca="1" si="1">I26-1</f>
        <v>43915.654994444441</v>
      </c>
      <c r="I26" s="90">
        <f t="shared" ca="1" si="1"/>
        <v>43916.654994444441</v>
      </c>
      <c r="J26" s="90">
        <f t="shared" ca="1" si="1"/>
        <v>43917.654994444441</v>
      </c>
      <c r="K26" s="90">
        <f t="shared" ca="1" si="1"/>
        <v>43918.654994444441</v>
      </c>
      <c r="L26" s="90">
        <f t="shared" ca="1" si="1"/>
        <v>43919.654994444441</v>
      </c>
      <c r="M26" s="90">
        <f t="shared" ca="1" si="1"/>
        <v>43920.654994444441</v>
      </c>
      <c r="N26" s="91">
        <f t="shared" ca="1" si="1"/>
        <v>43921.654994444441</v>
      </c>
      <c r="O26" s="89">
        <f t="shared" ca="1" si="1"/>
        <v>43922.654994444441</v>
      </c>
      <c r="P26" s="90">
        <f t="shared" ca="1" si="1"/>
        <v>43923.654994444441</v>
      </c>
      <c r="Q26" s="90">
        <f t="shared" ca="1" si="1"/>
        <v>43924.654994444441</v>
      </c>
      <c r="R26" s="90">
        <f t="shared" ca="1" si="1"/>
        <v>43925.654994444441</v>
      </c>
      <c r="S26" s="90">
        <f t="shared" ca="1" si="1"/>
        <v>43926.654994444441</v>
      </c>
      <c r="T26" s="90">
        <f t="shared" ca="1" si="1"/>
        <v>43927.654994444441</v>
      </c>
      <c r="U26" s="91">
        <f t="shared" ca="1" si="1"/>
        <v>43928.654994444441</v>
      </c>
      <c r="V26" s="89">
        <f t="shared" ref="V26:AN26" ca="1" si="2">W26-1</f>
        <v>43929.654994444441</v>
      </c>
      <c r="W26" s="90">
        <f t="shared" ca="1" si="2"/>
        <v>43930.654994444441</v>
      </c>
      <c r="X26" s="90">
        <f t="shared" ca="1" si="2"/>
        <v>43931.654994444441</v>
      </c>
      <c r="Y26" s="90">
        <f t="shared" ca="1" si="2"/>
        <v>43932.654994444441</v>
      </c>
      <c r="Z26" s="90">
        <f t="shared" ca="1" si="2"/>
        <v>43933.654994444441</v>
      </c>
      <c r="AA26" s="90">
        <f t="shared" ca="1" si="2"/>
        <v>43934.654994444441</v>
      </c>
      <c r="AB26" s="91">
        <f t="shared" ca="1" si="2"/>
        <v>43935.654994444441</v>
      </c>
      <c r="AC26" s="89">
        <f t="shared" ca="1" si="2"/>
        <v>43936.654994444441</v>
      </c>
      <c r="AD26" s="90">
        <f t="shared" ca="1" si="2"/>
        <v>43937.654994444441</v>
      </c>
      <c r="AE26" s="90">
        <f t="shared" ca="1" si="2"/>
        <v>43938.654994444441</v>
      </c>
      <c r="AF26" s="90">
        <f t="shared" ca="1" si="2"/>
        <v>43939.654994444441</v>
      </c>
      <c r="AG26" s="90">
        <f t="shared" ca="1" si="2"/>
        <v>43940.654994444441</v>
      </c>
      <c r="AH26" s="90">
        <f t="shared" ca="1" si="2"/>
        <v>43941.654994444441</v>
      </c>
      <c r="AI26" s="91">
        <f t="shared" ca="1" si="2"/>
        <v>43942.654994444441</v>
      </c>
      <c r="AJ26" s="89">
        <f t="shared" ca="1" si="2"/>
        <v>43943.654994444441</v>
      </c>
      <c r="AK26" s="90">
        <f t="shared" ca="1" si="2"/>
        <v>43944.654994444441</v>
      </c>
      <c r="AL26" s="90">
        <f t="shared" ca="1" si="2"/>
        <v>43945.654994444441</v>
      </c>
      <c r="AM26" s="90">
        <f t="shared" ca="1" si="2"/>
        <v>43946.654994444441</v>
      </c>
      <c r="AN26" s="90">
        <f t="shared" ca="1" si="2"/>
        <v>43947.654994444441</v>
      </c>
      <c r="AO26" s="90">
        <f ca="1">AP26-1</f>
        <v>43948.654994444441</v>
      </c>
      <c r="AP26" s="111">
        <f ca="1">NOW()</f>
        <v>43949.654994444441</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6" t="s">
        <v>68</v>
      </c>
      <c r="C28" s="287"/>
      <c r="D28" s="287"/>
      <c r="E28" s="287"/>
      <c r="F28" s="287"/>
      <c r="G28" s="288"/>
      <c r="H28" s="292" t="s">
        <v>57</v>
      </c>
      <c r="I28" s="292"/>
      <c r="J28" s="292"/>
      <c r="K28" s="292"/>
      <c r="L28" s="292"/>
      <c r="M28" s="292"/>
      <c r="N28" s="293"/>
      <c r="O28" s="291" t="s">
        <v>58</v>
      </c>
      <c r="P28" s="292"/>
      <c r="Q28" s="292"/>
      <c r="R28" s="292"/>
      <c r="S28" s="292"/>
      <c r="T28" s="292"/>
      <c r="U28" s="293"/>
      <c r="V28" s="291" t="s">
        <v>59</v>
      </c>
      <c r="W28" s="292"/>
      <c r="X28" s="292"/>
      <c r="Y28" s="292"/>
      <c r="Z28" s="292"/>
      <c r="AA28" s="292"/>
      <c r="AB28" s="293"/>
      <c r="AC28" s="291" t="s">
        <v>60</v>
      </c>
      <c r="AD28" s="292"/>
      <c r="AE28" s="292"/>
      <c r="AF28" s="292"/>
      <c r="AG28" s="292"/>
      <c r="AH28" s="292"/>
      <c r="AI28" s="293"/>
      <c r="AJ28" s="291" t="s">
        <v>61</v>
      </c>
      <c r="AK28" s="292"/>
      <c r="AL28" s="292"/>
      <c r="AM28" s="292"/>
      <c r="AN28" s="292"/>
      <c r="AO28" s="292"/>
      <c r="AP28" s="293"/>
    </row>
    <row r="29" spans="1:43" x14ac:dyDescent="0.25">
      <c r="B29" s="51" t="s">
        <v>80</v>
      </c>
      <c r="C29" s="96"/>
      <c r="D29" s="96"/>
      <c r="E29" s="96"/>
      <c r="F29" s="96"/>
      <c r="G29" s="97"/>
      <c r="H29" s="289" t="s">
        <v>67</v>
      </c>
      <c r="I29" s="289"/>
      <c r="J29" s="289"/>
      <c r="K29" s="289"/>
      <c r="L29" s="289"/>
      <c r="M29" s="289"/>
      <c r="N29" s="289"/>
      <c r="O29" s="289"/>
      <c r="P29" s="289"/>
      <c r="Q29" s="289"/>
      <c r="R29" s="289"/>
      <c r="S29" s="289"/>
      <c r="T29" s="289"/>
      <c r="U29" s="289"/>
      <c r="V29" s="289"/>
      <c r="W29" s="289"/>
      <c r="X29" s="289"/>
      <c r="Y29" s="289"/>
      <c r="Z29" s="289"/>
      <c r="AA29" s="289"/>
      <c r="AB29" s="289"/>
      <c r="AC29" s="289"/>
      <c r="AD29" s="289"/>
      <c r="AE29" s="289"/>
      <c r="AF29" s="289"/>
      <c r="AG29" s="289"/>
      <c r="AH29" s="289"/>
      <c r="AI29" s="289"/>
      <c r="AJ29" s="289"/>
      <c r="AK29" s="289"/>
      <c r="AL29" s="289"/>
      <c r="AM29" s="289"/>
      <c r="AN29" s="289"/>
      <c r="AO29" s="289"/>
      <c r="AP29" s="290"/>
    </row>
    <row r="31" spans="1:43" x14ac:dyDescent="0.25">
      <c r="B31" s="57" t="s">
        <v>69</v>
      </c>
      <c r="C31" s="138" t="s">
        <v>194</v>
      </c>
      <c r="D31" s="9"/>
      <c r="E31" s="85">
        <f>VLOOKUP(C31,B43:C54,2,FALSE)</f>
        <v>5.5E-2</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189</v>
      </c>
      <c r="C34" s="16"/>
      <c r="D34" s="16"/>
      <c r="E34" s="140">
        <f>1-Projections!B127</f>
        <v>0.88</v>
      </c>
      <c r="F34" s="16" t="s">
        <v>191</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194</v>
      </c>
      <c r="C45" s="27">
        <f>Projections!B134</f>
        <v>5.5E-2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207"/>
  <sheetViews>
    <sheetView tabSelected="1" topLeftCell="J103" zoomScale="85" zoomScaleNormal="85" workbookViewId="0">
      <selection activeCell="W125" sqref="W125"/>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117</v>
      </c>
    </row>
    <row r="2" spans="3:34" x14ac:dyDescent="0.25">
      <c r="C2" s="276">
        <v>2017</v>
      </c>
      <c r="D2" t="s">
        <v>287</v>
      </c>
    </row>
    <row r="3" spans="3:34" x14ac:dyDescent="0.25">
      <c r="C3" s="276">
        <v>2018</v>
      </c>
      <c r="D3" t="s">
        <v>286</v>
      </c>
    </row>
    <row r="4" spans="3:34" x14ac:dyDescent="0.25">
      <c r="C4" s="217">
        <v>43829</v>
      </c>
      <c r="D4" t="s">
        <v>271</v>
      </c>
    </row>
    <row r="5" spans="3:34" x14ac:dyDescent="0.25">
      <c r="C5" s="217">
        <v>43830</v>
      </c>
      <c r="D5" t="s">
        <v>274</v>
      </c>
    </row>
    <row r="6" spans="3:34" x14ac:dyDescent="0.25">
      <c r="C6" s="217"/>
      <c r="D6" s="217">
        <v>43833</v>
      </c>
      <c r="E6" t="s">
        <v>270</v>
      </c>
    </row>
    <row r="7" spans="3:34" x14ac:dyDescent="0.25">
      <c r="D7" s="271">
        <v>43835</v>
      </c>
      <c r="E7" s="69" t="s">
        <v>266</v>
      </c>
      <c r="F7" s="69"/>
      <c r="G7" s="69"/>
      <c r="H7" s="69"/>
      <c r="I7" s="69"/>
      <c r="J7" s="69"/>
      <c r="K7" s="69"/>
      <c r="L7" s="69"/>
      <c r="M7" s="69"/>
      <c r="N7" s="165"/>
      <c r="P7" s="217"/>
    </row>
    <row r="8" spans="3:34" x14ac:dyDescent="0.25">
      <c r="D8" s="158">
        <v>43836</v>
      </c>
      <c r="E8" s="159" t="s">
        <v>196</v>
      </c>
      <c r="F8" s="159"/>
      <c r="G8" s="159"/>
      <c r="H8" s="159"/>
      <c r="I8" s="159"/>
      <c r="J8" s="159"/>
      <c r="K8" s="159"/>
      <c r="L8" s="159"/>
      <c r="M8" s="159"/>
      <c r="N8" s="158">
        <v>43850</v>
      </c>
      <c r="P8" s="217"/>
    </row>
    <row r="9" spans="3:34" x14ac:dyDescent="0.25">
      <c r="D9" s="271">
        <v>43837</v>
      </c>
      <c r="E9" s="69" t="s">
        <v>234</v>
      </c>
      <c r="F9" s="69"/>
      <c r="G9" s="69"/>
      <c r="H9" s="69"/>
      <c r="I9" s="69"/>
      <c r="J9" s="69"/>
      <c r="K9" s="69"/>
      <c r="L9" s="69"/>
      <c r="M9" s="69"/>
      <c r="N9" s="165"/>
      <c r="P9" s="217"/>
    </row>
    <row r="10" spans="3:34" x14ac:dyDescent="0.25">
      <c r="C10" s="69"/>
      <c r="D10" s="165">
        <v>43838</v>
      </c>
      <c r="E10" s="69" t="s">
        <v>275</v>
      </c>
      <c r="F10" s="69"/>
      <c r="G10" s="69"/>
      <c r="H10" s="69"/>
      <c r="I10" s="69"/>
      <c r="J10" s="69"/>
      <c r="K10" s="69"/>
      <c r="L10" s="69"/>
      <c r="M10" s="69"/>
      <c r="N10" s="165"/>
      <c r="O10" s="69"/>
      <c r="P10" s="165"/>
      <c r="Q10" s="69"/>
      <c r="R10" s="69"/>
      <c r="S10" s="69"/>
      <c r="T10" s="69"/>
      <c r="U10" s="69"/>
      <c r="V10" s="69"/>
      <c r="W10" s="69"/>
      <c r="X10" s="69"/>
      <c r="Y10" s="69"/>
      <c r="Z10" s="69"/>
      <c r="AA10" s="69"/>
      <c r="AB10" s="69"/>
      <c r="AC10" s="69"/>
      <c r="AD10" s="69"/>
      <c r="AE10" s="69"/>
      <c r="AF10" s="69"/>
      <c r="AG10" s="69"/>
      <c r="AH10" s="69"/>
    </row>
    <row r="11" spans="3:34" x14ac:dyDescent="0.25">
      <c r="D11" s="271">
        <v>43839</v>
      </c>
      <c r="E11" s="69" t="s">
        <v>235</v>
      </c>
      <c r="F11" s="69"/>
      <c r="G11" s="69"/>
      <c r="H11" s="69"/>
      <c r="I11" s="69"/>
      <c r="J11" s="69"/>
      <c r="K11" s="69"/>
      <c r="L11" s="69"/>
      <c r="M11" s="69"/>
      <c r="N11" s="165"/>
      <c r="P11" s="217"/>
    </row>
    <row r="12" spans="3:34" x14ac:dyDescent="0.25">
      <c r="D12" s="271">
        <v>43840</v>
      </c>
      <c r="E12" s="69" t="s">
        <v>310</v>
      </c>
      <c r="F12" s="69"/>
      <c r="G12" s="69"/>
      <c r="H12" s="69"/>
      <c r="I12" s="69"/>
      <c r="J12" s="69"/>
      <c r="K12" s="69"/>
      <c r="L12" s="69"/>
      <c r="M12" s="69"/>
      <c r="N12" s="165"/>
      <c r="P12" s="217"/>
    </row>
    <row r="13" spans="3:34" x14ac:dyDescent="0.25">
      <c r="D13" s="165">
        <v>43841</v>
      </c>
      <c r="E13" s="69" t="s">
        <v>242</v>
      </c>
      <c r="F13" s="69"/>
      <c r="G13" s="69"/>
      <c r="H13" s="69"/>
      <c r="I13" s="69"/>
      <c r="J13" s="69"/>
      <c r="K13" s="69"/>
      <c r="L13" s="69"/>
      <c r="M13" s="69"/>
      <c r="N13" s="165"/>
      <c r="P13" s="217"/>
    </row>
    <row r="14" spans="3:34" x14ac:dyDescent="0.25">
      <c r="D14" s="165">
        <v>43842</v>
      </c>
      <c r="E14" s="69" t="s">
        <v>272</v>
      </c>
      <c r="F14" s="69"/>
      <c r="G14" s="69"/>
      <c r="H14" s="69"/>
      <c r="I14" s="69"/>
      <c r="J14" s="69"/>
      <c r="K14" s="69"/>
      <c r="L14" s="69"/>
      <c r="M14" s="69"/>
      <c r="N14" s="165"/>
      <c r="P14" s="217"/>
    </row>
    <row r="15" spans="3:34" x14ac:dyDescent="0.25">
      <c r="D15" s="271">
        <v>43844</v>
      </c>
      <c r="E15" s="69" t="s">
        <v>267</v>
      </c>
      <c r="F15" s="69"/>
      <c r="G15" s="69"/>
      <c r="H15" s="69"/>
      <c r="I15" s="69"/>
      <c r="J15" s="69"/>
      <c r="K15" s="69"/>
      <c r="L15" s="69"/>
      <c r="M15" s="69"/>
      <c r="N15" s="165"/>
      <c r="P15" s="217"/>
    </row>
    <row r="16" spans="3:34" s="69" customFormat="1" x14ac:dyDescent="0.25">
      <c r="C16"/>
      <c r="D16" s="165">
        <v>43845</v>
      </c>
      <c r="E16" s="69" t="s">
        <v>278</v>
      </c>
      <c r="N16" s="165"/>
      <c r="O16"/>
      <c r="P16" s="217"/>
      <c r="Q16"/>
      <c r="R16"/>
      <c r="S16"/>
      <c r="T16"/>
      <c r="U16"/>
      <c r="V16"/>
      <c r="W16"/>
      <c r="X16"/>
      <c r="Y16"/>
      <c r="Z16"/>
      <c r="AA16"/>
      <c r="AB16"/>
      <c r="AC16"/>
      <c r="AD16"/>
      <c r="AE16"/>
      <c r="AF16"/>
      <c r="AG16"/>
      <c r="AH16"/>
    </row>
    <row r="17" spans="3:42" x14ac:dyDescent="0.25">
      <c r="D17" s="165">
        <v>43846</v>
      </c>
      <c r="E17" s="69" t="s">
        <v>197</v>
      </c>
      <c r="F17" s="69"/>
      <c r="G17" s="69"/>
      <c r="H17" s="69"/>
      <c r="I17" s="69"/>
      <c r="J17" s="69"/>
      <c r="K17" s="69"/>
      <c r="L17" s="69"/>
      <c r="M17" s="69"/>
      <c r="N17" s="165"/>
      <c r="P17" s="217"/>
    </row>
    <row r="18" spans="3:42" x14ac:dyDescent="0.25">
      <c r="D18" s="158">
        <v>43847</v>
      </c>
      <c r="E18" s="159" t="s">
        <v>227</v>
      </c>
      <c r="F18" s="159"/>
      <c r="G18" s="159"/>
      <c r="H18" s="159"/>
      <c r="I18" s="159"/>
      <c r="J18" s="159"/>
      <c r="K18" s="159"/>
      <c r="L18" s="159"/>
      <c r="M18" s="159"/>
      <c r="N18" s="158">
        <v>43861</v>
      </c>
      <c r="P18" s="217"/>
    </row>
    <row r="19" spans="3:42" x14ac:dyDescent="0.25">
      <c r="D19" s="270">
        <v>43848</v>
      </c>
      <c r="E19" s="69" t="s">
        <v>207</v>
      </c>
      <c r="F19" s="69"/>
      <c r="G19" s="69"/>
      <c r="H19" s="69"/>
      <c r="I19" s="69"/>
      <c r="J19" s="69"/>
      <c r="K19" s="69"/>
      <c r="L19" s="69"/>
      <c r="M19" s="69"/>
      <c r="N19" s="165"/>
      <c r="O19" s="69"/>
      <c r="P19" s="165"/>
    </row>
    <row r="20" spans="3:42" x14ac:dyDescent="0.25">
      <c r="D20" s="217">
        <v>43851</v>
      </c>
      <c r="E20" t="s">
        <v>198</v>
      </c>
    </row>
    <row r="21" spans="3:42" x14ac:dyDescent="0.25">
      <c r="D21" s="270">
        <v>43852</v>
      </c>
      <c r="E21" t="s">
        <v>199</v>
      </c>
    </row>
    <row r="22" spans="3:42" x14ac:dyDescent="0.25">
      <c r="C22" s="69"/>
      <c r="D22" s="271">
        <v>43853</v>
      </c>
      <c r="E22" s="69" t="s">
        <v>240</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spans="3:42" x14ac:dyDescent="0.25">
      <c r="C23" s="69"/>
      <c r="D23" s="270">
        <v>43854</v>
      </c>
      <c r="E23" s="69" t="s">
        <v>236</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spans="3:42" x14ac:dyDescent="0.25">
      <c r="C24" s="69"/>
      <c r="D24" s="165">
        <v>43857</v>
      </c>
      <c r="E24" s="69" t="s">
        <v>208</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row>
    <row r="25" spans="3:42" x14ac:dyDescent="0.25">
      <c r="C25" s="69"/>
      <c r="D25" s="158">
        <v>43858</v>
      </c>
      <c r="E25" s="159" t="s">
        <v>277</v>
      </c>
      <c r="F25" s="159"/>
      <c r="G25" s="159"/>
      <c r="H25" s="159"/>
      <c r="I25" s="159"/>
      <c r="J25" s="159"/>
      <c r="K25" s="159"/>
      <c r="L25" s="159"/>
      <c r="M25" s="159"/>
      <c r="N25" s="158">
        <v>43873</v>
      </c>
      <c r="O25" s="69"/>
      <c r="P25" s="69"/>
      <c r="Q25" s="69"/>
      <c r="R25" s="69"/>
      <c r="S25" s="69"/>
      <c r="T25" s="69"/>
      <c r="U25" s="69"/>
      <c r="V25" s="69"/>
      <c r="W25" s="69"/>
      <c r="X25" s="69"/>
      <c r="Y25" s="69"/>
      <c r="Z25" s="69"/>
      <c r="AA25" s="69"/>
      <c r="AB25" s="69"/>
      <c r="AC25" s="69"/>
      <c r="AD25" s="69"/>
      <c r="AE25" s="69"/>
      <c r="AF25" s="69"/>
      <c r="AG25" s="69"/>
      <c r="AH25" s="69"/>
    </row>
    <row r="26" spans="3:42" x14ac:dyDescent="0.25">
      <c r="C26" s="69"/>
      <c r="D26" s="165">
        <v>43859</v>
      </c>
      <c r="E26" s="69" t="s">
        <v>209</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row>
    <row r="27" spans="3:42" x14ac:dyDescent="0.25">
      <c r="D27" s="217">
        <v>43859</v>
      </c>
      <c r="E27" t="s">
        <v>200</v>
      </c>
      <c r="Q27" s="217"/>
    </row>
    <row r="28" spans="3:42" x14ac:dyDescent="0.25">
      <c r="D28" s="271">
        <v>43860</v>
      </c>
      <c r="E28" t="s">
        <v>243</v>
      </c>
      <c r="AI28" s="69"/>
      <c r="AJ28" s="69"/>
      <c r="AK28" s="69"/>
      <c r="AL28" s="69"/>
      <c r="AM28" s="69"/>
      <c r="AN28" s="69"/>
      <c r="AO28" s="69"/>
      <c r="AP28" s="69"/>
    </row>
    <row r="29" spans="3:42" x14ac:dyDescent="0.25">
      <c r="D29" s="270">
        <v>43860</v>
      </c>
      <c r="E29" t="s">
        <v>210</v>
      </c>
      <c r="AI29" s="69"/>
      <c r="AJ29" s="69"/>
      <c r="AK29" s="69"/>
      <c r="AL29" s="69"/>
      <c r="AM29" s="69"/>
      <c r="AN29" s="69"/>
      <c r="AO29" s="69"/>
      <c r="AP29" s="69"/>
    </row>
    <row r="30" spans="3:42" x14ac:dyDescent="0.25">
      <c r="D30" s="270">
        <v>43860</v>
      </c>
      <c r="E30" t="s">
        <v>290</v>
      </c>
      <c r="AI30" s="69"/>
      <c r="AJ30" s="69"/>
      <c r="AK30" s="69"/>
      <c r="AL30" s="69"/>
      <c r="AM30" s="69"/>
      <c r="AN30" s="69"/>
      <c r="AO30" s="69"/>
      <c r="AP30" s="69"/>
    </row>
    <row r="31" spans="3:42" x14ac:dyDescent="0.25">
      <c r="C31" s="69"/>
      <c r="D31" s="165">
        <v>43860</v>
      </c>
      <c r="E31" s="69" t="s">
        <v>273</v>
      </c>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row>
    <row r="32" spans="3:42" x14ac:dyDescent="0.25">
      <c r="D32" s="165">
        <v>43861</v>
      </c>
      <c r="E32" s="69" t="s">
        <v>249</v>
      </c>
      <c r="F32" s="69"/>
      <c r="G32" s="69"/>
      <c r="H32" s="69"/>
      <c r="I32" s="69"/>
      <c r="J32" s="69"/>
      <c r="K32" s="69"/>
      <c r="L32" s="69"/>
      <c r="M32" s="69"/>
      <c r="N32" s="69"/>
      <c r="O32" s="165"/>
      <c r="AI32" s="69"/>
      <c r="AJ32" s="69"/>
      <c r="AK32" s="69"/>
      <c r="AL32" s="69"/>
      <c r="AM32" s="69"/>
      <c r="AN32" s="69"/>
      <c r="AO32" s="69"/>
      <c r="AP32" s="69"/>
    </row>
    <row r="33" spans="3:54" x14ac:dyDescent="0.25">
      <c r="D33" s="270">
        <v>43861</v>
      </c>
      <c r="E33" s="69" t="s">
        <v>252</v>
      </c>
      <c r="F33" s="69"/>
      <c r="G33" s="69"/>
      <c r="H33" s="69"/>
      <c r="I33" s="69"/>
      <c r="J33" s="69"/>
      <c r="K33" s="69"/>
      <c r="L33" s="69"/>
      <c r="M33" s="69"/>
      <c r="N33" s="69"/>
      <c r="O33" s="165"/>
    </row>
    <row r="34" spans="3:54" x14ac:dyDescent="0.25">
      <c r="D34" s="165">
        <v>43861</v>
      </c>
      <c r="E34" s="69" t="s">
        <v>250</v>
      </c>
      <c r="F34" s="69"/>
      <c r="G34" s="69"/>
      <c r="H34" s="69"/>
      <c r="I34" s="69"/>
      <c r="J34" s="69"/>
      <c r="K34" s="69"/>
      <c r="L34" s="69"/>
      <c r="M34" s="69"/>
      <c r="N34" s="69"/>
      <c r="O34" s="165"/>
    </row>
    <row r="35" spans="3:54" x14ac:dyDescent="0.25">
      <c r="D35" s="165" t="s">
        <v>211</v>
      </c>
      <c r="E35" t="s">
        <v>212</v>
      </c>
      <c r="AQ35" s="69"/>
      <c r="AR35" s="69"/>
      <c r="AS35" s="69"/>
      <c r="AT35" s="69"/>
      <c r="AU35" s="69"/>
      <c r="AV35" s="69"/>
      <c r="AW35" s="69"/>
      <c r="AX35" s="69"/>
      <c r="AY35" s="69"/>
      <c r="AZ35" s="69"/>
      <c r="BA35" s="69"/>
      <c r="BB35" s="69"/>
    </row>
    <row r="36" spans="3:54" x14ac:dyDescent="0.25">
      <c r="D36" s="165"/>
      <c r="E36" s="217">
        <v>43862</v>
      </c>
      <c r="F36" t="s">
        <v>246</v>
      </c>
      <c r="AQ36" s="69"/>
      <c r="AR36" s="69"/>
      <c r="AS36" s="69"/>
      <c r="AT36" s="69"/>
      <c r="AU36" s="69"/>
      <c r="AV36" s="69"/>
      <c r="AW36" s="69"/>
      <c r="AX36" s="69"/>
      <c r="AY36" s="69"/>
      <c r="AZ36" s="69"/>
      <c r="BA36" s="69"/>
      <c r="BB36" s="69"/>
    </row>
    <row r="37" spans="3:54" s="69" customFormat="1" x14ac:dyDescent="0.25">
      <c r="C37"/>
      <c r="D37"/>
      <c r="E37" s="158">
        <v>43863</v>
      </c>
      <c r="F37" s="159" t="s">
        <v>202</v>
      </c>
      <c r="G37" s="159"/>
      <c r="H37" s="159"/>
      <c r="I37" s="159"/>
      <c r="J37" s="159"/>
      <c r="K37" s="159"/>
      <c r="L37" s="159"/>
      <c r="M37" s="159"/>
      <c r="N37" s="158"/>
      <c r="O37" s="158">
        <v>43877</v>
      </c>
      <c r="P37"/>
      <c r="Q37"/>
      <c r="R37"/>
      <c r="S37"/>
      <c r="T37"/>
      <c r="U37"/>
      <c r="V37"/>
      <c r="W37"/>
      <c r="X37"/>
      <c r="Y37"/>
      <c r="Z37"/>
      <c r="AA37"/>
      <c r="AB37"/>
      <c r="AC37"/>
      <c r="AD37"/>
      <c r="AE37"/>
      <c r="AF37"/>
      <c r="AG37"/>
      <c r="AH37"/>
    </row>
    <row r="38" spans="3:54" x14ac:dyDescent="0.25">
      <c r="C38" s="69"/>
      <c r="D38" s="69"/>
      <c r="E38" s="165"/>
      <c r="F38" s="272" t="s">
        <v>238</v>
      </c>
      <c r="G38" s="69" t="s">
        <v>239</v>
      </c>
      <c r="H38" s="69"/>
      <c r="I38" s="69"/>
      <c r="J38" s="69"/>
      <c r="K38" s="69"/>
      <c r="L38" s="69"/>
      <c r="M38" s="69"/>
      <c r="N38" s="165"/>
      <c r="O38" s="165"/>
      <c r="P38" s="69"/>
      <c r="Q38" s="69"/>
      <c r="R38" s="69"/>
      <c r="S38" s="69"/>
      <c r="T38" s="69"/>
      <c r="U38" s="69"/>
      <c r="V38" s="69"/>
      <c r="W38" s="69"/>
      <c r="X38" s="69"/>
      <c r="Y38" s="69"/>
      <c r="Z38" s="69"/>
      <c r="AA38" s="69"/>
      <c r="AB38" s="69"/>
      <c r="AC38" s="69"/>
      <c r="AD38" s="69"/>
      <c r="AE38" s="69"/>
      <c r="AF38" s="69"/>
      <c r="AG38" s="69"/>
      <c r="AH38" s="69"/>
      <c r="AQ38" s="69"/>
      <c r="AR38" s="69"/>
      <c r="AS38" s="69"/>
      <c r="AT38" s="69"/>
      <c r="AU38" s="69"/>
      <c r="AV38" s="69"/>
      <c r="AW38" s="69"/>
      <c r="AX38" s="69"/>
      <c r="AY38" s="69"/>
      <c r="AZ38" s="69"/>
      <c r="BA38" s="69"/>
      <c r="BB38" s="69"/>
    </row>
    <row r="39" spans="3:54" x14ac:dyDescent="0.25">
      <c r="C39" s="69"/>
      <c r="D39" s="69"/>
      <c r="E39" s="165"/>
      <c r="F39" s="270">
        <v>43863</v>
      </c>
      <c r="G39" s="69" t="s">
        <v>295</v>
      </c>
      <c r="H39" s="69"/>
      <c r="I39" s="69"/>
      <c r="J39" s="69"/>
      <c r="K39" s="69"/>
      <c r="L39" s="69"/>
      <c r="M39" s="69"/>
      <c r="N39" s="165"/>
      <c r="O39" s="165"/>
      <c r="P39" s="69"/>
      <c r="Q39" s="69"/>
      <c r="R39" s="69"/>
      <c r="S39" s="69"/>
      <c r="T39" s="69"/>
      <c r="U39" s="69"/>
      <c r="V39" s="69"/>
      <c r="W39" s="69"/>
      <c r="X39" s="69"/>
      <c r="Y39" s="69"/>
      <c r="Z39" s="69"/>
      <c r="AA39" s="69"/>
      <c r="AB39" s="69"/>
      <c r="AC39" s="69"/>
      <c r="AD39" s="69"/>
      <c r="AE39" s="69"/>
      <c r="AF39" s="69"/>
      <c r="AG39" s="69"/>
      <c r="AH39" s="69"/>
      <c r="AQ39" s="69"/>
      <c r="AR39" s="69"/>
      <c r="AS39" s="69"/>
      <c r="AT39" s="69"/>
      <c r="AU39" s="69"/>
      <c r="AV39" s="69"/>
      <c r="AW39" s="69"/>
      <c r="AX39" s="69"/>
      <c r="AY39" s="69"/>
      <c r="AZ39" s="69"/>
      <c r="BA39" s="69"/>
      <c r="BB39" s="69"/>
    </row>
    <row r="40" spans="3:54" x14ac:dyDescent="0.25">
      <c r="E40" s="165"/>
      <c r="F40" s="165">
        <v>43866</v>
      </c>
      <c r="G40" s="69" t="s">
        <v>251</v>
      </c>
      <c r="H40" s="69"/>
      <c r="I40" s="69"/>
      <c r="J40" s="69"/>
      <c r="K40" s="69"/>
      <c r="L40" s="69"/>
      <c r="M40" s="69"/>
      <c r="N40" s="165"/>
      <c r="O40" s="165"/>
      <c r="AQ40" s="69"/>
      <c r="AR40" s="69"/>
      <c r="AS40" s="69"/>
      <c r="AT40" s="69"/>
      <c r="AU40" s="69"/>
      <c r="AV40" s="69"/>
      <c r="AW40" s="69"/>
      <c r="AX40" s="69"/>
      <c r="AY40" s="69"/>
      <c r="AZ40" s="69"/>
      <c r="BA40" s="69"/>
      <c r="BB40" s="69"/>
    </row>
    <row r="41" spans="3:54" x14ac:dyDescent="0.25">
      <c r="E41" s="165"/>
      <c r="F41" s="165">
        <v>43867</v>
      </c>
      <c r="G41" s="16" t="s">
        <v>323</v>
      </c>
      <c r="H41" s="69"/>
      <c r="I41" s="69"/>
      <c r="J41" s="69"/>
      <c r="K41" s="69"/>
      <c r="L41" s="69"/>
      <c r="M41" s="69"/>
      <c r="N41" s="165"/>
      <c r="O41" s="165"/>
      <c r="AQ41" s="69"/>
      <c r="AR41" s="69"/>
      <c r="AS41" s="69"/>
      <c r="AT41" s="69"/>
      <c r="AU41" s="69"/>
      <c r="AV41" s="69"/>
      <c r="AW41" s="69"/>
      <c r="AX41" s="69"/>
      <c r="AY41" s="69"/>
      <c r="AZ41" s="69"/>
      <c r="BA41" s="69"/>
      <c r="BB41" s="69"/>
    </row>
    <row r="42" spans="3:54" x14ac:dyDescent="0.25">
      <c r="E42" s="165"/>
      <c r="F42" s="165">
        <v>43868</v>
      </c>
      <c r="G42" s="69" t="s">
        <v>269</v>
      </c>
      <c r="H42" s="69"/>
      <c r="I42" s="69"/>
      <c r="J42" s="69"/>
      <c r="K42" s="69"/>
      <c r="L42" s="69"/>
      <c r="M42" s="69"/>
      <c r="N42" s="165"/>
      <c r="O42" s="165"/>
      <c r="AQ42" s="69"/>
      <c r="AR42" s="69"/>
      <c r="AS42" s="69"/>
      <c r="AT42" s="69"/>
      <c r="AU42" s="69"/>
      <c r="AV42" s="69"/>
      <c r="AW42" s="69"/>
      <c r="AX42" s="69"/>
      <c r="AY42" s="69"/>
      <c r="AZ42" s="69"/>
      <c r="BA42" s="69"/>
      <c r="BB42" s="69"/>
    </row>
    <row r="43" spans="3:54" x14ac:dyDescent="0.25">
      <c r="E43" s="165"/>
      <c r="F43" s="270">
        <v>43871</v>
      </c>
      <c r="G43" s="69" t="s">
        <v>291</v>
      </c>
      <c r="H43" s="69"/>
      <c r="I43" s="69"/>
      <c r="J43" s="69"/>
      <c r="K43" s="69"/>
      <c r="L43" s="69"/>
      <c r="M43" s="69"/>
      <c r="N43" s="165"/>
      <c r="O43" s="165"/>
      <c r="AQ43" s="69"/>
      <c r="AR43" s="69"/>
      <c r="AS43" s="69"/>
      <c r="AT43" s="69"/>
      <c r="AU43" s="69"/>
      <c r="AV43" s="69"/>
      <c r="AW43" s="69"/>
      <c r="AX43" s="69"/>
      <c r="AY43" s="69"/>
      <c r="AZ43" s="69"/>
      <c r="BA43" s="69"/>
      <c r="BB43" s="69"/>
    </row>
    <row r="44" spans="3:54" x14ac:dyDescent="0.25">
      <c r="E44" s="165"/>
      <c r="F44" s="270">
        <v>43872</v>
      </c>
      <c r="G44" s="69" t="s">
        <v>285</v>
      </c>
      <c r="H44" s="69"/>
      <c r="I44" s="69"/>
      <c r="J44" s="69"/>
      <c r="K44" s="69"/>
      <c r="L44" s="69"/>
      <c r="M44" s="69"/>
      <c r="N44" s="165"/>
      <c r="O44" s="165"/>
      <c r="AQ44" s="69"/>
      <c r="AR44" s="69"/>
      <c r="AS44" s="69"/>
      <c r="AT44" s="69"/>
      <c r="AU44" s="69"/>
      <c r="AV44" s="69"/>
      <c r="AW44" s="69"/>
      <c r="AX44" s="69"/>
      <c r="AY44" s="69"/>
      <c r="AZ44" s="69"/>
      <c r="BA44" s="69"/>
      <c r="BB44" s="69"/>
    </row>
    <row r="45" spans="3:54" x14ac:dyDescent="0.25">
      <c r="E45" s="165"/>
      <c r="F45" s="271">
        <v>43873</v>
      </c>
      <c r="G45" s="69" t="s">
        <v>281</v>
      </c>
      <c r="H45" s="69"/>
      <c r="I45" s="69"/>
      <c r="J45" s="69"/>
      <c r="K45" s="69"/>
      <c r="L45" s="69"/>
      <c r="M45" s="69"/>
      <c r="N45" s="165"/>
      <c r="O45" s="165"/>
      <c r="AI45" s="69"/>
      <c r="AJ45" s="69"/>
      <c r="AK45" s="69"/>
      <c r="AL45" s="69"/>
      <c r="AM45" s="69"/>
      <c r="AN45" s="69"/>
      <c r="AO45" s="69"/>
      <c r="AP45" s="69"/>
    </row>
    <row r="46" spans="3:54" x14ac:dyDescent="0.25">
      <c r="E46" s="165"/>
      <c r="G46" s="270">
        <v>43880</v>
      </c>
      <c r="H46" s="69" t="s">
        <v>213</v>
      </c>
      <c r="I46" s="69"/>
      <c r="J46" s="69"/>
      <c r="K46" s="69"/>
      <c r="L46" s="69"/>
      <c r="M46" s="69"/>
      <c r="N46" s="69"/>
      <c r="O46" s="165"/>
      <c r="P46" s="165"/>
      <c r="AI46" s="69"/>
      <c r="AJ46" s="69"/>
      <c r="AK46" s="69"/>
      <c r="AL46" s="69"/>
      <c r="AM46" s="69"/>
      <c r="AN46" s="69"/>
      <c r="AO46" s="69"/>
      <c r="AP46" s="69"/>
    </row>
    <row r="47" spans="3:54" x14ac:dyDescent="0.25">
      <c r="E47" s="165"/>
      <c r="F47" s="165"/>
      <c r="G47" s="69"/>
      <c r="H47" s="69"/>
      <c r="I47" s="69"/>
      <c r="J47" s="69"/>
      <c r="K47" s="69"/>
      <c r="L47" s="69"/>
      <c r="M47" s="69"/>
      <c r="N47" s="165"/>
      <c r="O47" s="165"/>
      <c r="P47" s="217">
        <v>43882</v>
      </c>
      <c r="Q47" t="s">
        <v>214</v>
      </c>
    </row>
    <row r="48" spans="3:54" x14ac:dyDescent="0.25">
      <c r="E48" s="165"/>
      <c r="F48" s="165"/>
      <c r="G48" s="69"/>
      <c r="H48" s="69"/>
      <c r="I48" s="69"/>
      <c r="J48" s="69"/>
      <c r="K48" s="69"/>
      <c r="L48" s="69"/>
      <c r="M48" s="69"/>
      <c r="N48" s="165"/>
      <c r="O48" s="165"/>
      <c r="P48" s="271">
        <v>43883</v>
      </c>
      <c r="Q48" t="s">
        <v>237</v>
      </c>
    </row>
    <row r="49" spans="3:55" x14ac:dyDescent="0.25">
      <c r="E49" s="165"/>
      <c r="F49" s="165"/>
      <c r="G49" s="69"/>
      <c r="H49" s="69"/>
      <c r="I49" s="69"/>
      <c r="J49" s="69"/>
      <c r="K49" s="69"/>
      <c r="L49" s="69"/>
      <c r="M49" s="69"/>
      <c r="N49" s="165"/>
      <c r="O49" s="165"/>
      <c r="P49" s="217">
        <v>43884</v>
      </c>
      <c r="Q49" t="s">
        <v>215</v>
      </c>
    </row>
    <row r="50" spans="3:55" x14ac:dyDescent="0.25">
      <c r="D50" s="217"/>
      <c r="P50" s="270">
        <v>43885</v>
      </c>
      <c r="Q50" t="s">
        <v>201</v>
      </c>
    </row>
    <row r="51" spans="3:55" x14ac:dyDescent="0.25">
      <c r="P51" s="165">
        <v>43886</v>
      </c>
      <c r="Q51" t="s">
        <v>216</v>
      </c>
    </row>
    <row r="52" spans="3:55" x14ac:dyDescent="0.25">
      <c r="P52" s="270">
        <v>43886</v>
      </c>
      <c r="Q52" t="s">
        <v>217</v>
      </c>
    </row>
    <row r="53" spans="3:55" x14ac:dyDescent="0.25">
      <c r="P53" s="270">
        <v>43886</v>
      </c>
      <c r="Q53" t="s">
        <v>284</v>
      </c>
      <c r="BC53" s="69"/>
    </row>
    <row r="54" spans="3:55" x14ac:dyDescent="0.25">
      <c r="P54" s="165">
        <v>43886</v>
      </c>
      <c r="Q54" t="s">
        <v>218</v>
      </c>
      <c r="BC54" s="69"/>
    </row>
    <row r="55" spans="3:55" x14ac:dyDescent="0.25">
      <c r="P55" s="270">
        <v>43887</v>
      </c>
      <c r="Q55" t="s">
        <v>219</v>
      </c>
      <c r="BC55" s="69"/>
    </row>
    <row r="56" spans="3:55" x14ac:dyDescent="0.25">
      <c r="P56" s="270">
        <v>43888</v>
      </c>
      <c r="Q56" t="s">
        <v>279</v>
      </c>
      <c r="AQ56" s="69"/>
      <c r="AR56" s="69"/>
      <c r="AS56" s="69"/>
      <c r="AT56" s="69"/>
      <c r="AU56" s="69"/>
      <c r="AV56" s="69"/>
      <c r="AW56" s="69"/>
      <c r="AX56" s="69"/>
      <c r="AY56" s="69"/>
      <c r="AZ56" s="69"/>
      <c r="BA56" s="69"/>
      <c r="BB56" s="69"/>
      <c r="BC56" s="69"/>
    </row>
    <row r="57" spans="3:55" x14ac:dyDescent="0.25">
      <c r="P57" s="270">
        <v>43888</v>
      </c>
      <c r="Q57" t="s">
        <v>280</v>
      </c>
      <c r="BC57" s="69"/>
    </row>
    <row r="58" spans="3:55" x14ac:dyDescent="0.25">
      <c r="P58" s="270">
        <v>43889</v>
      </c>
      <c r="Q58" t="s">
        <v>292</v>
      </c>
      <c r="BC58" s="69"/>
    </row>
    <row r="59" spans="3:55" x14ac:dyDescent="0.25">
      <c r="Q59" s="158">
        <v>43890</v>
      </c>
      <c r="R59" s="159" t="s">
        <v>203</v>
      </c>
      <c r="S59" s="159"/>
      <c r="T59" s="159"/>
      <c r="U59" s="159"/>
      <c r="V59" s="158">
        <f>Q59+14</f>
        <v>43904</v>
      </c>
      <c r="BC59" s="69"/>
    </row>
    <row r="60" spans="3:55" s="69" customFormat="1" x14ac:dyDescent="0.25">
      <c r="C60"/>
      <c r="D60"/>
      <c r="E60"/>
      <c r="F60"/>
      <c r="G60"/>
      <c r="H60"/>
      <c r="I60"/>
      <c r="J60"/>
      <c r="K60"/>
      <c r="L60"/>
      <c r="M60"/>
      <c r="N60"/>
      <c r="O60"/>
      <c r="P60"/>
      <c r="Q60" s="270">
        <v>43890</v>
      </c>
      <c r="R60" s="69" t="s">
        <v>293</v>
      </c>
      <c r="V60" s="165"/>
      <c r="W60"/>
      <c r="X60"/>
      <c r="Y60"/>
      <c r="Z60"/>
      <c r="AA60"/>
      <c r="AB60"/>
      <c r="AC60"/>
      <c r="AD60"/>
      <c r="AE60"/>
      <c r="AF60"/>
      <c r="AG60"/>
      <c r="AH60"/>
      <c r="AI60"/>
      <c r="AJ60"/>
      <c r="AK60"/>
      <c r="AL60"/>
      <c r="AM60"/>
      <c r="AN60"/>
      <c r="AO60"/>
      <c r="AP60"/>
      <c r="AQ60"/>
      <c r="AR60"/>
      <c r="AS60"/>
      <c r="AT60"/>
      <c r="AU60"/>
      <c r="AV60"/>
      <c r="AW60"/>
      <c r="AX60"/>
      <c r="AY60"/>
      <c r="AZ60"/>
      <c r="BA60"/>
      <c r="BB60"/>
    </row>
    <row r="61" spans="3:55" s="69" customFormat="1" x14ac:dyDescent="0.25">
      <c r="C61"/>
      <c r="D61"/>
      <c r="E61" s="165"/>
      <c r="F61"/>
      <c r="G61"/>
      <c r="H61"/>
      <c r="I61"/>
      <c r="J61"/>
      <c r="K61"/>
      <c r="L61"/>
      <c r="M61"/>
      <c r="N61"/>
      <c r="O61"/>
      <c r="P61"/>
      <c r="Q61" s="158">
        <v>43892</v>
      </c>
      <c r="R61" s="158" t="s">
        <v>179</v>
      </c>
      <c r="S61" s="159"/>
      <c r="T61" s="159"/>
      <c r="U61" s="158"/>
      <c r="V61" s="159"/>
      <c r="W61" s="158">
        <v>43906</v>
      </c>
      <c r="X61"/>
      <c r="Y61"/>
      <c r="Z61"/>
      <c r="AA61"/>
      <c r="AB61"/>
      <c r="AC61"/>
      <c r="AD61"/>
      <c r="AE61"/>
      <c r="AF61"/>
      <c r="AG61"/>
      <c r="AH61"/>
      <c r="AI61"/>
      <c r="AJ61"/>
      <c r="AK61"/>
      <c r="AL61"/>
      <c r="AM61"/>
      <c r="AN61"/>
      <c r="AO61"/>
      <c r="AP61"/>
      <c r="AQ61"/>
      <c r="AR61"/>
      <c r="AS61"/>
      <c r="AT61"/>
      <c r="AU61"/>
      <c r="AV61"/>
      <c r="AW61"/>
      <c r="AX61"/>
      <c r="AY61"/>
      <c r="AZ61"/>
      <c r="BA61"/>
      <c r="BB61"/>
      <c r="BC61"/>
    </row>
    <row r="62" spans="3:55" s="69" customFormat="1" x14ac:dyDescent="0.25">
      <c r="E62" s="165"/>
      <c r="Q62" s="270">
        <v>43892</v>
      </c>
      <c r="R62" s="165" t="s">
        <v>294</v>
      </c>
      <c r="U62" s="165"/>
      <c r="W62" s="165"/>
      <c r="AI62"/>
      <c r="AJ62"/>
      <c r="AK62"/>
      <c r="AL62"/>
      <c r="AM62"/>
      <c r="AN62"/>
      <c r="AO62"/>
      <c r="AP62"/>
      <c r="AQ62"/>
      <c r="AR62"/>
      <c r="AS62"/>
      <c r="AT62"/>
      <c r="AU62"/>
      <c r="AV62"/>
      <c r="AW62"/>
      <c r="AX62"/>
      <c r="AY62"/>
      <c r="AZ62"/>
      <c r="BA62"/>
      <c r="BB62"/>
      <c r="BC62"/>
    </row>
    <row r="63" spans="3:55" s="69" customFormat="1" x14ac:dyDescent="0.25">
      <c r="E63" s="165"/>
      <c r="Q63" s="165"/>
      <c r="R63" s="165">
        <v>43893</v>
      </c>
      <c r="S63" s="69" t="s">
        <v>231</v>
      </c>
      <c r="U63" s="165"/>
      <c r="W63" s="165"/>
      <c r="AI63"/>
      <c r="AJ63"/>
      <c r="AK63"/>
      <c r="AL63"/>
      <c r="AM63"/>
      <c r="AN63"/>
      <c r="AO63"/>
      <c r="AP63"/>
      <c r="AQ63"/>
      <c r="AR63"/>
      <c r="AS63"/>
      <c r="AT63"/>
      <c r="AU63"/>
      <c r="AV63"/>
      <c r="AW63"/>
      <c r="AX63"/>
      <c r="AY63"/>
      <c r="AZ63"/>
      <c r="BA63"/>
      <c r="BB63"/>
      <c r="BC63"/>
    </row>
    <row r="64" spans="3:55" s="69" customFormat="1" x14ac:dyDescent="0.25">
      <c r="C64"/>
      <c r="D64"/>
      <c r="E64" s="165"/>
      <c r="F64"/>
      <c r="G64"/>
      <c r="H64"/>
      <c r="I64"/>
      <c r="J64"/>
      <c r="K64"/>
      <c r="L64"/>
      <c r="M64"/>
      <c r="N64"/>
      <c r="O64"/>
      <c r="P64"/>
      <c r="Q64"/>
      <c r="R64" s="270">
        <v>43894</v>
      </c>
      <c r="S64" t="s">
        <v>204</v>
      </c>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row>
    <row r="65" spans="3:55" s="69" customFormat="1" x14ac:dyDescent="0.25">
      <c r="C65"/>
      <c r="D65"/>
      <c r="E65" s="165"/>
      <c r="F65"/>
      <c r="G65"/>
      <c r="H65"/>
      <c r="I65"/>
      <c r="J65"/>
      <c r="K65"/>
      <c r="L65"/>
      <c r="M65"/>
      <c r="N65"/>
      <c r="O65"/>
      <c r="P65"/>
      <c r="Q65"/>
      <c r="R65" s="270">
        <v>43894</v>
      </c>
      <c r="S65" t="s">
        <v>283</v>
      </c>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row>
    <row r="66" spans="3:55" s="69" customFormat="1" x14ac:dyDescent="0.25">
      <c r="C66"/>
      <c r="D66"/>
      <c r="E66" s="165"/>
      <c r="F66"/>
      <c r="G66"/>
      <c r="H66"/>
      <c r="I66"/>
      <c r="J66"/>
      <c r="K66"/>
      <c r="L66"/>
      <c r="M66"/>
      <c r="N66"/>
      <c r="O66"/>
      <c r="P66"/>
      <c r="Q66"/>
      <c r="R66" s="165"/>
      <c r="S66" s="270">
        <v>43895</v>
      </c>
      <c r="T66" s="69" t="s">
        <v>220</v>
      </c>
      <c r="U66" s="165"/>
      <c r="W66" s="165"/>
      <c r="X66"/>
      <c r="Y66"/>
      <c r="Z66"/>
      <c r="AA66"/>
      <c r="AB66"/>
      <c r="AC66"/>
      <c r="AD66"/>
      <c r="AE66"/>
      <c r="AF66"/>
      <c r="AG66"/>
      <c r="AH66"/>
      <c r="AI66"/>
      <c r="AJ66"/>
      <c r="AK66"/>
      <c r="AL66"/>
      <c r="AM66"/>
      <c r="AN66"/>
      <c r="AO66"/>
      <c r="AP66"/>
      <c r="AQ66"/>
      <c r="AR66"/>
      <c r="AS66"/>
      <c r="AT66"/>
      <c r="AU66"/>
      <c r="AV66"/>
      <c r="AW66"/>
      <c r="AX66"/>
      <c r="AY66"/>
      <c r="AZ66"/>
      <c r="BA66"/>
      <c r="BB66"/>
      <c r="BC66"/>
    </row>
    <row r="67" spans="3:55" s="69" customFormat="1" x14ac:dyDescent="0.25">
      <c r="C67"/>
      <c r="D67"/>
      <c r="E67" s="165"/>
      <c r="F67"/>
      <c r="G67"/>
      <c r="H67"/>
      <c r="I67"/>
      <c r="J67"/>
      <c r="K67"/>
      <c r="L67"/>
      <c r="M67"/>
      <c r="N67"/>
      <c r="O67"/>
      <c r="P67"/>
      <c r="Q67"/>
      <c r="R67" s="165"/>
      <c r="S67" s="270">
        <v>43895</v>
      </c>
      <c r="T67" s="69" t="s">
        <v>289</v>
      </c>
      <c r="U67" s="165"/>
      <c r="W67" s="165"/>
      <c r="X67"/>
      <c r="Y67"/>
      <c r="Z67"/>
      <c r="AA67"/>
      <c r="AB67"/>
      <c r="AC67"/>
      <c r="AD67"/>
      <c r="AE67"/>
      <c r="AF67"/>
      <c r="AG67"/>
      <c r="AH67"/>
      <c r="AI67"/>
      <c r="AJ67"/>
      <c r="AK67"/>
      <c r="AL67"/>
      <c r="AM67"/>
      <c r="AN67"/>
      <c r="AO67"/>
      <c r="AP67"/>
      <c r="AQ67"/>
      <c r="AR67"/>
      <c r="AS67"/>
      <c r="AT67"/>
      <c r="AU67"/>
      <c r="AV67"/>
      <c r="AW67"/>
      <c r="AX67"/>
      <c r="AY67"/>
      <c r="AZ67"/>
      <c r="BA67"/>
      <c r="BB67"/>
      <c r="BC67"/>
    </row>
    <row r="68" spans="3:55" s="69" customFormat="1" x14ac:dyDescent="0.25">
      <c r="C68"/>
      <c r="D68"/>
      <c r="E68" s="165"/>
      <c r="F68"/>
      <c r="G68"/>
      <c r="H68"/>
      <c r="I68"/>
      <c r="J68"/>
      <c r="K68"/>
      <c r="L68"/>
      <c r="M68"/>
      <c r="N68"/>
      <c r="O68"/>
      <c r="P68"/>
      <c r="Q68"/>
      <c r="R68" s="165"/>
      <c r="S68" s="270">
        <v>43896</v>
      </c>
      <c r="T68" s="69" t="s">
        <v>244</v>
      </c>
      <c r="U68" s="165"/>
      <c r="W68" s="165"/>
      <c r="X68"/>
      <c r="Y68"/>
      <c r="Z68"/>
      <c r="AA68"/>
      <c r="AB68"/>
      <c r="AC68"/>
      <c r="AD68"/>
      <c r="AE68"/>
      <c r="AF68"/>
      <c r="AG68"/>
      <c r="AH68"/>
    </row>
    <row r="69" spans="3:55" s="69" customFormat="1" x14ac:dyDescent="0.25">
      <c r="E69" s="165"/>
      <c r="R69" s="165"/>
      <c r="S69" s="165">
        <v>43896</v>
      </c>
      <c r="T69" s="69" t="s">
        <v>255</v>
      </c>
      <c r="U69" s="165"/>
      <c r="W69" s="165"/>
      <c r="AQ69"/>
      <c r="AR69"/>
      <c r="AS69"/>
      <c r="AT69"/>
      <c r="AU69"/>
      <c r="AV69"/>
      <c r="AW69"/>
      <c r="AX69"/>
      <c r="AY69"/>
      <c r="AZ69"/>
      <c r="BA69"/>
      <c r="BB69"/>
      <c r="BC69"/>
    </row>
    <row r="70" spans="3:55" s="69" customFormat="1" x14ac:dyDescent="0.25">
      <c r="E70" s="165"/>
      <c r="R70" s="165"/>
      <c r="S70" s="270">
        <v>43896</v>
      </c>
      <c r="T70" s="69" t="s">
        <v>296</v>
      </c>
      <c r="U70" s="165"/>
      <c r="W70" s="165"/>
      <c r="AI70"/>
      <c r="AJ70"/>
      <c r="AK70"/>
      <c r="AL70"/>
      <c r="AM70"/>
      <c r="AN70"/>
      <c r="AO70"/>
      <c r="AP70"/>
      <c r="AQ70"/>
      <c r="AR70"/>
      <c r="AS70"/>
      <c r="AT70"/>
      <c r="AU70"/>
      <c r="AV70"/>
      <c r="AW70"/>
      <c r="AX70"/>
      <c r="AY70"/>
      <c r="AZ70"/>
      <c r="BA70"/>
      <c r="BB70"/>
      <c r="BC70"/>
    </row>
    <row r="71" spans="3:55" s="69" customFormat="1" x14ac:dyDescent="0.25">
      <c r="E71" s="165"/>
      <c r="R71" s="165"/>
      <c r="S71" s="270">
        <v>43896</v>
      </c>
      <c r="T71" s="69" t="s">
        <v>297</v>
      </c>
      <c r="U71" s="165"/>
      <c r="W71" s="165"/>
      <c r="AI71"/>
      <c r="AJ71"/>
      <c r="AK71"/>
      <c r="AL71"/>
      <c r="AM71"/>
      <c r="AN71"/>
      <c r="AO71"/>
      <c r="AP71"/>
      <c r="AQ71"/>
      <c r="AR71"/>
      <c r="AS71"/>
      <c r="AT71"/>
      <c r="AU71"/>
      <c r="AV71"/>
      <c r="AW71"/>
      <c r="AX71"/>
      <c r="AY71"/>
      <c r="AZ71"/>
      <c r="BA71"/>
      <c r="BB71"/>
      <c r="BC71"/>
    </row>
    <row r="72" spans="3:55" x14ac:dyDescent="0.25">
      <c r="C72" s="69"/>
      <c r="D72" s="69"/>
      <c r="E72" s="165"/>
      <c r="F72" s="69"/>
      <c r="G72" s="69"/>
      <c r="H72" s="69"/>
      <c r="I72" s="69"/>
      <c r="J72" s="69"/>
      <c r="K72" s="69"/>
      <c r="L72" s="69"/>
      <c r="M72" s="69"/>
      <c r="N72" s="69"/>
      <c r="O72" s="69"/>
      <c r="P72" s="69"/>
      <c r="Q72" s="69"/>
      <c r="R72" s="165"/>
      <c r="S72" s="270">
        <v>43897</v>
      </c>
      <c r="T72" s="69" t="s">
        <v>282</v>
      </c>
      <c r="U72" s="165"/>
      <c r="V72" s="69"/>
      <c r="W72" s="165"/>
      <c r="X72" s="69"/>
      <c r="Y72" s="69"/>
      <c r="Z72" s="69"/>
      <c r="AA72" s="69"/>
      <c r="AB72" s="69"/>
      <c r="AC72" s="69"/>
      <c r="AD72" s="69"/>
      <c r="AE72" s="69"/>
      <c r="AF72" s="69"/>
      <c r="AG72" s="69"/>
      <c r="AH72" s="69"/>
      <c r="BC72" s="69"/>
    </row>
    <row r="73" spans="3:55" x14ac:dyDescent="0.25">
      <c r="C73" s="69"/>
      <c r="D73" s="69"/>
      <c r="E73" s="165"/>
      <c r="F73" s="69"/>
      <c r="G73" s="69"/>
      <c r="H73" s="69"/>
      <c r="I73" s="69"/>
      <c r="J73" s="69"/>
      <c r="K73" s="69"/>
      <c r="L73" s="69"/>
      <c r="M73" s="69"/>
      <c r="N73" s="69"/>
      <c r="O73" s="69"/>
      <c r="P73" s="69"/>
      <c r="Q73" s="69"/>
      <c r="R73" s="165"/>
      <c r="S73" s="165"/>
      <c r="T73" s="270">
        <v>43898</v>
      </c>
      <c r="U73" s="165" t="s">
        <v>298</v>
      </c>
      <c r="V73" s="69"/>
      <c r="W73" s="165"/>
      <c r="X73" s="69"/>
      <c r="Y73" s="69"/>
      <c r="Z73" s="69"/>
      <c r="AA73" s="69"/>
      <c r="AB73" s="69"/>
      <c r="AC73" s="69"/>
      <c r="AD73" s="69"/>
      <c r="AE73" s="69"/>
      <c r="AF73" s="69"/>
      <c r="AG73" s="69"/>
      <c r="AH73" s="69"/>
      <c r="BC73" s="69"/>
    </row>
    <row r="74" spans="3:55" x14ac:dyDescent="0.25">
      <c r="E74" s="165"/>
      <c r="R74" s="165"/>
      <c r="T74" s="270">
        <v>43899</v>
      </c>
      <c r="U74" s="165" t="s">
        <v>221</v>
      </c>
      <c r="V74" s="69"/>
      <c r="W74" s="165"/>
    </row>
    <row r="75" spans="3:55" x14ac:dyDescent="0.25">
      <c r="E75" s="165"/>
      <c r="R75" s="165"/>
      <c r="T75" s="270">
        <v>43899</v>
      </c>
      <c r="U75" s="165" t="s">
        <v>299</v>
      </c>
      <c r="V75" s="69"/>
      <c r="W75" s="165"/>
      <c r="AI75" s="69"/>
      <c r="AJ75" s="69"/>
      <c r="AK75" s="69"/>
      <c r="AL75" s="69"/>
      <c r="AM75" s="69"/>
      <c r="AN75" s="69"/>
      <c r="AO75" s="69"/>
      <c r="AP75" s="69"/>
      <c r="AQ75" s="69"/>
      <c r="AR75" s="69"/>
      <c r="AS75" s="69"/>
      <c r="AT75" s="69"/>
      <c r="AU75" s="69"/>
      <c r="AV75" s="69"/>
      <c r="AW75" s="69"/>
      <c r="AX75" s="69"/>
      <c r="AY75" s="69"/>
      <c r="AZ75" s="69"/>
      <c r="BA75" s="69"/>
      <c r="BB75" s="69"/>
    </row>
    <row r="76" spans="3:55" x14ac:dyDescent="0.25">
      <c r="E76" s="165"/>
      <c r="R76" s="165"/>
      <c r="T76" s="270">
        <v>43899</v>
      </c>
      <c r="U76" s="165" t="s">
        <v>222</v>
      </c>
      <c r="V76" s="69"/>
      <c r="W76" s="165"/>
      <c r="AI76" s="69"/>
      <c r="AJ76" s="69"/>
      <c r="AK76" s="69"/>
      <c r="AL76" s="69"/>
      <c r="AM76" s="69"/>
      <c r="AN76" s="69"/>
      <c r="AO76" s="69"/>
      <c r="AP76" s="69"/>
      <c r="AQ76" s="69"/>
      <c r="AR76" s="69"/>
      <c r="AS76" s="69"/>
      <c r="AT76" s="69"/>
      <c r="AU76" s="69"/>
      <c r="AV76" s="69"/>
      <c r="AW76" s="69"/>
      <c r="AX76" s="69"/>
      <c r="AY76" s="69"/>
      <c r="AZ76" s="69"/>
      <c r="BA76" s="69"/>
      <c r="BB76" s="69"/>
    </row>
    <row r="77" spans="3:55" x14ac:dyDescent="0.25">
      <c r="E77" s="165"/>
      <c r="R77" s="165"/>
      <c r="T77" s="270">
        <v>43900</v>
      </c>
      <c r="U77" s="165" t="s">
        <v>300</v>
      </c>
      <c r="V77" s="69"/>
      <c r="W77" s="165"/>
      <c r="AI77" s="69"/>
      <c r="AJ77" s="69"/>
      <c r="AK77" s="69"/>
      <c r="AL77" s="69"/>
      <c r="AM77" s="69"/>
      <c r="AN77" s="69"/>
      <c r="AO77" s="69"/>
      <c r="AP77" s="69"/>
      <c r="AQ77" s="69"/>
      <c r="AR77" s="69"/>
      <c r="AS77" s="69"/>
      <c r="AT77" s="69"/>
      <c r="AU77" s="69"/>
      <c r="AV77" s="69"/>
      <c r="AW77" s="69"/>
      <c r="AX77" s="69"/>
      <c r="AY77" s="69"/>
      <c r="AZ77" s="69"/>
      <c r="BA77" s="69"/>
      <c r="BB77" s="69"/>
    </row>
    <row r="78" spans="3:55" x14ac:dyDescent="0.25">
      <c r="E78" s="165"/>
      <c r="R78" s="165"/>
      <c r="T78" s="270">
        <v>43900</v>
      </c>
      <c r="U78" s="165" t="s">
        <v>223</v>
      </c>
      <c r="V78" s="69"/>
      <c r="W78" s="165"/>
      <c r="AI78" s="69"/>
      <c r="AJ78" s="69"/>
      <c r="AK78" s="69"/>
      <c r="AL78" s="69"/>
      <c r="AM78" s="69"/>
      <c r="AN78" s="69"/>
      <c r="AO78" s="69"/>
      <c r="AP78" s="69"/>
      <c r="AQ78" s="69"/>
      <c r="AR78" s="69"/>
      <c r="AS78" s="69"/>
      <c r="AT78" s="69"/>
      <c r="AU78" s="69"/>
      <c r="AV78" s="69"/>
      <c r="AW78" s="69"/>
      <c r="AX78" s="69"/>
      <c r="AY78" s="69"/>
      <c r="AZ78" s="69"/>
      <c r="BA78" s="69"/>
      <c r="BB78" s="69"/>
    </row>
    <row r="79" spans="3:55" x14ac:dyDescent="0.25">
      <c r="E79" s="165"/>
      <c r="R79" s="165"/>
      <c r="S79" s="165"/>
      <c r="T79" s="69"/>
      <c r="U79" s="271">
        <v>43901</v>
      </c>
      <c r="V79" s="69" t="s">
        <v>206</v>
      </c>
      <c r="W79" s="165"/>
      <c r="X79" s="69"/>
      <c r="AI79" s="69"/>
      <c r="AJ79" s="69"/>
      <c r="AK79" s="69"/>
      <c r="AL79" s="69"/>
      <c r="AM79" s="69"/>
      <c r="AN79" s="69"/>
      <c r="AO79" s="69"/>
      <c r="AP79" s="69"/>
      <c r="AQ79" s="69"/>
      <c r="AR79" s="69"/>
      <c r="AS79" s="69"/>
      <c r="AT79" s="69"/>
      <c r="AU79" s="69"/>
      <c r="AV79" s="69"/>
      <c r="AW79" s="69"/>
      <c r="AX79" s="69"/>
      <c r="AY79" s="69"/>
      <c r="AZ79" s="69"/>
      <c r="BA79" s="69"/>
      <c r="BB79" s="69"/>
    </row>
    <row r="80" spans="3:55" x14ac:dyDescent="0.25">
      <c r="E80" s="165"/>
      <c r="R80" s="165"/>
      <c r="S80" s="165"/>
      <c r="T80" s="69"/>
      <c r="U80" s="270">
        <v>43901</v>
      </c>
      <c r="V80" s="69" t="s">
        <v>254</v>
      </c>
      <c r="W80" s="165"/>
      <c r="X80" s="69"/>
    </row>
    <row r="81" spans="3:55" x14ac:dyDescent="0.25">
      <c r="E81" s="165"/>
      <c r="U81" s="270">
        <v>43901</v>
      </c>
      <c r="V81" t="s">
        <v>228</v>
      </c>
    </row>
    <row r="82" spans="3:55" x14ac:dyDescent="0.25">
      <c r="C82" s="69"/>
      <c r="D82" s="69"/>
      <c r="E82" s="165"/>
      <c r="F82" s="69"/>
      <c r="G82" s="69"/>
      <c r="H82" s="69"/>
      <c r="I82" s="69"/>
      <c r="J82" s="69"/>
      <c r="K82" s="69"/>
      <c r="L82" s="69"/>
      <c r="M82" s="69"/>
      <c r="N82" s="69"/>
      <c r="O82" s="69"/>
      <c r="P82" s="69"/>
      <c r="Q82" s="69"/>
      <c r="R82" s="165"/>
      <c r="S82" s="165"/>
      <c r="T82" s="69"/>
      <c r="U82" s="165">
        <v>43902</v>
      </c>
      <c r="V82" s="69" t="s">
        <v>247</v>
      </c>
      <c r="W82" s="165"/>
      <c r="X82" s="69"/>
      <c r="Y82" s="69"/>
      <c r="Z82" s="69"/>
      <c r="AA82" s="69"/>
      <c r="AB82" s="69"/>
      <c r="AC82" s="69"/>
      <c r="AD82" s="69"/>
      <c r="AE82" s="69"/>
      <c r="AF82" s="69"/>
      <c r="AG82" s="69"/>
      <c r="AH82" s="69"/>
    </row>
    <row r="83" spans="3:55" x14ac:dyDescent="0.25">
      <c r="E83" s="165"/>
      <c r="U83" s="270">
        <v>43902</v>
      </c>
      <c r="V83" t="s">
        <v>224</v>
      </c>
    </row>
    <row r="84" spans="3:55" x14ac:dyDescent="0.25">
      <c r="E84" s="165"/>
      <c r="U84" s="158">
        <v>43903</v>
      </c>
      <c r="V84" s="159" t="s">
        <v>180</v>
      </c>
      <c r="W84" s="159"/>
      <c r="X84" s="159"/>
      <c r="Y84" s="159"/>
      <c r="Z84" s="159"/>
      <c r="AA84" s="159"/>
      <c r="AB84" s="159"/>
      <c r="AC84" s="159"/>
      <c r="AD84" s="159"/>
      <c r="AE84" s="159"/>
      <c r="AF84" s="159"/>
      <c r="AG84" s="159"/>
      <c r="AQ84" s="69"/>
      <c r="AR84" s="69"/>
      <c r="AS84" s="69"/>
      <c r="AT84" s="69"/>
      <c r="AU84" s="69"/>
      <c r="AV84" s="69"/>
      <c r="AW84" s="69"/>
      <c r="AX84" s="69"/>
      <c r="AY84" s="69"/>
      <c r="AZ84" s="69"/>
      <c r="BA84" s="69"/>
      <c r="BB84" s="69"/>
    </row>
    <row r="85" spans="3:55" s="69" customFormat="1" x14ac:dyDescent="0.25">
      <c r="C85"/>
      <c r="D85"/>
      <c r="E85" s="165"/>
      <c r="F85"/>
      <c r="G85"/>
      <c r="H85"/>
      <c r="I85"/>
      <c r="J85"/>
      <c r="K85"/>
      <c r="L85"/>
      <c r="M85"/>
      <c r="N85"/>
      <c r="O85"/>
      <c r="P85"/>
      <c r="Q85"/>
      <c r="R85"/>
      <c r="S85"/>
      <c r="T85"/>
      <c r="U85" s="270">
        <v>43903</v>
      </c>
      <c r="V85" t="s">
        <v>225</v>
      </c>
      <c r="W85"/>
      <c r="X85"/>
      <c r="Y85"/>
      <c r="Z85"/>
      <c r="AA85"/>
      <c r="AB85"/>
      <c r="AC85"/>
      <c r="AD85"/>
      <c r="AE85"/>
      <c r="AF85"/>
      <c r="AG85"/>
      <c r="AH85"/>
      <c r="AI85"/>
      <c r="AJ85"/>
      <c r="AK85"/>
      <c r="AL85"/>
      <c r="AM85"/>
      <c r="AN85"/>
      <c r="AO85"/>
      <c r="AP85"/>
      <c r="AQ85"/>
      <c r="AR85"/>
      <c r="AS85"/>
      <c r="AT85"/>
      <c r="AU85"/>
      <c r="AV85"/>
      <c r="AW85"/>
      <c r="AX85"/>
      <c r="AY85"/>
      <c r="AZ85"/>
      <c r="BA85"/>
      <c r="BB85"/>
      <c r="BC85"/>
    </row>
    <row r="86" spans="3:55" x14ac:dyDescent="0.25">
      <c r="E86" s="165"/>
      <c r="U86" s="270">
        <v>43903</v>
      </c>
      <c r="V86" t="s">
        <v>226</v>
      </c>
    </row>
    <row r="87" spans="3:55" x14ac:dyDescent="0.25">
      <c r="C87" s="69"/>
      <c r="D87" s="69"/>
      <c r="E87" s="165"/>
      <c r="F87" s="69"/>
      <c r="G87" s="69"/>
      <c r="H87" s="69"/>
      <c r="I87" s="69"/>
      <c r="J87" s="69"/>
      <c r="K87" s="69"/>
      <c r="L87" s="69"/>
      <c r="M87" s="69"/>
      <c r="N87" s="69"/>
      <c r="O87" s="69"/>
      <c r="P87" s="69"/>
      <c r="Q87" s="69"/>
      <c r="R87" s="69"/>
      <c r="S87" s="69"/>
      <c r="T87" s="69"/>
      <c r="U87" s="165">
        <v>43903</v>
      </c>
      <c r="V87" s="69" t="s">
        <v>264</v>
      </c>
      <c r="W87" s="69"/>
      <c r="X87" s="69"/>
      <c r="Y87" s="69"/>
      <c r="Z87" s="69"/>
      <c r="AA87" s="69"/>
      <c r="AB87" s="69"/>
      <c r="AC87" s="69"/>
      <c r="AD87" s="69"/>
      <c r="AE87" s="69"/>
      <c r="AF87" s="69"/>
      <c r="AG87" s="69"/>
      <c r="AH87" s="69"/>
    </row>
    <row r="88" spans="3:55" x14ac:dyDescent="0.25">
      <c r="D88" s="165"/>
      <c r="Q88" s="69"/>
      <c r="R88" s="165"/>
      <c r="S88" s="69"/>
      <c r="T88" s="69"/>
      <c r="U88" s="69"/>
      <c r="V88" s="158">
        <v>43904</v>
      </c>
      <c r="W88" s="159" t="s">
        <v>175</v>
      </c>
      <c r="X88" s="159"/>
      <c r="Y88" s="158"/>
      <c r="Z88" s="158"/>
      <c r="AA88" s="159"/>
      <c r="AB88" s="158">
        <v>43918</v>
      </c>
      <c r="AI88" s="69"/>
      <c r="AJ88" s="69"/>
      <c r="AK88" s="69"/>
      <c r="AL88" s="69"/>
      <c r="AM88" s="69"/>
      <c r="AN88" s="69"/>
      <c r="AO88" s="69"/>
      <c r="AP88" s="69"/>
      <c r="AQ88" s="69"/>
      <c r="AR88" s="69"/>
      <c r="AS88" s="69"/>
      <c r="AT88" s="69"/>
      <c r="AU88" s="69"/>
      <c r="AV88" s="69"/>
      <c r="AW88" s="69"/>
      <c r="AX88" s="69"/>
      <c r="AY88" s="69"/>
      <c r="AZ88" s="69"/>
      <c r="BA88" s="69"/>
      <c r="BB88" s="69"/>
    </row>
    <row r="89" spans="3:55" x14ac:dyDescent="0.25">
      <c r="D89" s="69"/>
      <c r="E89" s="69"/>
      <c r="F89" s="165"/>
      <c r="G89" s="165"/>
      <c r="H89" s="165"/>
      <c r="I89" s="165"/>
      <c r="J89" s="165"/>
      <c r="K89" s="165"/>
      <c r="L89" s="165"/>
      <c r="M89" s="165"/>
      <c r="N89" s="165"/>
      <c r="O89" s="165"/>
      <c r="P89" s="69"/>
      <c r="Q89" s="69"/>
      <c r="V89" s="69"/>
      <c r="W89" s="159" t="s">
        <v>181</v>
      </c>
      <c r="X89" s="159"/>
      <c r="Y89" s="159"/>
      <c r="Z89" s="159"/>
      <c r="AA89" s="159"/>
      <c r="AB89" s="159"/>
      <c r="AC89" s="159"/>
      <c r="AD89" s="159"/>
      <c r="AE89" s="159"/>
      <c r="AF89" s="159"/>
      <c r="AG89" s="159"/>
    </row>
    <row r="90" spans="3:55" x14ac:dyDescent="0.25">
      <c r="D90" s="69"/>
      <c r="E90" s="69"/>
      <c r="F90" s="69"/>
      <c r="G90" s="69"/>
      <c r="H90" s="69"/>
      <c r="I90" s="69"/>
      <c r="J90" s="69"/>
      <c r="K90" s="69"/>
      <c r="L90" s="69"/>
      <c r="M90" s="69"/>
      <c r="N90" s="69"/>
      <c r="O90" s="69"/>
      <c r="P90" s="165"/>
      <c r="Q90" s="69"/>
      <c r="R90" s="69"/>
      <c r="S90" s="69"/>
      <c r="T90" s="165"/>
      <c r="W90" s="270">
        <v>43907</v>
      </c>
      <c r="X90" t="s">
        <v>205</v>
      </c>
    </row>
    <row r="91" spans="3:55" x14ac:dyDescent="0.25">
      <c r="X91" s="158">
        <v>43908</v>
      </c>
      <c r="Y91" s="159" t="s">
        <v>176</v>
      </c>
      <c r="Z91" s="159"/>
      <c r="AA91" s="158"/>
      <c r="AB91" s="158">
        <v>43922</v>
      </c>
      <c r="BC91" s="69"/>
    </row>
    <row r="92" spans="3:55" x14ac:dyDescent="0.25">
      <c r="X92" s="270">
        <v>43908</v>
      </c>
      <c r="Y92" s="69" t="s">
        <v>248</v>
      </c>
      <c r="Z92" s="69"/>
      <c r="AA92" s="165"/>
      <c r="AB92" s="165"/>
    </row>
    <row r="93" spans="3:55" x14ac:dyDescent="0.25">
      <c r="X93" s="270">
        <v>43909</v>
      </c>
      <c r="Y93" s="69" t="s">
        <v>301</v>
      </c>
      <c r="Z93" s="69"/>
      <c r="AA93" s="165"/>
      <c r="AB93" s="165"/>
      <c r="AC93" s="69"/>
      <c r="AD93" s="69"/>
      <c r="AE93" s="69"/>
      <c r="AF93" s="69"/>
      <c r="AI93" s="69"/>
      <c r="AJ93" s="69"/>
      <c r="AK93" s="69"/>
      <c r="AL93" s="69"/>
      <c r="AM93" s="69"/>
      <c r="AN93" s="69"/>
      <c r="AO93" s="69"/>
      <c r="AP93" s="69"/>
      <c r="AQ93" s="69"/>
      <c r="AR93" s="69"/>
      <c r="AS93" s="69"/>
      <c r="AT93" s="69"/>
      <c r="AU93" s="69"/>
      <c r="AV93" s="69"/>
      <c r="AW93" s="69"/>
      <c r="AX93" s="69"/>
      <c r="AY93" s="69"/>
      <c r="AZ93" s="69"/>
      <c r="BA93" s="69"/>
      <c r="BB93" s="69"/>
    </row>
    <row r="94" spans="3:55" x14ac:dyDescent="0.25">
      <c r="Y94" s="158">
        <v>43910</v>
      </c>
      <c r="Z94" s="159" t="s">
        <v>177</v>
      </c>
      <c r="AA94" s="159"/>
      <c r="AB94" s="159"/>
      <c r="AC94" s="158">
        <v>43924</v>
      </c>
      <c r="BC94" s="69"/>
    </row>
    <row r="95" spans="3:55" x14ac:dyDescent="0.25">
      <c r="Z95" s="158">
        <v>43914</v>
      </c>
      <c r="AA95" s="159" t="s">
        <v>178</v>
      </c>
      <c r="AB95" s="159"/>
      <c r="AC95" s="158">
        <v>43928</v>
      </c>
    </row>
    <row r="96" spans="3:55" x14ac:dyDescent="0.25">
      <c r="Z96" s="270">
        <v>43914</v>
      </c>
      <c r="AA96" t="s">
        <v>245</v>
      </c>
    </row>
    <row r="97" spans="3:55" s="69" customFormat="1" x14ac:dyDescent="0.25">
      <c r="Z97" s="165">
        <v>43914</v>
      </c>
      <c r="AA97" s="69" t="s">
        <v>309</v>
      </c>
      <c r="AI97"/>
      <c r="AJ97"/>
      <c r="AK97"/>
      <c r="AL97"/>
      <c r="AM97"/>
      <c r="AN97"/>
      <c r="AO97"/>
      <c r="AP97"/>
      <c r="AQ97"/>
      <c r="AR97"/>
      <c r="AS97"/>
      <c r="AT97"/>
      <c r="AU97"/>
      <c r="AV97"/>
      <c r="AW97"/>
      <c r="AX97"/>
      <c r="AY97"/>
      <c r="AZ97"/>
      <c r="BA97"/>
      <c r="BB97"/>
      <c r="BC97"/>
    </row>
    <row r="98" spans="3:55" x14ac:dyDescent="0.25">
      <c r="C98" s="69"/>
      <c r="D98" s="69"/>
      <c r="E98" s="69"/>
      <c r="F98" s="69"/>
      <c r="G98" s="69"/>
      <c r="H98" s="69"/>
      <c r="I98" s="69"/>
      <c r="J98" s="69"/>
      <c r="K98" s="69"/>
      <c r="L98" s="69"/>
      <c r="M98" s="69"/>
      <c r="N98" s="69"/>
      <c r="O98" s="69"/>
      <c r="P98" s="69"/>
      <c r="Q98" s="69"/>
      <c r="R98" s="69"/>
      <c r="S98" s="69"/>
      <c r="T98" s="69"/>
      <c r="U98" s="69"/>
      <c r="V98" s="69"/>
      <c r="W98" s="69"/>
      <c r="X98" s="69"/>
      <c r="Y98" s="69"/>
      <c r="Z98" s="165"/>
      <c r="AA98" s="217">
        <v>43917</v>
      </c>
      <c r="AB98" s="217" t="s">
        <v>229</v>
      </c>
      <c r="AD98" s="69"/>
      <c r="AE98" s="69"/>
      <c r="AF98" s="69"/>
      <c r="AG98" s="69"/>
      <c r="AH98" s="69"/>
      <c r="BC98" s="69"/>
    </row>
    <row r="99" spans="3:55" x14ac:dyDescent="0.25">
      <c r="C99" s="69"/>
      <c r="D99" s="69"/>
      <c r="E99" s="69"/>
      <c r="F99" s="69"/>
      <c r="G99" s="69"/>
      <c r="H99" s="69"/>
      <c r="I99" s="69"/>
      <c r="J99" s="69"/>
      <c r="K99" s="69"/>
      <c r="L99" s="69"/>
      <c r="M99" s="69"/>
      <c r="N99" s="69"/>
      <c r="O99" s="69"/>
      <c r="P99" s="69"/>
      <c r="Q99" s="69"/>
      <c r="R99" s="69"/>
      <c r="S99" s="69"/>
      <c r="T99" s="69"/>
      <c r="U99" s="69"/>
      <c r="V99" s="69"/>
      <c r="W99" s="69"/>
      <c r="X99" s="69"/>
      <c r="Y99" s="69"/>
      <c r="Z99" s="165"/>
      <c r="AA99" s="270">
        <v>43917</v>
      </c>
      <c r="AB99" t="s">
        <v>256</v>
      </c>
      <c r="AC99" s="69"/>
      <c r="AD99" s="69"/>
      <c r="AE99" s="69"/>
      <c r="AF99" s="69"/>
      <c r="AG99" s="69"/>
      <c r="AH99" s="69"/>
    </row>
    <row r="100" spans="3:55" s="69" customFormat="1" x14ac:dyDescent="0.25">
      <c r="Z100" s="165"/>
      <c r="AA100" s="270">
        <v>43917</v>
      </c>
      <c r="AB100" t="s">
        <v>288</v>
      </c>
      <c r="AI100"/>
      <c r="AJ100"/>
      <c r="AK100"/>
      <c r="AL100"/>
      <c r="AM100"/>
      <c r="AN100"/>
      <c r="AO100"/>
      <c r="AP100"/>
      <c r="AQ100"/>
      <c r="AR100"/>
      <c r="AS100"/>
      <c r="AT100"/>
      <c r="AU100"/>
      <c r="AV100"/>
      <c r="AW100"/>
      <c r="AX100"/>
      <c r="AY100"/>
      <c r="AZ100"/>
      <c r="BA100"/>
      <c r="BB100"/>
      <c r="BC100"/>
    </row>
    <row r="101" spans="3:55" x14ac:dyDescent="0.25">
      <c r="X101" s="236"/>
      <c r="Y101" s="165"/>
      <c r="AB101" s="271">
        <v>43918</v>
      </c>
      <c r="AC101" t="s">
        <v>253</v>
      </c>
    </row>
    <row r="102" spans="3:55" x14ac:dyDescent="0.25">
      <c r="AB102" s="270">
        <v>43920</v>
      </c>
      <c r="AC102" t="s">
        <v>260</v>
      </c>
    </row>
    <row r="103" spans="3:55" s="69" customFormat="1" x14ac:dyDescent="0.25">
      <c r="C103"/>
      <c r="D103"/>
      <c r="E103"/>
      <c r="F103"/>
      <c r="G103"/>
      <c r="H103"/>
      <c r="I103"/>
      <c r="J103"/>
      <c r="K103"/>
      <c r="L103"/>
      <c r="M103"/>
      <c r="N103"/>
      <c r="O103"/>
      <c r="P103"/>
      <c r="Q103"/>
      <c r="R103"/>
      <c r="S103"/>
      <c r="T103"/>
      <c r="U103"/>
      <c r="V103"/>
      <c r="W103"/>
      <c r="X103"/>
      <c r="Y103"/>
      <c r="Z103"/>
      <c r="AA103"/>
      <c r="AB103"/>
      <c r="AC103" s="270">
        <v>43923</v>
      </c>
      <c r="AD103" s="69" t="s">
        <v>319</v>
      </c>
      <c r="AF103"/>
      <c r="AH103"/>
    </row>
    <row r="104" spans="3:55" x14ac:dyDescent="0.25">
      <c r="AB104" s="217"/>
      <c r="AC104" s="158">
        <v>43924</v>
      </c>
      <c r="AD104" s="159" t="s">
        <v>230</v>
      </c>
      <c r="AE104" s="158">
        <v>43938</v>
      </c>
      <c r="AI104" s="69"/>
      <c r="AJ104" s="69"/>
      <c r="AK104" s="69"/>
      <c r="AL104" s="69"/>
      <c r="AM104" s="69"/>
      <c r="AN104" s="69"/>
      <c r="AO104" s="69"/>
      <c r="AP104" s="69"/>
      <c r="AQ104" s="69"/>
      <c r="AR104" s="69"/>
      <c r="AS104" s="69"/>
      <c r="AT104" s="69"/>
      <c r="AU104" s="69"/>
      <c r="AV104" s="69"/>
      <c r="AW104" s="69"/>
      <c r="AX104" s="69"/>
      <c r="AY104" s="69"/>
      <c r="AZ104" s="69"/>
      <c r="BA104" s="69"/>
      <c r="BB104" s="69"/>
      <c r="BC104" s="69"/>
    </row>
    <row r="105" spans="3:55" s="69" customFormat="1" x14ac:dyDescent="0.25">
      <c r="AB105" s="217"/>
      <c r="AC105" s="270">
        <v>43925</v>
      </c>
      <c r="AD105" t="s">
        <v>232</v>
      </c>
      <c r="AE105"/>
      <c r="AF105"/>
      <c r="AG105"/>
      <c r="BC105"/>
    </row>
    <row r="106" spans="3:55" s="69" customFormat="1" x14ac:dyDescent="0.25">
      <c r="AB106" s="217"/>
      <c r="AC106"/>
      <c r="AD106" s="270">
        <v>43932</v>
      </c>
      <c r="AE106" t="s">
        <v>241</v>
      </c>
      <c r="AF106"/>
      <c r="AG106"/>
      <c r="BC106"/>
    </row>
    <row r="107" spans="3:55" x14ac:dyDescent="0.25">
      <c r="AD107" s="270">
        <v>43934</v>
      </c>
      <c r="AE107" t="s">
        <v>233</v>
      </c>
      <c r="AQ107" s="217"/>
      <c r="AR107" s="217"/>
      <c r="AS107" s="217"/>
      <c r="AT107" s="217"/>
      <c r="AU107" s="217"/>
    </row>
    <row r="108" spans="3:55" x14ac:dyDescent="0.25">
      <c r="AD108" s="217">
        <v>43935</v>
      </c>
      <c r="AE108" t="s">
        <v>257</v>
      </c>
    </row>
    <row r="109" spans="3:55" x14ac:dyDescent="0.25">
      <c r="AE109" s="270">
        <v>43936</v>
      </c>
      <c r="AF109" s="69" t="s">
        <v>258</v>
      </c>
    </row>
    <row r="110" spans="3:55" x14ac:dyDescent="0.25">
      <c r="AE110" s="270">
        <v>43936</v>
      </c>
      <c r="AF110" t="s">
        <v>265</v>
      </c>
    </row>
    <row r="111" spans="3:55" s="69" customFormat="1" x14ac:dyDescent="0.25">
      <c r="C111"/>
      <c r="D111"/>
      <c r="E111"/>
      <c r="F111"/>
      <c r="G111"/>
      <c r="H111"/>
      <c r="I111"/>
      <c r="J111"/>
      <c r="K111"/>
      <c r="L111"/>
      <c r="M111"/>
      <c r="N111"/>
      <c r="O111"/>
      <c r="P111"/>
      <c r="Q111"/>
      <c r="R111"/>
      <c r="S111"/>
      <c r="T111"/>
      <c r="U111"/>
      <c r="V111"/>
      <c r="W111"/>
      <c r="X111"/>
      <c r="Y111"/>
      <c r="Z111"/>
      <c r="AA111"/>
      <c r="AB111"/>
      <c r="AC111"/>
      <c r="AD111"/>
      <c r="AE111" s="270">
        <v>43936</v>
      </c>
      <c r="AF111" t="s">
        <v>263</v>
      </c>
      <c r="AG111"/>
      <c r="AH111"/>
      <c r="BC111"/>
    </row>
    <row r="112" spans="3:55" x14ac:dyDescent="0.25">
      <c r="AE112" s="217">
        <v>43936</v>
      </c>
      <c r="AF112" t="s">
        <v>259</v>
      </c>
      <c r="AI112" s="69"/>
      <c r="AJ112" s="69"/>
      <c r="AK112" s="69"/>
      <c r="AL112" s="69"/>
      <c r="AM112" s="69"/>
      <c r="AN112" s="69"/>
      <c r="AO112" s="69"/>
      <c r="AP112" s="69"/>
      <c r="AQ112" s="69"/>
      <c r="AR112" s="69"/>
      <c r="AS112" s="69"/>
      <c r="AT112" s="69"/>
      <c r="AU112" s="69"/>
      <c r="AV112" s="69"/>
      <c r="AW112" s="69"/>
      <c r="AX112" s="69"/>
      <c r="AY112" s="69"/>
      <c r="AZ112" s="69"/>
      <c r="BA112" s="69"/>
      <c r="BB112" s="69"/>
    </row>
    <row r="113" spans="1:55" x14ac:dyDescent="0.25">
      <c r="AE113" s="270">
        <v>43937</v>
      </c>
      <c r="AF113" t="s">
        <v>308</v>
      </c>
    </row>
    <row r="114" spans="1:55" x14ac:dyDescent="0.25">
      <c r="AE114" s="270">
        <v>43938</v>
      </c>
      <c r="AF114" t="s">
        <v>262</v>
      </c>
    </row>
    <row r="115" spans="1:55" x14ac:dyDescent="0.25">
      <c r="AE115" s="270">
        <v>43938</v>
      </c>
      <c r="AF115" t="s">
        <v>261</v>
      </c>
      <c r="BC115" s="69"/>
    </row>
    <row r="116" spans="1:55" x14ac:dyDescent="0.25">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270">
        <v>43939</v>
      </c>
      <c r="AF116" s="69" t="s">
        <v>268</v>
      </c>
      <c r="AG116" s="69"/>
      <c r="AH116" s="69"/>
      <c r="BC116" s="69"/>
    </row>
    <row r="117" spans="1:55" x14ac:dyDescent="0.25">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270">
        <v>43941</v>
      </c>
      <c r="AG117" s="69" t="s">
        <v>321</v>
      </c>
      <c r="AH117" s="69"/>
      <c r="BC117" s="69"/>
    </row>
    <row r="118" spans="1:55" x14ac:dyDescent="0.25">
      <c r="AF118" s="217">
        <v>43942</v>
      </c>
      <c r="AG118" t="s">
        <v>307</v>
      </c>
    </row>
    <row r="119" spans="1:55" x14ac:dyDescent="0.25">
      <c r="AF119" s="217">
        <v>43943</v>
      </c>
      <c r="AG119" t="s">
        <v>304</v>
      </c>
    </row>
    <row r="120" spans="1:55" x14ac:dyDescent="0.25">
      <c r="AF120" s="270">
        <v>43943</v>
      </c>
      <c r="AG120" s="69" t="s">
        <v>318</v>
      </c>
      <c r="AH120" s="69"/>
    </row>
    <row r="121" spans="1:55" x14ac:dyDescent="0.25">
      <c r="AF121" s="270">
        <v>43943</v>
      </c>
      <c r="AG121" t="s">
        <v>302</v>
      </c>
    </row>
    <row r="122" spans="1:55" s="69" customFormat="1" x14ac:dyDescent="0.25">
      <c r="AF122"/>
      <c r="AG122" s="270">
        <v>43944</v>
      </c>
      <c r="AH122" t="s">
        <v>305</v>
      </c>
    </row>
    <row r="123" spans="1:55" s="69" customFormat="1" x14ac:dyDescent="0.25">
      <c r="AF123"/>
      <c r="AG123" s="270">
        <v>43944</v>
      </c>
      <c r="AH123" t="s">
        <v>306</v>
      </c>
    </row>
    <row r="124" spans="1:55" x14ac:dyDescent="0.25">
      <c r="AG124" s="217">
        <v>43944</v>
      </c>
      <c r="AH124" t="s">
        <v>314</v>
      </c>
    </row>
    <row r="125" spans="1:55" x14ac:dyDescent="0.25">
      <c r="A125" s="4" t="s">
        <v>193</v>
      </c>
      <c r="B125" s="221">
        <v>330565500</v>
      </c>
      <c r="C125" t="s">
        <v>174</v>
      </c>
      <c r="D125" s="69"/>
      <c r="E125" s="69"/>
      <c r="F125" s="69"/>
      <c r="G125" s="69"/>
      <c r="H125" s="69"/>
      <c r="I125" s="69"/>
      <c r="J125" s="69"/>
      <c r="K125" s="69"/>
      <c r="L125" s="69"/>
      <c r="M125" s="69"/>
      <c r="N125" s="69"/>
      <c r="O125" s="69"/>
      <c r="P125" s="69"/>
      <c r="Q125" s="69"/>
      <c r="R125" s="165"/>
      <c r="S125" s="69"/>
      <c r="T125" s="69"/>
      <c r="U125" s="69"/>
      <c r="AG125" s="270">
        <v>43945</v>
      </c>
      <c r="AH125" t="s">
        <v>322</v>
      </c>
    </row>
    <row r="126" spans="1:55" s="69" customFormat="1" x14ac:dyDescent="0.25">
      <c r="A126" s="62"/>
      <c r="B126" s="169"/>
      <c r="R126" s="165"/>
      <c r="X126"/>
      <c r="Y126"/>
      <c r="Z126"/>
      <c r="AA126"/>
      <c r="AG126" s="165">
        <v>43946</v>
      </c>
      <c r="AH126" s="69" t="s">
        <v>317</v>
      </c>
    </row>
    <row r="127" spans="1:55" x14ac:dyDescent="0.25">
      <c r="A127" s="4" t="s">
        <v>114</v>
      </c>
      <c r="B127" s="155">
        <v>0.12</v>
      </c>
      <c r="C127" t="s">
        <v>113</v>
      </c>
      <c r="D127" s="69"/>
      <c r="E127" s="69"/>
      <c r="F127" s="69" t="s">
        <v>313</v>
      </c>
      <c r="G127" s="69"/>
      <c r="H127" s="69"/>
      <c r="I127" s="69"/>
      <c r="J127" s="69"/>
      <c r="K127" s="69"/>
      <c r="L127" s="69"/>
      <c r="M127" s="69"/>
      <c r="N127" s="69"/>
      <c r="O127" s="69"/>
      <c r="P127" s="69"/>
      <c r="Q127" s="69"/>
      <c r="R127" s="69"/>
      <c r="S127" s="165"/>
      <c r="T127" s="69"/>
      <c r="U127" s="165"/>
      <c r="X127" s="198"/>
      <c r="Y127" s="16"/>
      <c r="AH127" s="270">
        <v>43948</v>
      </c>
      <c r="AI127" s="69" t="s">
        <v>316</v>
      </c>
    </row>
    <row r="128" spans="1:55" x14ac:dyDescent="0.25">
      <c r="A128" s="37" t="s">
        <v>116</v>
      </c>
      <c r="B128" s="114">
        <v>7.0000000000000007E-2</v>
      </c>
      <c r="C128" s="248"/>
      <c r="D128" s="69"/>
      <c r="E128" s="69"/>
      <c r="F128" s="69"/>
      <c r="G128" s="69"/>
      <c r="H128" s="69"/>
      <c r="I128" s="69"/>
      <c r="J128" s="69"/>
      <c r="K128" s="69"/>
      <c r="L128" s="69"/>
      <c r="M128" s="69"/>
      <c r="N128" s="69"/>
      <c r="O128" s="69"/>
      <c r="P128" s="69"/>
      <c r="Q128" s="69"/>
      <c r="R128" s="69"/>
      <c r="S128" s="69"/>
      <c r="T128" s="165"/>
      <c r="U128" s="165"/>
      <c r="V128" s="69"/>
      <c r="W128" s="69"/>
      <c r="X128" s="16"/>
      <c r="Y128" s="16"/>
    </row>
    <row r="129" spans="1:63" x14ac:dyDescent="0.25">
      <c r="A129" s="4" t="s">
        <v>182</v>
      </c>
      <c r="B129" s="249">
        <v>2.4</v>
      </c>
      <c r="C129" s="64">
        <f>(B125/1000)*B129</f>
        <v>793357.2</v>
      </c>
      <c r="D129" s="69"/>
      <c r="E129" s="69"/>
      <c r="F129" s="69"/>
      <c r="G129" s="69"/>
      <c r="H129" s="69"/>
      <c r="I129" s="69"/>
      <c r="J129" s="69"/>
      <c r="K129" s="69"/>
      <c r="L129" s="69"/>
      <c r="M129" s="69"/>
      <c r="N129" s="69"/>
      <c r="O129" s="69"/>
      <c r="P129" s="69"/>
      <c r="Q129" s="69"/>
      <c r="R129" s="69"/>
      <c r="S129" s="69"/>
      <c r="T129" s="69"/>
      <c r="U129" s="69"/>
      <c r="V129" s="69"/>
      <c r="W129" s="69"/>
      <c r="X129" s="16"/>
      <c r="Y129" s="16"/>
      <c r="AA129" s="120"/>
    </row>
    <row r="130" spans="1:63" x14ac:dyDescent="0.25">
      <c r="A130" s="37" t="s">
        <v>183</v>
      </c>
      <c r="B130" s="250">
        <v>34.700000000000003</v>
      </c>
      <c r="C130" s="61">
        <f>(B125/100000)*B130</f>
        <v>114706.22850000001</v>
      </c>
      <c r="D130" s="69"/>
      <c r="E130" s="69"/>
      <c r="F130" s="69"/>
      <c r="G130" s="69"/>
      <c r="H130" s="69"/>
      <c r="I130" s="69"/>
      <c r="J130" s="69"/>
      <c r="K130" s="69"/>
      <c r="L130" s="69"/>
      <c r="M130" s="69"/>
      <c r="N130" s="69"/>
      <c r="O130" s="69"/>
      <c r="P130" s="69"/>
      <c r="Q130" s="69"/>
      <c r="R130" s="69"/>
      <c r="S130" s="69"/>
      <c r="T130" s="69"/>
      <c r="U130" s="69"/>
      <c r="V130" s="150"/>
      <c r="W130" s="69"/>
    </row>
    <row r="131" spans="1:63" x14ac:dyDescent="0.25">
      <c r="A131" s="4" t="s">
        <v>74</v>
      </c>
      <c r="B131" s="112">
        <v>0.81</v>
      </c>
      <c r="C131" s="2"/>
      <c r="D131" s="69"/>
      <c r="E131" s="69"/>
      <c r="F131" s="69"/>
      <c r="G131" s="69"/>
      <c r="H131" s="69"/>
      <c r="I131" s="69"/>
      <c r="J131" s="69"/>
      <c r="K131" s="69"/>
      <c r="L131" s="69"/>
      <c r="M131" s="69"/>
      <c r="N131" s="69"/>
      <c r="O131" s="69"/>
      <c r="P131" s="69"/>
      <c r="Q131" s="69"/>
      <c r="R131" s="69"/>
      <c r="S131" s="69"/>
      <c r="T131" s="69"/>
      <c r="U131" s="69"/>
      <c r="Z131" s="217"/>
      <c r="AC131" s="255"/>
    </row>
    <row r="132" spans="1:63" x14ac:dyDescent="0.25">
      <c r="A132" s="41" t="s">
        <v>75</v>
      </c>
      <c r="B132" s="113">
        <v>0.14000000000000001</v>
      </c>
      <c r="C132" s="2"/>
      <c r="D132" s="69"/>
      <c r="E132" s="69"/>
      <c r="F132" s="69"/>
      <c r="G132" s="69"/>
      <c r="H132" s="69"/>
      <c r="I132" s="69"/>
      <c r="J132" s="69"/>
      <c r="K132" s="69"/>
      <c r="L132" s="69"/>
      <c r="M132" s="69"/>
      <c r="N132" s="69"/>
      <c r="O132" s="69"/>
      <c r="P132" s="69"/>
      <c r="Q132" s="69"/>
      <c r="R132" s="69"/>
      <c r="S132" s="69"/>
      <c r="T132" s="69"/>
      <c r="U132" s="47"/>
      <c r="V132" s="69"/>
      <c r="W132" s="165"/>
      <c r="AC132" s="217"/>
      <c r="AV132" s="255"/>
      <c r="AW132" s="255"/>
      <c r="AX132" s="255"/>
      <c r="AY132" s="255"/>
      <c r="AZ132" s="255"/>
    </row>
    <row r="133" spans="1:63" x14ac:dyDescent="0.25">
      <c r="A133" s="37" t="s">
        <v>109</v>
      </c>
      <c r="B133" s="114">
        <v>0.05</v>
      </c>
      <c r="C133" s="2"/>
      <c r="D133" s="212" t="s">
        <v>170</v>
      </c>
      <c r="T133" s="16"/>
      <c r="U133" s="16"/>
      <c r="V133" s="259"/>
      <c r="W133" s="16"/>
      <c r="AE133" s="2"/>
      <c r="AH133" s="217"/>
      <c r="AI133" s="217"/>
      <c r="AJ133" s="217"/>
      <c r="AK133" s="217"/>
      <c r="BA133" s="175"/>
      <c r="BB133" s="175"/>
      <c r="BC133" s="175"/>
      <c r="BD133" s="175"/>
      <c r="BE133" s="175"/>
      <c r="BF133" s="175"/>
    </row>
    <row r="134" spans="1:63" x14ac:dyDescent="0.25">
      <c r="A134" s="37" t="s">
        <v>115</v>
      </c>
      <c r="B134" s="65">
        <v>5.5E-2</v>
      </c>
      <c r="C134" s="2"/>
      <c r="D134" s="179" t="s">
        <v>162</v>
      </c>
      <c r="U134" s="16"/>
      <c r="V134" s="16"/>
      <c r="W134" s="16"/>
      <c r="AV134" s="176"/>
      <c r="AW134" s="176"/>
      <c r="AX134" s="176"/>
      <c r="AY134" s="176"/>
      <c r="AZ134" s="176"/>
    </row>
    <row r="135" spans="1:63" x14ac:dyDescent="0.25">
      <c r="A135" s="153" t="s">
        <v>311</v>
      </c>
      <c r="B135" s="154">
        <v>43851</v>
      </c>
      <c r="C135" s="2"/>
      <c r="D135" s="256">
        <f>(BA138-P138)/(LOG(BA139/P139)/LOG(2))</f>
        <v>35.473684210526315</v>
      </c>
      <c r="E135" s="175"/>
      <c r="S135" s="16"/>
      <c r="T135" s="16"/>
      <c r="U135" s="16"/>
      <c r="V135" s="16"/>
      <c r="W135" s="16"/>
      <c r="AC135" t="s">
        <v>320</v>
      </c>
    </row>
    <row r="136" spans="1:63" x14ac:dyDescent="0.25">
      <c r="A136" s="16"/>
      <c r="B136" s="50" t="s">
        <v>54</v>
      </c>
      <c r="C136" s="10"/>
      <c r="D136" s="16"/>
      <c r="E136" s="16"/>
      <c r="F136" s="16"/>
      <c r="G136" s="16"/>
      <c r="H136" s="16"/>
      <c r="I136" s="16"/>
      <c r="J136" s="16"/>
      <c r="K136" s="16"/>
      <c r="L136" s="16"/>
      <c r="M136" s="16"/>
      <c r="N136" s="16"/>
      <c r="O136" s="16"/>
      <c r="Q136" s="16"/>
      <c r="R136" s="16"/>
      <c r="S136" s="16"/>
      <c r="T136" s="16"/>
      <c r="U136" s="16"/>
      <c r="V136" s="16"/>
      <c r="W136" s="16"/>
      <c r="X136" s="16"/>
      <c r="Y136" s="16"/>
      <c r="Z136" s="16"/>
      <c r="AA136" s="16"/>
      <c r="AB136" s="16"/>
      <c r="AC136" s="16"/>
      <c r="AD136" s="16"/>
      <c r="AE136" s="16"/>
      <c r="AF136" s="16" t="s">
        <v>303</v>
      </c>
      <c r="AG136" s="16"/>
      <c r="AH136" s="16"/>
      <c r="AI136" s="16"/>
      <c r="AJ136" s="16"/>
      <c r="AK136" s="16"/>
      <c r="AL136" s="16"/>
      <c r="AM136" s="16"/>
      <c r="AN136" s="16"/>
      <c r="AO136" s="16"/>
      <c r="AP136" s="16"/>
      <c r="AQ136" s="16"/>
      <c r="AR136" s="16"/>
      <c r="AS136" s="16"/>
      <c r="AT136" s="16"/>
      <c r="AU136" s="16"/>
      <c r="BH136" s="152"/>
    </row>
    <row r="137" spans="1:63" x14ac:dyDescent="0.25">
      <c r="A137" s="53" t="s">
        <v>41</v>
      </c>
      <c r="B137" s="192">
        <v>43882</v>
      </c>
      <c r="C137" s="192">
        <v>43890</v>
      </c>
      <c r="D137" s="192">
        <v>43893</v>
      </c>
      <c r="E137" s="192">
        <v>43895</v>
      </c>
      <c r="F137" s="192">
        <v>43904</v>
      </c>
      <c r="G137" s="192">
        <v>43912</v>
      </c>
      <c r="H137" s="192">
        <v>43918</v>
      </c>
      <c r="I137" s="192">
        <v>43923</v>
      </c>
      <c r="J137" s="192">
        <v>43932</v>
      </c>
      <c r="K137" s="192">
        <v>43948</v>
      </c>
      <c r="L137" s="192">
        <v>43980</v>
      </c>
      <c r="M137" s="192">
        <v>44012</v>
      </c>
      <c r="N137" s="192">
        <v>44044</v>
      </c>
      <c r="O137" s="192"/>
      <c r="Q137" s="133" t="s">
        <v>312</v>
      </c>
      <c r="R137" s="16"/>
      <c r="S137" s="16"/>
      <c r="T137" s="16"/>
      <c r="U137" s="16"/>
      <c r="V137" s="16"/>
      <c r="W137" s="16"/>
      <c r="X137" s="16"/>
      <c r="Y137" s="182"/>
      <c r="Z137" s="16"/>
      <c r="AA137" s="16"/>
      <c r="AB137" s="16"/>
      <c r="AC137" s="16" t="s">
        <v>276</v>
      </c>
      <c r="AG137" t="s">
        <v>315</v>
      </c>
      <c r="AL137" s="16"/>
      <c r="AM137" s="16"/>
      <c r="AN137" s="16"/>
      <c r="AO137" s="16"/>
      <c r="AP137" s="16"/>
      <c r="AQ137" s="16"/>
      <c r="AR137" s="16"/>
      <c r="AS137" s="16"/>
      <c r="AT137" s="16"/>
      <c r="AU137" s="16"/>
      <c r="BB137" s="212" t="s">
        <v>171</v>
      </c>
      <c r="BH137" s="252" t="s">
        <v>192</v>
      </c>
    </row>
    <row r="138" spans="1:63" x14ac:dyDescent="0.25">
      <c r="A138" s="4" t="s">
        <v>11</v>
      </c>
      <c r="B138" s="84">
        <v>8</v>
      </c>
      <c r="C138" s="157">
        <v>3</v>
      </c>
      <c r="D138" s="258">
        <v>2</v>
      </c>
      <c r="E138" s="157">
        <v>3</v>
      </c>
      <c r="F138" s="258">
        <v>2</v>
      </c>
      <c r="G138" s="157">
        <v>3</v>
      </c>
      <c r="H138" s="156">
        <v>5</v>
      </c>
      <c r="I138" s="257">
        <v>9</v>
      </c>
      <c r="J138">
        <v>16</v>
      </c>
      <c r="K138">
        <v>32</v>
      </c>
      <c r="L138">
        <v>64</v>
      </c>
      <c r="M138">
        <v>128</v>
      </c>
      <c r="N138">
        <v>256</v>
      </c>
      <c r="O138" s="220"/>
      <c r="P138" s="277">
        <v>43882</v>
      </c>
      <c r="Q138" s="278">
        <f>P138+HLOOKUP(P138+1, $B$137:$O$138,2,TRUE)</f>
        <v>43890</v>
      </c>
      <c r="R138" s="279">
        <f>Q138+HLOOKUP(Q138+1, $B$137:$O$138,2,TRUE)</f>
        <v>43893</v>
      </c>
      <c r="S138" s="278">
        <f>R138+HLOOKUP(R138+1, $B$137:$O$138,2,TRUE)</f>
        <v>43895</v>
      </c>
      <c r="T138" s="278">
        <f>S138+HLOOKUP(S138+1, $B$137:$O$138,2,TRUE)</f>
        <v>43898</v>
      </c>
      <c r="U138" s="278">
        <f>T138+HLOOKUP(T138+1, $B$137:$O$138,2,TRUE)</f>
        <v>43901</v>
      </c>
      <c r="V138" s="279">
        <f>U138+HLOOKUP(U138+1, $B$137:$O$138,2,TRUE)</f>
        <v>43904</v>
      </c>
      <c r="W138" s="279">
        <f>V138+HLOOKUP(V138+1, $B$137:$O$138,2,TRUE)</f>
        <v>43906</v>
      </c>
      <c r="X138" s="279">
        <f>W138+HLOOKUP(W138+1, $B$137:$O$138,2,TRUE)</f>
        <v>43908</v>
      </c>
      <c r="Y138" s="279">
        <f>X138+HLOOKUP(X138+1, $B$137:$O$138,2,TRUE)</f>
        <v>43910</v>
      </c>
      <c r="Z138" s="278">
        <f>Y138+HLOOKUP(Y138+1, $B$137:$O$138,2,TRUE)</f>
        <v>43912</v>
      </c>
      <c r="AA138" s="280">
        <f>Z138+HLOOKUP(Z138+1, $B$137:$O$138,2,TRUE)</f>
        <v>43915</v>
      </c>
      <c r="AB138" s="280">
        <f>AA138+HLOOKUP(AA138+1, $B$137:$O$138,2,TRUE)</f>
        <v>43918</v>
      </c>
      <c r="AC138" s="281">
        <f>AB138+HLOOKUP(AB138+1, $B$137:$O$138,2,TRUE)</f>
        <v>43923</v>
      </c>
      <c r="AD138" s="282">
        <f>AC138+HLOOKUP(AC138+1, $B$137:$O$138,2,TRUE)</f>
        <v>43932</v>
      </c>
      <c r="AE138" s="283">
        <f>$AD$138+(($AH$138-$AD$138)*0.25)</f>
        <v>43936</v>
      </c>
      <c r="AF138" s="283">
        <f>$AD$138+(($AH$138-$AD$138)*0.5)</f>
        <v>43940</v>
      </c>
      <c r="AG138" s="283">
        <f>$AD$138+(($AH$138-$AD$138)*0.75)</f>
        <v>43944</v>
      </c>
      <c r="AH138" s="284">
        <f>AD138+HLOOKUP(AD138+1, $B$137:$O$138,2,TRUE)</f>
        <v>43948</v>
      </c>
      <c r="AI138" s="296">
        <f>$AH$138+(($AL$138-$AH$138)*0.25)</f>
        <v>43956</v>
      </c>
      <c r="AJ138" s="296">
        <f>$AH$138+(($AL$138-$AH$138)*0.5)</f>
        <v>43964</v>
      </c>
      <c r="AK138" s="296">
        <f>$AH$138+(($AL$138-$AH$138)*0.75)</f>
        <v>43972</v>
      </c>
      <c r="AL138" s="228">
        <f>AH138+HLOOKUP(AH138+1, $B$137:$O$138,2,TRUE)</f>
        <v>43980</v>
      </c>
      <c r="AM138" s="296">
        <f>$AL$138+(($AQ$138-$AL$138)*0.2)</f>
        <v>43992.800000000003</v>
      </c>
      <c r="AN138" s="296">
        <f>$AL$138+(($AQ$138-$AL$138)*0.4)</f>
        <v>44005.599999999999</v>
      </c>
      <c r="AO138" s="296">
        <f>$AL$138+(($AQ$138-$AL$138)*0.6)</f>
        <v>44018.400000000001</v>
      </c>
      <c r="AP138" s="296">
        <f>$AL$138+(($AQ$138-$AL$138)*0.8)</f>
        <v>44031.199999999997</v>
      </c>
      <c r="AQ138" s="228">
        <f>AL138+HLOOKUP(AL138+1, $B$137:$O$138,2,TRUE)</f>
        <v>44044</v>
      </c>
      <c r="AR138" s="296">
        <f>$AQ$138+(($AV$138-$AQ$138)*0.2)</f>
        <v>44095.199999999997</v>
      </c>
      <c r="AS138" s="296">
        <f>$AQ$138+(($AV$138-$AQ$138)*0.4)</f>
        <v>44146.400000000001</v>
      </c>
      <c r="AT138" s="296">
        <f>$AQ$138+(($AV$138-$AQ$138)*0.6)</f>
        <v>44197.599999999999</v>
      </c>
      <c r="AU138" s="296">
        <f>$AQ$138+(($AV$138-$AQ$138)*0.8)</f>
        <v>44248.800000000003</v>
      </c>
      <c r="AV138" s="228">
        <f>AQ138+HLOOKUP(AQ138+1, $B$137:$O$138,2,TRUE)</f>
        <v>44300</v>
      </c>
      <c r="AW138" s="296">
        <f>$AV$138+(($BA$138-$AV$138)*0.2)</f>
        <v>44351.199999999997</v>
      </c>
      <c r="AX138" s="296">
        <f>$AV$138+(($BA$138-$AV$138)*0.4)</f>
        <v>44402.400000000001</v>
      </c>
      <c r="AY138" s="296">
        <f>$AV$138+(($BA$138-$AV$138)*0.6)</f>
        <v>44453.599999999999</v>
      </c>
      <c r="AZ138" s="296">
        <f>$AV$138+(($BA$138-$AV$138)*0.8)</f>
        <v>44504.800000000003</v>
      </c>
      <c r="BA138" s="237">
        <f>AV138+HLOOKUP(AV138+1, $B$137:$O$138,2,TRUE)</f>
        <v>44556</v>
      </c>
      <c r="BB138" s="228">
        <f>BA138+HLOOKUP(BA138+1, $B$137:$O$138,2,TRUE)</f>
        <v>44812</v>
      </c>
      <c r="BC138" s="228">
        <f>BB138+HLOOKUP(BB138+1, $B$137:$O$138,2,TRUE)</f>
        <v>45068</v>
      </c>
      <c r="BD138" s="228">
        <f>BC138+HLOOKUP(BC138+1, $B$137:$O$138,2,TRUE)</f>
        <v>45324</v>
      </c>
      <c r="BE138" s="228">
        <f>BD138+HLOOKUP(BD138+1, $B$137:$O$138,2,TRUE)</f>
        <v>45580</v>
      </c>
      <c r="BF138" s="237">
        <f>BE138+HLOOKUP(BE138+1, $B$137:$O$138,2,TRUE)</f>
        <v>45836</v>
      </c>
      <c r="BG138" s="237">
        <f>BF138+HLOOKUP(BF138+1, $B$137:$O$138,2,TRUE)</f>
        <v>46092</v>
      </c>
      <c r="BH138" s="251">
        <f>BG138+(7*8)</f>
        <v>46148</v>
      </c>
      <c r="BI138" s="70"/>
      <c r="BJ138" s="70"/>
      <c r="BK138" s="69"/>
    </row>
    <row r="139" spans="1:63" x14ac:dyDescent="0.25">
      <c r="A139" s="41" t="s">
        <v>107</v>
      </c>
      <c r="B139" s="16"/>
      <c r="C139" s="16"/>
      <c r="D139" s="16"/>
      <c r="E139" s="16"/>
      <c r="F139" s="16"/>
      <c r="G139" s="16"/>
      <c r="H139" s="16"/>
      <c r="I139" s="16"/>
      <c r="J139" s="16"/>
      <c r="K139" s="16"/>
      <c r="L139" s="16"/>
      <c r="M139" s="16"/>
      <c r="N139" s="16"/>
      <c r="O139" s="16"/>
      <c r="P139" s="273">
        <v>31.25</v>
      </c>
      <c r="Q139" s="274">
        <f>P139*2</f>
        <v>62.5</v>
      </c>
      <c r="R139" s="274">
        <f t="shared" ref="R139:AD139" si="0">Q139*2</f>
        <v>125</v>
      </c>
      <c r="S139" s="274">
        <f t="shared" si="0"/>
        <v>250</v>
      </c>
      <c r="T139" s="274">
        <f t="shared" si="0"/>
        <v>500</v>
      </c>
      <c r="U139" s="274">
        <f t="shared" si="0"/>
        <v>1000</v>
      </c>
      <c r="V139" s="274">
        <f t="shared" si="0"/>
        <v>2000</v>
      </c>
      <c r="W139" s="274">
        <f t="shared" si="0"/>
        <v>4000</v>
      </c>
      <c r="X139" s="274">
        <f t="shared" si="0"/>
        <v>8000</v>
      </c>
      <c r="Y139" s="274">
        <f>X139*2</f>
        <v>16000</v>
      </c>
      <c r="Z139" s="274">
        <f>Y139*2</f>
        <v>32000</v>
      </c>
      <c r="AA139" s="274">
        <f>Z139*2</f>
        <v>64000</v>
      </c>
      <c r="AB139" s="274">
        <f>AA139*2</f>
        <v>128000</v>
      </c>
      <c r="AC139" s="274">
        <f t="shared" si="0"/>
        <v>256000</v>
      </c>
      <c r="AD139" s="274">
        <f t="shared" si="0"/>
        <v>512000</v>
      </c>
      <c r="AE139" s="274">
        <f>$AD$139+(($AH$139-$AD$139)*0.25)</f>
        <v>640000</v>
      </c>
      <c r="AF139" s="274">
        <f>$AD$139+(($AH$139-$AD$139)*0.5)</f>
        <v>768000</v>
      </c>
      <c r="AG139" s="274">
        <f>$AD$139+(($AH$139-$AD$139)*0.75)</f>
        <v>896000</v>
      </c>
      <c r="AH139" s="274">
        <f>AD139*2</f>
        <v>1024000</v>
      </c>
      <c r="AI139" s="274">
        <f>$AH$139+(($AL$139-$AH$139)*0.25)</f>
        <v>1280000</v>
      </c>
      <c r="AJ139" s="274">
        <f>$AH$139+(($AL$139-$AH$139)*0.5)</f>
        <v>1536000</v>
      </c>
      <c r="AK139" s="274">
        <f>$AH$139+(($AL$139-$AH$139)*0.75)</f>
        <v>1792000</v>
      </c>
      <c r="AL139" s="274">
        <f>AH139*2</f>
        <v>2048000</v>
      </c>
      <c r="AM139" s="274">
        <f>$AL$139+(($AQ$139-$AL$139)*0.2)</f>
        <v>2457600</v>
      </c>
      <c r="AN139" s="274">
        <f>$AL$139+(($AQ$139-$AL$139)*0.4)</f>
        <v>2867200</v>
      </c>
      <c r="AO139" s="274">
        <f>$AL$139+(($AQ$139-$AL$139)*0.6)</f>
        <v>3276800</v>
      </c>
      <c r="AP139" s="274">
        <f>$AL$139+(($AQ$139-$AL$139)*0.8)</f>
        <v>3686400</v>
      </c>
      <c r="AQ139" s="274">
        <f>AL139*2</f>
        <v>4096000</v>
      </c>
      <c r="AR139" s="274">
        <f>$AQ$139+(($AV$139-$AQ$139)*0.2)</f>
        <v>4915200</v>
      </c>
      <c r="AS139" s="274">
        <f>$AQ$139+(($AV$139-$AQ$139)*0.4)</f>
        <v>5734400</v>
      </c>
      <c r="AT139" s="274">
        <f>$AQ$139+(($AV$139-$AQ$139)*0.6)</f>
        <v>6553600</v>
      </c>
      <c r="AU139" s="274">
        <f>$AQ$139+(($AV$139-$AQ$139)*0.8)</f>
        <v>7372800</v>
      </c>
      <c r="AV139" s="274">
        <f>AQ139*2</f>
        <v>8192000</v>
      </c>
      <c r="AW139" s="274">
        <f>$AV$139+(($BA$139-$AV$139)*0.2)</f>
        <v>9830400</v>
      </c>
      <c r="AX139" s="274">
        <f>$AV$139+(($BA$139-$AV$139)*0.4)</f>
        <v>11468800</v>
      </c>
      <c r="AY139" s="274">
        <f>$AV$139+(($BA$139-$AV$139)*0.6)</f>
        <v>13107200</v>
      </c>
      <c r="AZ139" s="274">
        <f>$AV$139+(($BA$139-$AV$139)*0.8)</f>
        <v>14745600</v>
      </c>
      <c r="BA139" s="275">
        <f>AV139*2</f>
        <v>16384000</v>
      </c>
      <c r="BB139" s="238">
        <f t="shared" ref="BB139:BE139" si="1">BA139*2</f>
        <v>32768000</v>
      </c>
      <c r="BC139" s="208">
        <f t="shared" si="1"/>
        <v>65536000</v>
      </c>
      <c r="BD139" s="208">
        <f t="shared" si="1"/>
        <v>131072000</v>
      </c>
      <c r="BE139" s="208">
        <f t="shared" si="1"/>
        <v>262144000</v>
      </c>
      <c r="BF139" s="209">
        <f>B125</f>
        <v>330565500</v>
      </c>
      <c r="BG139" s="199">
        <f>B125</f>
        <v>330565500</v>
      </c>
      <c r="BH139" s="242">
        <f>B125*BH140</f>
        <v>23139585.000000004</v>
      </c>
      <c r="BI139" s="45"/>
      <c r="BJ139" s="45"/>
      <c r="BK139" s="69"/>
    </row>
    <row r="140" spans="1:63" x14ac:dyDescent="0.25">
      <c r="A140" s="41" t="s">
        <v>108</v>
      </c>
      <c r="B140" s="16"/>
      <c r="C140" s="16"/>
      <c r="D140" s="16"/>
      <c r="E140" s="16"/>
      <c r="F140" s="16"/>
      <c r="G140" s="16"/>
      <c r="H140" s="16"/>
      <c r="I140" s="16"/>
      <c r="J140" s="16"/>
      <c r="K140" s="16"/>
      <c r="L140" s="16"/>
      <c r="M140" s="16"/>
      <c r="N140" s="16"/>
      <c r="O140" s="16"/>
      <c r="P140" s="218">
        <f t="shared" ref="P140:AP140" si="2">P139/$B$125</f>
        <v>9.453497113280122E-8</v>
      </c>
      <c r="Q140" s="219">
        <f t="shared" si="2"/>
        <v>1.8906994226560244E-7</v>
      </c>
      <c r="R140" s="219">
        <f t="shared" si="2"/>
        <v>3.7813988453120488E-7</v>
      </c>
      <c r="S140" s="196">
        <f t="shared" si="2"/>
        <v>7.5627976906240976E-7</v>
      </c>
      <c r="T140" s="196">
        <f t="shared" si="2"/>
        <v>1.5125595381248195E-6</v>
      </c>
      <c r="U140" s="196">
        <f t="shared" si="2"/>
        <v>3.025119076249639E-6</v>
      </c>
      <c r="V140" s="196">
        <f t="shared" si="2"/>
        <v>6.0502381524992781E-6</v>
      </c>
      <c r="W140" s="66">
        <f t="shared" si="2"/>
        <v>1.2100476304998556E-5</v>
      </c>
      <c r="X140" s="36">
        <f t="shared" si="2"/>
        <v>2.4200952609997112E-5</v>
      </c>
      <c r="Y140" s="36">
        <f>Y139/$B$125</f>
        <v>4.8401905219994225E-5</v>
      </c>
      <c r="Z140" s="36">
        <f>Z139/$B$125</f>
        <v>9.6803810439988449E-5</v>
      </c>
      <c r="AA140" s="36">
        <f>AA139/$B$125</f>
        <v>1.936076208799769E-4</v>
      </c>
      <c r="AB140" s="36">
        <f>AB139/$B$125</f>
        <v>3.872152417599538E-4</v>
      </c>
      <c r="AC140" s="14">
        <f t="shared" si="2"/>
        <v>7.7443048351990759E-4</v>
      </c>
      <c r="AD140" s="14">
        <f t="shared" si="2"/>
        <v>1.5488609670398152E-3</v>
      </c>
      <c r="AE140" s="14">
        <f t="shared" ref="AE140:AG140" si="3">AE139/$B$125</f>
        <v>1.9360762087997688E-3</v>
      </c>
      <c r="AF140" s="14">
        <f t="shared" si="3"/>
        <v>2.3232914505597227E-3</v>
      </c>
      <c r="AG140" s="14">
        <f t="shared" si="3"/>
        <v>2.7105066923196765E-3</v>
      </c>
      <c r="AH140" s="14">
        <f t="shared" si="2"/>
        <v>3.0977219340796304E-3</v>
      </c>
      <c r="AI140" s="14">
        <f t="shared" ref="AI140:AK140" si="4">AI139/$B$125</f>
        <v>3.8721524175995376E-3</v>
      </c>
      <c r="AJ140" s="14">
        <f t="shared" si="4"/>
        <v>4.6465829011194454E-3</v>
      </c>
      <c r="AK140" s="14">
        <f t="shared" si="4"/>
        <v>5.4210133846393531E-3</v>
      </c>
      <c r="AL140" s="14">
        <f t="shared" si="2"/>
        <v>6.1954438681592608E-3</v>
      </c>
      <c r="AM140" s="15">
        <f t="shared" si="2"/>
        <v>7.4345326417911122E-3</v>
      </c>
      <c r="AN140" s="15">
        <f t="shared" si="2"/>
        <v>8.6736214154229645E-3</v>
      </c>
      <c r="AO140" s="15">
        <f t="shared" si="2"/>
        <v>9.9127101890548169E-3</v>
      </c>
      <c r="AP140" s="15">
        <f t="shared" si="2"/>
        <v>1.1151798962686669E-2</v>
      </c>
      <c r="AQ140" s="15">
        <f>AQ139/$B$125</f>
        <v>1.2390887736318522E-2</v>
      </c>
      <c r="AR140" s="15">
        <f t="shared" ref="AR140:AU140" si="5">AR139/$B$125</f>
        <v>1.4869065283582224E-2</v>
      </c>
      <c r="AS140" s="15">
        <f t="shared" si="5"/>
        <v>1.7347242830845929E-2</v>
      </c>
      <c r="AT140" s="15">
        <f t="shared" si="5"/>
        <v>1.9825420378109634E-2</v>
      </c>
      <c r="AU140" s="15">
        <f t="shared" si="5"/>
        <v>2.2303597925373338E-2</v>
      </c>
      <c r="AV140" s="15">
        <f>AV139/$B$125</f>
        <v>2.4781775472637043E-2</v>
      </c>
      <c r="AW140" s="15">
        <f t="shared" ref="AW140:AZ140" si="6">AW139/$B$125</f>
        <v>2.9738130567164449E-2</v>
      </c>
      <c r="AX140" s="15">
        <f t="shared" si="6"/>
        <v>3.4694485661691858E-2</v>
      </c>
      <c r="AY140" s="15">
        <f t="shared" si="6"/>
        <v>3.9650840756219267E-2</v>
      </c>
      <c r="AZ140" s="15">
        <f t="shared" si="6"/>
        <v>4.4607195850746677E-2</v>
      </c>
      <c r="BA140" s="224">
        <f>BA139/$B$125</f>
        <v>4.9563550945274086E-2</v>
      </c>
      <c r="BB140" s="260">
        <f t="shared" ref="BB140:BF140" si="7">BB139/$B$125</f>
        <v>9.9127101890548172E-2</v>
      </c>
      <c r="BC140" s="223">
        <f t="shared" si="7"/>
        <v>0.19825420378109634</v>
      </c>
      <c r="BD140" s="223">
        <f t="shared" si="7"/>
        <v>0.39650840756219269</v>
      </c>
      <c r="BE140" s="223">
        <f t="shared" si="7"/>
        <v>0.79301681512438538</v>
      </c>
      <c r="BF140" s="178">
        <f t="shared" si="7"/>
        <v>1</v>
      </c>
      <c r="BG140" s="177">
        <f>BG139/$B$125</f>
        <v>1</v>
      </c>
      <c r="BH140" s="243">
        <f>B128</f>
        <v>7.0000000000000007E-2</v>
      </c>
      <c r="BI140" s="25"/>
      <c r="BJ140" s="25"/>
      <c r="BK140" s="69"/>
    </row>
    <row r="141" spans="1:63" x14ac:dyDescent="0.25">
      <c r="A141" s="41" t="s">
        <v>158</v>
      </c>
      <c r="B141" s="16"/>
      <c r="C141" s="16"/>
      <c r="D141" s="16"/>
      <c r="E141" s="16"/>
      <c r="F141" s="16"/>
      <c r="G141" s="16"/>
      <c r="H141" s="16"/>
      <c r="I141" s="16"/>
      <c r="J141" s="16"/>
      <c r="K141" s="16"/>
      <c r="L141" s="16"/>
      <c r="M141" s="16"/>
      <c r="N141" s="16"/>
      <c r="O141" s="16"/>
      <c r="P141" s="264">
        <f t="shared" ref="P141:Y141" si="8">MAX(P139-(P147-P148)-(P149-P150)-(P151-P152),0)</f>
        <v>25.558430925469978</v>
      </c>
      <c r="Q141" s="265">
        <f t="shared" si="8"/>
        <v>48.253729583441825</v>
      </c>
      <c r="R141" s="265">
        <f t="shared" si="8"/>
        <v>104.90319014596037</v>
      </c>
      <c r="S141" s="265">
        <f t="shared" si="8"/>
        <v>224.72190063694103</v>
      </c>
      <c r="T141" s="265">
        <f>MAX(T139-(T147-T148)-(T149-T150)-(T151-T152),0)</f>
        <v>468.16151942648673</v>
      </c>
      <c r="U141" s="265">
        <f t="shared" si="8"/>
        <v>955.08635794363818</v>
      </c>
      <c r="V141" s="265">
        <f>MAX(V139-(V147-V148)-(V149-V150)-(V151-V152),0)</f>
        <v>1950.8214285714287</v>
      </c>
      <c r="W141" s="265">
        <f t="shared" si="8"/>
        <v>3941.9387841598559</v>
      </c>
      <c r="X141" s="265">
        <f t="shared" si="8"/>
        <v>7899.3926009765419</v>
      </c>
      <c r="Y141" s="265">
        <f t="shared" si="8"/>
        <v>15815.828395301851</v>
      </c>
      <c r="Z141" s="265">
        <f>MAX(Z139-(Z147-Z148)-(Z149-Z150)-(Z151-Z152),0)</f>
        <v>31608.741071428572</v>
      </c>
      <c r="AA141" s="265">
        <f t="shared" ref="AA141:BA141" si="9">MAX(AA139-(AA147-AA148)-(AA149-AA150)-(AA151-AA152),0)</f>
        <v>63059.098214285717</v>
      </c>
      <c r="AB141" s="265">
        <f t="shared" si="9"/>
        <v>125994.22083273345</v>
      </c>
      <c r="AC141" s="265">
        <f t="shared" si="9"/>
        <v>247644.31677867728</v>
      </c>
      <c r="AD141" s="265">
        <f t="shared" si="9"/>
        <v>416172.14285714284</v>
      </c>
      <c r="AE141" s="265">
        <f t="shared" ref="AE141:AG141" si="10">MAX(AE139-(AE147-AE148)-(AE149-AE150)-(AE151-AE152),0)</f>
        <v>402226.56939406152</v>
      </c>
      <c r="AF141" s="265">
        <f t="shared" si="10"/>
        <v>399354.62073629722</v>
      </c>
      <c r="AG141" s="265">
        <f t="shared" si="10"/>
        <v>119097.53326256634</v>
      </c>
      <c r="AH141" s="265">
        <f t="shared" si="9"/>
        <v>413664.82197137375</v>
      </c>
      <c r="AI141" s="265">
        <f t="shared" ref="AI141:AK141" si="11">MAX(AI139-(AI147-AI148)-(AI149-AI150)-(AI151-AI152),0)</f>
        <v>438634.73884726927</v>
      </c>
      <c r="AJ141" s="265">
        <f t="shared" si="11"/>
        <v>438240.11792413273</v>
      </c>
      <c r="AK141" s="265">
        <f t="shared" si="11"/>
        <v>343726.58176960464</v>
      </c>
      <c r="AL141" s="265">
        <f t="shared" si="9"/>
        <v>399876.10502226697</v>
      </c>
      <c r="AM141" s="265">
        <f t="shared" ref="AM141:AP141" si="12">MAX(AM139-(AM147-AM148)-(AM149-AM150)-(AM151-AM152),0)</f>
        <v>90173.376495364326</v>
      </c>
      <c r="AN141" s="265">
        <f t="shared" si="12"/>
        <v>0</v>
      </c>
      <c r="AO141" s="265">
        <f t="shared" si="12"/>
        <v>0</v>
      </c>
      <c r="AP141" s="265">
        <f t="shared" si="12"/>
        <v>0</v>
      </c>
      <c r="AQ141" s="265">
        <f t="shared" si="9"/>
        <v>0</v>
      </c>
      <c r="AR141" s="265">
        <f t="shared" ref="AR141:AU141" si="13">MAX(AR139-(AR147-AR148)-(AR149-AR150)-(AR151-AR152),0)</f>
        <v>0</v>
      </c>
      <c r="AS141" s="265">
        <f t="shared" si="13"/>
        <v>0</v>
      </c>
      <c r="AT141" s="265">
        <f t="shared" si="13"/>
        <v>0</v>
      </c>
      <c r="AU141" s="265">
        <f t="shared" si="13"/>
        <v>0</v>
      </c>
      <c r="AV141" s="265">
        <f t="shared" si="9"/>
        <v>0</v>
      </c>
      <c r="AW141" s="265">
        <f t="shared" ref="AW141:AZ141" si="14">MAX(AW139-(AW147-AW148)-(AW149-AW150)-(AW151-AW152),0)</f>
        <v>0</v>
      </c>
      <c r="AX141" s="265">
        <f t="shared" si="14"/>
        <v>0</v>
      </c>
      <c r="AY141" s="265">
        <f t="shared" si="14"/>
        <v>0</v>
      </c>
      <c r="AZ141" s="265">
        <f t="shared" si="14"/>
        <v>0</v>
      </c>
      <c r="BA141" s="268">
        <f t="shared" si="9"/>
        <v>0</v>
      </c>
      <c r="BB141" s="240">
        <f t="shared" ref="BB141:BF141" si="15">MAX(BB139-(BB147-BB148)-(BB149-BB150)-(BB151-BB152),0)</f>
        <v>0</v>
      </c>
      <c r="BC141" s="199">
        <f t="shared" si="15"/>
        <v>0</v>
      </c>
      <c r="BD141" s="199">
        <f t="shared" si="15"/>
        <v>0</v>
      </c>
      <c r="BE141" s="199">
        <f t="shared" si="15"/>
        <v>0</v>
      </c>
      <c r="BF141" s="200">
        <f t="shared" si="15"/>
        <v>0</v>
      </c>
      <c r="BG141" s="199">
        <f>MAX(BG139-(BG147-BG148)-(BG149-BG150)-(BG151-BG152),0)</f>
        <v>0</v>
      </c>
      <c r="BH141" s="244"/>
      <c r="BI141" s="45"/>
      <c r="BJ141" s="45"/>
      <c r="BK141" s="69"/>
    </row>
    <row r="142" spans="1:63" x14ac:dyDescent="0.25">
      <c r="A142" s="41" t="s">
        <v>172</v>
      </c>
      <c r="B142" s="16"/>
      <c r="C142" s="16"/>
      <c r="D142" s="16"/>
      <c r="E142" s="16"/>
      <c r="F142" s="16"/>
      <c r="G142" s="16"/>
      <c r="H142" s="16"/>
      <c r="I142" s="16"/>
      <c r="J142" s="16"/>
      <c r="K142" s="16"/>
      <c r="L142" s="16"/>
      <c r="M142" s="16"/>
      <c r="N142" s="16"/>
      <c r="O142" s="16"/>
      <c r="P142" s="86">
        <f>MAX(P139-P141-P154,0)</f>
        <v>5.6915690745300225</v>
      </c>
      <c r="Q142" s="87">
        <f>MAX(Q139-Q141-Q154,0)</f>
        <v>14.246270416558175</v>
      </c>
      <c r="R142" s="87">
        <f t="shared" ref="R142:S142" si="16">MAX(R139-R141-R154,0)</f>
        <v>20.096809854039634</v>
      </c>
      <c r="S142" s="87">
        <f t="shared" si="16"/>
        <v>25.278099363058971</v>
      </c>
      <c r="T142" s="121">
        <f>MAX(T139-T141-T154,0)</f>
        <v>31.838480573513266</v>
      </c>
      <c r="U142" s="121">
        <f t="shared" ref="U142:BA142" si="17">MAX(U139-U141-U154,0)</f>
        <v>44.913642056361823</v>
      </c>
      <c r="V142" s="121">
        <f t="shared" si="17"/>
        <v>49.178571428571331</v>
      </c>
      <c r="W142" s="121">
        <f t="shared" si="17"/>
        <v>58.061215840144087</v>
      </c>
      <c r="X142" s="121">
        <f t="shared" si="17"/>
        <v>100.60739902345813</v>
      </c>
      <c r="Y142" s="121">
        <f t="shared" si="17"/>
        <v>184.17160469814917</v>
      </c>
      <c r="Z142" s="121">
        <f t="shared" si="17"/>
        <v>391.25892857142753</v>
      </c>
      <c r="AA142" s="121">
        <f t="shared" si="17"/>
        <v>940.9017857142826</v>
      </c>
      <c r="AB142" s="121">
        <f t="shared" si="17"/>
        <v>2003.851547559063</v>
      </c>
      <c r="AC142" s="121">
        <f t="shared" si="17"/>
        <v>8352.2629182486326</v>
      </c>
      <c r="AD142" s="121">
        <f t="shared" si="17"/>
        <v>95813.447150680789</v>
      </c>
      <c r="AE142" s="121">
        <f t="shared" ref="AE142:AG142" si="18">MAX(AE139-AE141-AE154,0)</f>
        <v>237709.54221308135</v>
      </c>
      <c r="AF142" s="121">
        <f t="shared" si="18"/>
        <v>368479.390091173</v>
      </c>
      <c r="AG142" s="121">
        <f t="shared" si="18"/>
        <v>776335.31666086696</v>
      </c>
      <c r="AH142" s="121">
        <f t="shared" si="17"/>
        <v>608245.46284532954</v>
      </c>
      <c r="AI142" s="121">
        <f t="shared" ref="AI142:AK142" si="19">MAX(AI139-AI141-AI154,0)</f>
        <v>829250.18292526691</v>
      </c>
      <c r="AJ142" s="121">
        <f t="shared" si="19"/>
        <v>1052628.9964012885</v>
      </c>
      <c r="AK142" s="121">
        <f t="shared" si="19"/>
        <v>1409832.7329613832</v>
      </c>
      <c r="AL142" s="121">
        <f t="shared" si="17"/>
        <v>1596868.820526083</v>
      </c>
      <c r="AM142" s="121">
        <f t="shared" ref="AM142:AP142" si="20">MAX(AM139-AM141-AM154,0)</f>
        <v>2286265.1392627405</v>
      </c>
      <c r="AN142" s="121">
        <f t="shared" si="20"/>
        <v>2688885.6543877074</v>
      </c>
      <c r="AO142" s="121">
        <f t="shared" si="20"/>
        <v>3129613.0113467374</v>
      </c>
      <c r="AP142" s="121">
        <f t="shared" si="20"/>
        <v>3547482.1203752947</v>
      </c>
      <c r="AQ142" s="121">
        <f t="shared" si="17"/>
        <v>3924924.1470007747</v>
      </c>
      <c r="AR142" s="121">
        <f t="shared" ref="AR142:AU142" si="21">MAX(AR139-AR141-AR154,0)</f>
        <v>4269049.3208233211</v>
      </c>
      <c r="AS142" s="121">
        <f t="shared" si="21"/>
        <v>5253172.3831793051</v>
      </c>
      <c r="AT142" s="121">
        <f t="shared" si="21"/>
        <v>6032536.4538666373</v>
      </c>
      <c r="AU142" s="121">
        <f t="shared" si="21"/>
        <v>6812017.7624944011</v>
      </c>
      <c r="AV142" s="121">
        <f t="shared" si="17"/>
        <v>7587882.2776966672</v>
      </c>
      <c r="AW142" s="121">
        <f t="shared" ref="AW142:AZ142" si="22">MAX(AW139-AW141-AW154,0)</f>
        <v>9180827.0263284855</v>
      </c>
      <c r="AX142" s="121">
        <f t="shared" si="22"/>
        <v>10860813.780326527</v>
      </c>
      <c r="AY142" s="121">
        <f t="shared" si="22"/>
        <v>12363140.139102884</v>
      </c>
      <c r="AZ142" s="121">
        <f t="shared" si="22"/>
        <v>13879054.875795119</v>
      </c>
      <c r="BA142" s="122">
        <f t="shared" si="17"/>
        <v>15398721.739312895</v>
      </c>
      <c r="BB142" s="261">
        <f>MAX(BB139-BB141-BB154,0)</f>
        <v>0</v>
      </c>
      <c r="BC142" s="213">
        <f>MAX(BC139-BC141-BC154,0)</f>
        <v>23308010.402674399</v>
      </c>
      <c r="BD142" s="213">
        <f t="shared" ref="BD142:BG142" si="23">MAX(BD139-BD141-BD154,0)</f>
        <v>83600839.613392889</v>
      </c>
      <c r="BE142" s="213">
        <f t="shared" si="23"/>
        <v>196665894.99307168</v>
      </c>
      <c r="BF142" s="214">
        <f t="shared" si="23"/>
        <v>229542895.48973525</v>
      </c>
      <c r="BG142" s="213">
        <f t="shared" si="23"/>
        <v>163735790.30985513</v>
      </c>
      <c r="BH142" s="245"/>
      <c r="BI142" s="25"/>
      <c r="BJ142" s="25"/>
      <c r="BK142" s="69"/>
    </row>
    <row r="143" spans="1:63" x14ac:dyDescent="0.25">
      <c r="A143" s="4" t="s">
        <v>165</v>
      </c>
      <c r="B143" s="9"/>
      <c r="C143" s="9"/>
      <c r="D143" s="9"/>
      <c r="E143" s="9"/>
      <c r="F143" s="9"/>
      <c r="G143" s="9"/>
      <c r="H143" s="9"/>
      <c r="I143" s="9"/>
      <c r="J143" s="9"/>
      <c r="K143" s="9"/>
      <c r="L143" s="9"/>
      <c r="M143" s="9"/>
      <c r="N143" s="9"/>
      <c r="O143" s="5"/>
      <c r="P143" s="197">
        <f t="shared" ref="P143:BC143" si="24">P139/$B$127</f>
        <v>260.41666666666669</v>
      </c>
      <c r="Q143" s="198">
        <f t="shared" si="24"/>
        <v>520.83333333333337</v>
      </c>
      <c r="R143" s="198">
        <f t="shared" si="24"/>
        <v>1041.6666666666667</v>
      </c>
      <c r="S143" s="198">
        <f t="shared" si="24"/>
        <v>2083.3333333333335</v>
      </c>
      <c r="T143" s="198">
        <f t="shared" si="24"/>
        <v>4166.666666666667</v>
      </c>
      <c r="U143" s="198">
        <f t="shared" si="24"/>
        <v>8333.3333333333339</v>
      </c>
      <c r="V143" s="198">
        <f t="shared" si="24"/>
        <v>16666.666666666668</v>
      </c>
      <c r="W143" s="198">
        <f t="shared" si="24"/>
        <v>33333.333333333336</v>
      </c>
      <c r="X143" s="198">
        <f t="shared" si="24"/>
        <v>66666.666666666672</v>
      </c>
      <c r="Y143" s="198">
        <f t="shared" si="24"/>
        <v>133333.33333333334</v>
      </c>
      <c r="Z143" s="198">
        <f t="shared" si="24"/>
        <v>266666.66666666669</v>
      </c>
      <c r="AA143" s="198">
        <f t="shared" si="24"/>
        <v>533333.33333333337</v>
      </c>
      <c r="AB143" s="198">
        <f t="shared" si="24"/>
        <v>1066666.6666666667</v>
      </c>
      <c r="AC143" s="198">
        <f t="shared" si="24"/>
        <v>2133333.3333333335</v>
      </c>
      <c r="AD143" s="198">
        <f t="shared" si="24"/>
        <v>4266666.666666667</v>
      </c>
      <c r="AE143" s="198">
        <f t="shared" ref="AE143:AG143" si="25">AE139/$B$127</f>
        <v>5333333.333333334</v>
      </c>
      <c r="AF143" s="198">
        <f t="shared" si="25"/>
        <v>6400000</v>
      </c>
      <c r="AG143" s="198">
        <f t="shared" si="25"/>
        <v>7466666.666666667</v>
      </c>
      <c r="AH143" s="198">
        <f t="shared" si="24"/>
        <v>8533333.333333334</v>
      </c>
      <c r="AI143" s="198">
        <f t="shared" ref="AI143:AK143" si="26">AI139/$B$127</f>
        <v>10666666.666666668</v>
      </c>
      <c r="AJ143" s="198">
        <f t="shared" si="26"/>
        <v>12800000</v>
      </c>
      <c r="AK143" s="198">
        <f t="shared" si="26"/>
        <v>14933333.333333334</v>
      </c>
      <c r="AL143" s="198">
        <f t="shared" si="24"/>
        <v>17066666.666666668</v>
      </c>
      <c r="AM143" s="198">
        <f t="shared" ref="AM143:AP143" si="27">AM139/$B$127</f>
        <v>20480000</v>
      </c>
      <c r="AN143" s="198">
        <f t="shared" si="27"/>
        <v>23893333.333333336</v>
      </c>
      <c r="AO143" s="198">
        <f t="shared" si="27"/>
        <v>27306666.666666668</v>
      </c>
      <c r="AP143" s="198">
        <f t="shared" si="27"/>
        <v>30720000</v>
      </c>
      <c r="AQ143" s="198">
        <f t="shared" si="24"/>
        <v>34133333.333333336</v>
      </c>
      <c r="AR143" s="198">
        <f t="shared" ref="AR143:AU143" si="28">AR139/$B$127</f>
        <v>40960000</v>
      </c>
      <c r="AS143" s="198">
        <f t="shared" si="28"/>
        <v>47786666.666666672</v>
      </c>
      <c r="AT143" s="198">
        <f t="shared" si="28"/>
        <v>54613333.333333336</v>
      </c>
      <c r="AU143" s="198">
        <f t="shared" si="28"/>
        <v>61440000</v>
      </c>
      <c r="AV143" s="198">
        <f t="shared" si="24"/>
        <v>68266666.666666672</v>
      </c>
      <c r="AW143" s="198">
        <f t="shared" ref="AW143:AZ143" si="29">AW139/$B$127</f>
        <v>81920000</v>
      </c>
      <c r="AX143" s="198">
        <f t="shared" si="29"/>
        <v>95573333.333333343</v>
      </c>
      <c r="AY143" s="198">
        <f t="shared" si="29"/>
        <v>109226666.66666667</v>
      </c>
      <c r="AZ143" s="198">
        <f t="shared" si="29"/>
        <v>122880000</v>
      </c>
      <c r="BA143" s="198">
        <f t="shared" si="24"/>
        <v>136533333.33333334</v>
      </c>
      <c r="BB143" s="238">
        <f t="shared" si="24"/>
        <v>273066666.66666669</v>
      </c>
      <c r="BC143" s="208">
        <f t="shared" si="24"/>
        <v>546133333.33333337</v>
      </c>
      <c r="BD143" s="208">
        <f>$B$125</f>
        <v>330565500</v>
      </c>
      <c r="BE143" s="208">
        <f t="shared" ref="BE143:BF143" si="30">$B$125</f>
        <v>330565500</v>
      </c>
      <c r="BF143" s="209">
        <f t="shared" si="30"/>
        <v>330565500</v>
      </c>
      <c r="BG143" s="199">
        <f>BG139</f>
        <v>330565500</v>
      </c>
      <c r="BH143" s="244">
        <f>($B$125*$B$128)/$B$127</f>
        <v>192829875.00000003</v>
      </c>
      <c r="BI143" s="25"/>
      <c r="BJ143" s="25"/>
      <c r="BK143" s="69"/>
    </row>
    <row r="144" spans="1:63" x14ac:dyDescent="0.25">
      <c r="A144" s="41" t="s">
        <v>112</v>
      </c>
      <c r="B144" s="16"/>
      <c r="C144" s="16"/>
      <c r="D144" s="16"/>
      <c r="E144" s="16"/>
      <c r="F144" s="16"/>
      <c r="G144" s="16"/>
      <c r="H144" s="16"/>
      <c r="I144" s="16"/>
      <c r="J144" s="16"/>
      <c r="K144" s="16"/>
      <c r="L144" s="16"/>
      <c r="M144" s="16"/>
      <c r="N144" s="16"/>
      <c r="O144" s="17"/>
      <c r="P144" s="195">
        <f>P143/$B$125</f>
        <v>7.8779142610667684E-7</v>
      </c>
      <c r="Q144" s="196">
        <f t="shared" ref="Q144:AV144" si="31">Q143/$B$125</f>
        <v>1.5755828522133537E-6</v>
      </c>
      <c r="R144" s="196">
        <f t="shared" si="31"/>
        <v>3.1511657044267074E-6</v>
      </c>
      <c r="S144" s="66">
        <f t="shared" si="31"/>
        <v>6.3023314088534147E-6</v>
      </c>
      <c r="T144" s="66">
        <f t="shared" si="31"/>
        <v>1.2604662817706829E-5</v>
      </c>
      <c r="U144" s="66">
        <f t="shared" si="31"/>
        <v>2.5209325635413659E-5</v>
      </c>
      <c r="V144" s="66">
        <f t="shared" si="31"/>
        <v>5.0418651270827318E-5</v>
      </c>
      <c r="W144" s="66">
        <f t="shared" si="31"/>
        <v>1.0083730254165464E-4</v>
      </c>
      <c r="X144" s="36">
        <f t="shared" si="31"/>
        <v>2.0167460508330927E-4</v>
      </c>
      <c r="Y144" s="36">
        <f t="shared" si="31"/>
        <v>4.0334921016661854E-4</v>
      </c>
      <c r="Z144" s="36">
        <f t="shared" si="31"/>
        <v>8.0669842033323708E-4</v>
      </c>
      <c r="AA144" s="36">
        <f t="shared" si="31"/>
        <v>1.6133968406664742E-3</v>
      </c>
      <c r="AB144" s="14">
        <f t="shared" si="31"/>
        <v>3.2267936813329483E-3</v>
      </c>
      <c r="AC144" s="15">
        <f t="shared" si="31"/>
        <v>6.4535873626658967E-3</v>
      </c>
      <c r="AD144" s="15">
        <f t="shared" si="31"/>
        <v>1.2907174725331793E-2</v>
      </c>
      <c r="AE144" s="15">
        <f t="shared" ref="AE144:AG144" si="32">AE143/$B$125</f>
        <v>1.6133968406664742E-2</v>
      </c>
      <c r="AF144" s="15">
        <f t="shared" si="32"/>
        <v>1.9360762087997689E-2</v>
      </c>
      <c r="AG144" s="15">
        <f t="shared" si="32"/>
        <v>2.258755576933064E-2</v>
      </c>
      <c r="AH144" s="15">
        <f t="shared" si="31"/>
        <v>2.5814349450663587E-2</v>
      </c>
      <c r="AI144" s="15">
        <f t="shared" ref="AI144:AK144" si="33">AI143/$B$125</f>
        <v>3.2267936813329484E-2</v>
      </c>
      <c r="AJ144" s="15">
        <f t="shared" si="33"/>
        <v>3.8721524175995378E-2</v>
      </c>
      <c r="AK144" s="15">
        <f t="shared" si="33"/>
        <v>4.5175111538661279E-2</v>
      </c>
      <c r="AL144" s="15">
        <f t="shared" si="31"/>
        <v>5.1628698901327173E-2</v>
      </c>
      <c r="AM144" s="15">
        <f t="shared" ref="AM144:AP144" si="34">AM143/$B$125</f>
        <v>6.1954438681592602E-2</v>
      </c>
      <c r="AN144" s="15">
        <f t="shared" si="34"/>
        <v>7.2280178461858052E-2</v>
      </c>
      <c r="AO144" s="15">
        <f t="shared" si="34"/>
        <v>8.2605918242123474E-2</v>
      </c>
      <c r="AP144" s="15">
        <f t="shared" si="34"/>
        <v>9.293165802238891E-2</v>
      </c>
      <c r="AQ144" s="15">
        <f t="shared" si="31"/>
        <v>0.10325739780265435</v>
      </c>
      <c r="AR144" s="75">
        <f t="shared" ref="AR144:AU144" si="35">AR143/$B$125</f>
        <v>0.1239088773631852</v>
      </c>
      <c r="AS144" s="75">
        <f t="shared" si="35"/>
        <v>0.1445603569237161</v>
      </c>
      <c r="AT144" s="75">
        <f t="shared" si="35"/>
        <v>0.16521183648424695</v>
      </c>
      <c r="AU144" s="75">
        <f t="shared" si="35"/>
        <v>0.18586331604477782</v>
      </c>
      <c r="AV144" s="75">
        <f t="shared" si="31"/>
        <v>0.20651479560530869</v>
      </c>
      <c r="AW144" s="75">
        <f t="shared" ref="AW144:AZ144" si="36">AW143/$B$125</f>
        <v>0.24781775472637041</v>
      </c>
      <c r="AX144" s="75">
        <f t="shared" si="36"/>
        <v>0.28912071384743221</v>
      </c>
      <c r="AY144" s="75">
        <f t="shared" si="36"/>
        <v>0.3304236729684939</v>
      </c>
      <c r="AZ144" s="75">
        <f t="shared" si="36"/>
        <v>0.37172663208955564</v>
      </c>
      <c r="BA144" s="75">
        <f>BA143/$B$125</f>
        <v>0.41302959121061739</v>
      </c>
      <c r="BB144" s="239">
        <f t="shared" ref="BB144:BF144" si="37">BB143/$B$125</f>
        <v>0.82605918242123477</v>
      </c>
      <c r="BC144" s="177">
        <f t="shared" si="37"/>
        <v>1.6521183648424695</v>
      </c>
      <c r="BD144" s="177">
        <f t="shared" si="37"/>
        <v>1</v>
      </c>
      <c r="BE144" s="177">
        <f t="shared" si="37"/>
        <v>1</v>
      </c>
      <c r="BF144" s="178">
        <f t="shared" si="37"/>
        <v>1</v>
      </c>
      <c r="BG144" s="177">
        <v>1</v>
      </c>
      <c r="BH144" s="243">
        <f>BH143/B125</f>
        <v>0.58333333333333337</v>
      </c>
      <c r="BI144" s="25"/>
      <c r="BJ144" s="25"/>
      <c r="BK144" s="69"/>
    </row>
    <row r="145" spans="1:63" x14ac:dyDescent="0.25">
      <c r="A145" s="41" t="s">
        <v>163</v>
      </c>
      <c r="B145" s="16"/>
      <c r="C145" s="16"/>
      <c r="D145" s="16"/>
      <c r="E145" s="16"/>
      <c r="F145" s="16"/>
      <c r="G145" s="16"/>
      <c r="H145" s="16"/>
      <c r="I145" s="16"/>
      <c r="J145" s="16"/>
      <c r="K145" s="16"/>
      <c r="L145" s="16"/>
      <c r="M145" s="16"/>
      <c r="N145" s="16"/>
      <c r="O145" s="17"/>
      <c r="P145" s="197">
        <f>P143-P139</f>
        <v>229.16666666666669</v>
      </c>
      <c r="Q145" s="198">
        <f t="shared" ref="Q145:AU145" si="38">Q143-Q139</f>
        <v>458.33333333333337</v>
      </c>
      <c r="R145" s="198">
        <f t="shared" si="38"/>
        <v>916.66666666666674</v>
      </c>
      <c r="S145" s="198">
        <f t="shared" si="38"/>
        <v>1833.3333333333335</v>
      </c>
      <c r="T145" s="198">
        <f>T143-T139</f>
        <v>3666.666666666667</v>
      </c>
      <c r="U145" s="198">
        <f t="shared" si="38"/>
        <v>7333.3333333333339</v>
      </c>
      <c r="V145" s="198">
        <f t="shared" si="38"/>
        <v>14666.666666666668</v>
      </c>
      <c r="W145" s="198">
        <f t="shared" si="38"/>
        <v>29333.333333333336</v>
      </c>
      <c r="X145" s="198">
        <f t="shared" si="38"/>
        <v>58666.666666666672</v>
      </c>
      <c r="Y145" s="198">
        <f t="shared" si="38"/>
        <v>117333.33333333334</v>
      </c>
      <c r="Z145" s="198">
        <f t="shared" si="38"/>
        <v>234666.66666666669</v>
      </c>
      <c r="AA145" s="198">
        <f t="shared" si="38"/>
        <v>469333.33333333337</v>
      </c>
      <c r="AB145" s="198">
        <f t="shared" si="38"/>
        <v>938666.66666666674</v>
      </c>
      <c r="AC145" s="198">
        <f t="shared" si="38"/>
        <v>1877333.3333333335</v>
      </c>
      <c r="AD145" s="198">
        <f t="shared" si="38"/>
        <v>3754666.666666667</v>
      </c>
      <c r="AE145" s="198">
        <f t="shared" ref="AE145:AG145" si="39">AE143-AE139</f>
        <v>4693333.333333334</v>
      </c>
      <c r="AF145" s="198">
        <f t="shared" si="39"/>
        <v>5632000</v>
      </c>
      <c r="AG145" s="198">
        <f t="shared" si="39"/>
        <v>6570666.666666667</v>
      </c>
      <c r="AH145" s="198">
        <f t="shared" si="38"/>
        <v>7509333.333333334</v>
      </c>
      <c r="AI145" s="198">
        <f t="shared" ref="AI145:AK145" si="40">AI143-AI139</f>
        <v>9386666.6666666679</v>
      </c>
      <c r="AJ145" s="198">
        <f t="shared" si="40"/>
        <v>11264000</v>
      </c>
      <c r="AK145" s="198">
        <f t="shared" si="40"/>
        <v>13141333.333333334</v>
      </c>
      <c r="AL145" s="198">
        <f t="shared" si="38"/>
        <v>15018666.666666668</v>
      </c>
      <c r="AM145" s="198">
        <f t="shared" ref="AM145:AP145" si="41">AM143-AM139</f>
        <v>18022400</v>
      </c>
      <c r="AN145" s="198">
        <f t="shared" si="41"/>
        <v>21026133.333333336</v>
      </c>
      <c r="AO145" s="198">
        <f t="shared" si="41"/>
        <v>24029866.666666668</v>
      </c>
      <c r="AP145" s="198">
        <f t="shared" si="41"/>
        <v>27033600</v>
      </c>
      <c r="AQ145" s="198">
        <f t="shared" si="38"/>
        <v>30037333.333333336</v>
      </c>
      <c r="AR145" s="198">
        <f t="shared" si="38"/>
        <v>36044800</v>
      </c>
      <c r="AS145" s="198">
        <f t="shared" si="38"/>
        <v>42052266.666666672</v>
      </c>
      <c r="AT145" s="198">
        <f t="shared" si="38"/>
        <v>48059733.333333336</v>
      </c>
      <c r="AU145" s="198">
        <f t="shared" si="38"/>
        <v>54067200</v>
      </c>
      <c r="AV145" s="198">
        <f>AV143-AV139</f>
        <v>60074666.666666672</v>
      </c>
      <c r="AW145" s="198">
        <f t="shared" ref="AW145:AZ145" si="42">AW143-AW139</f>
        <v>72089600</v>
      </c>
      <c r="AX145" s="198">
        <f t="shared" si="42"/>
        <v>84104533.333333343</v>
      </c>
      <c r="AY145" s="198">
        <f t="shared" si="42"/>
        <v>96119466.666666672</v>
      </c>
      <c r="AZ145" s="198">
        <f t="shared" si="42"/>
        <v>108134400</v>
      </c>
      <c r="BA145" s="198">
        <f>BA143-BA139</f>
        <v>120149333.33333334</v>
      </c>
      <c r="BB145" s="240">
        <f>BB143-BB139</f>
        <v>240298666.66666669</v>
      </c>
      <c r="BC145" s="199">
        <f t="shared" ref="BC145:BF145" si="43">BC143</f>
        <v>546133333.33333337</v>
      </c>
      <c r="BD145" s="199">
        <f t="shared" si="43"/>
        <v>330565500</v>
      </c>
      <c r="BE145" s="199">
        <f t="shared" si="43"/>
        <v>330565500</v>
      </c>
      <c r="BF145" s="200">
        <f t="shared" si="43"/>
        <v>330565500</v>
      </c>
      <c r="BG145" s="199">
        <f>BG143</f>
        <v>330565500</v>
      </c>
      <c r="BH145" s="246">
        <f>BH143-BH139</f>
        <v>169690290.00000003</v>
      </c>
      <c r="BI145" s="25"/>
      <c r="BJ145" s="25"/>
      <c r="BK145" s="69"/>
    </row>
    <row r="146" spans="1:63" x14ac:dyDescent="0.25">
      <c r="A146" s="37" t="s">
        <v>164</v>
      </c>
      <c r="B146" s="39"/>
      <c r="C146" s="39"/>
      <c r="D146" s="39"/>
      <c r="E146" s="39"/>
      <c r="F146" s="39"/>
      <c r="G146" s="39"/>
      <c r="H146" s="39"/>
      <c r="I146" s="39"/>
      <c r="J146" s="39"/>
      <c r="K146" s="39"/>
      <c r="L146" s="39"/>
      <c r="M146" s="39"/>
      <c r="N146" s="39"/>
      <c r="O146" s="63"/>
      <c r="P146" s="206">
        <f>MIN((1/$B$127)*(2^(((P138 - 14) - $B$135)/$P$164)),P145)</f>
        <v>58.555237392284177</v>
      </c>
      <c r="Q146" s="207">
        <f>MIN((1/$B$127)*(2^(((Q138 - 14) - $B$135)/$P$164)),Q145)</f>
        <v>146.56656807158615</v>
      </c>
      <c r="R146" s="207">
        <f>MIN((1/$B$127)*(2^(((R138 - 14) - $B$135)/$P$164)),R145)</f>
        <v>206.75730302509908</v>
      </c>
      <c r="S146" s="207">
        <f>MIN((1/$B$127)*(2^(((S138 - 14) - $B$135)/$P$164)),S145)</f>
        <v>260.06275064875484</v>
      </c>
      <c r="T146" s="198">
        <f>MIN(($P$139/$B$127)*(2^(((T138 - 14) - $P$138)/HLOOKUP((T138-14)-$B$135,$P$162:$BH$164,3,TRUE))),T145)</f>
        <v>327.55638450116504</v>
      </c>
      <c r="U146" s="198">
        <f>MIN(($P$139/$B$127)*(2^(((U138 - 14) - $P$138)/HLOOKUP((U138-14)-$B$135,$P$162:$BH$164,3,TRUE))),U145)</f>
        <v>462.07450675269331</v>
      </c>
      <c r="V146" s="198">
        <f>MIN(($P$139/$B$127)*(2^(((V138 - 14) - $P$138)/HLOOKUP((V138-14)-$B$135,$P$162:$BH$164,3,TRUE))),V145)</f>
        <v>505.95238095238091</v>
      </c>
      <c r="W146" s="198">
        <f>MIN(($P$139/$B$127)*(2^(((W138 - 14) - $P$138)/HLOOKUP((W138-14)-$B$135,$P$162:$BH$164,3,TRUE))),W145)</f>
        <v>597.33761152411716</v>
      </c>
      <c r="X146" s="198">
        <f>MIN(($P$139/$B$127)*(2^(((X138 - 14) - $P$138)/HLOOKUP((X138-14)-$B$135,$P$162:$BH$164,3,TRUE))),X145)</f>
        <v>1035.0555455088277</v>
      </c>
      <c r="Y146" s="198">
        <f>MIN(($P$139/$B$127)*(2^(((Y138 - 14) - $P$138)/HLOOKUP((Y138-14)-$B$135,$P$162:$BH$164,3,TRUE))),Y145)</f>
        <v>1894.7695956599703</v>
      </c>
      <c r="Z146" s="198">
        <f>MIN(($P$139/$B$127)*(2^(((Z138 - 14) - $P$138)/HLOOKUP((Z138-14)-$B$135,$P$162:$BH$164,3,TRUE))),Z145)</f>
        <v>4025.2976190476184</v>
      </c>
      <c r="AA146" s="198">
        <f>MIN(($P$139/$B$127)*(2^(((AA138 - 14) - $P$138)/HLOOKUP((AA138-14)-$B$135,$P$162:$BH$164,3,TRUE))),AA145)</f>
        <v>9680.0595238095229</v>
      </c>
      <c r="AB146" s="198">
        <f>MIN(($P$139/$B$127)*(2^(((AB138 - 14) - $P$138)/HLOOKUP((AB138-14)-$B$135,$P$162:$BH$164,3,TRUE))),AB145)</f>
        <v>20617.559523809519</v>
      </c>
      <c r="AC146" s="198">
        <f>MIN(($P$139/$B$127)*(2^(((AC138 - 14) - $P$138)/HLOOKUP((AC138-14)-$B$135,$P$162:$BH$164,3,TRUE))),AC145)</f>
        <v>85931.829782836779</v>
      </c>
      <c r="AD146" s="198">
        <f>MIN(($P$139/$B$127)*(2^(((AD138 - 14) - $P$138)/HLOOKUP((AD138-14)-$B$135,$P$162:$BH$164,3,TRUE))),AD145)</f>
        <v>928482.14285714307</v>
      </c>
      <c r="AE146" s="198">
        <f>MIN(($P$139/$B$127)*(2^(((AE138 - 14) - $P$138)/HLOOKUP((AE138-14)-$B$135,$P$162:$BH$164,3,TRUE))),AE145)</f>
        <v>2303837.6131082745</v>
      </c>
      <c r="AF146" s="198">
        <f>MIN(($P$139/$B$127)*(2^(((AF138 - 14) - $P$138)/HLOOKUP((AF138-14)-$B$135,$P$162:$BH$164,3,TRUE))),AF145)</f>
        <v>3571489.8668963448</v>
      </c>
      <c r="AG146" s="198">
        <f>MIN(($P$139/$B$127)*(2^(((AG138 - 14) - $P$138)/HLOOKUP((AG138-14)-$B$135,$P$162:$BH$164,3,TRUE))),AG145)</f>
        <v>6570666.666666667</v>
      </c>
      <c r="AH146" s="198">
        <f>MIN(($P$139/$B$127)*(2^(((AH138 - 14) - $P$138)/HLOOKUP((AH138-14)-$B$135,$P$162:$BH$164,3,TRUE))),AH145)</f>
        <v>5908524.0119052939</v>
      </c>
      <c r="AI146" s="198">
        <f>MIN(($P$139/$B$127)*(2^(((AI138 - 14) - $P$138)/HLOOKUP((AI138-14)-$B$135,$P$162:$BH$164,3,TRUE))),AI145)</f>
        <v>8087947.7706820676</v>
      </c>
      <c r="AJ146" s="198">
        <f>MIN(($P$139/$B$127)*(2^(((AJ138 - 14) - $P$138)/HLOOKUP((AJ138-14)-$B$135,$P$162:$BH$164,3,TRUE))),AJ145)</f>
        <v>10262164.827283414</v>
      </c>
      <c r="AK146" s="198">
        <f>MIN(($P$139/$B$127)*(2^(((AK138 - 14) - $P$138)/HLOOKUP((AK138-14)-$B$135,$P$162:$BH$164,3,TRUE))),AK145)</f>
        <v>12651407.982151303</v>
      </c>
      <c r="AL146" s="198">
        <f>MIN(($P$139/$B$127)*(2^(((AL138 - 14) - $P$138)/HLOOKUP((AL138-14)-$B$135,$P$162:$BH$164,3,TRUE))),AL145)</f>
        <v>14832670.233356727</v>
      </c>
      <c r="AM146" s="198">
        <f>MIN(($P$139/$B$127)*(2^(((AM138 - 14) - $P$138)/HLOOKUP((AM138-14)-$B$135,$P$162:$BH$164,3,TRUE))),AM145)</f>
        <v>18022400</v>
      </c>
      <c r="AN146" s="198">
        <f>MIN(($P$139/$B$127)*(2^(((AN138 - 14) - $P$138)/HLOOKUP((AN138-14)-$B$135,$P$162:$BH$164,3,TRUE))),AN145)</f>
        <v>21026133.333333336</v>
      </c>
      <c r="AO146" s="198">
        <f>MIN(($P$139/$B$127)*(2^(((AO138 - 14) - $P$138)/HLOOKUP((AO138-14)-$B$135,$P$162:$BH$164,3,TRUE))),AO145)</f>
        <v>24029866.666666668</v>
      </c>
      <c r="AP146" s="198">
        <f>MIN(($P$139/$B$127)*(2^(((AP138 - 14) - $P$138)/HLOOKUP((AP138-14)-$B$135,$P$162:$BH$164,3,TRUE))),AP145)</f>
        <v>27033600</v>
      </c>
      <c r="AQ146" s="198">
        <f>MIN(($P$139/$B$127)*(2^(((AQ138 - 14) - $P$138)/HLOOKUP((AQ138-14)-$B$135,$P$162:$BH$164,3,TRUE))),AQ145)</f>
        <v>30037333.333333336</v>
      </c>
      <c r="AR146" s="198">
        <f>MIN(($P$139/$B$127)*(2^(((AR138 - 14) - $P$138)/HLOOKUP((AR138-14)-$B$135,$P$162:$BH$164,3,TRUE))),AR145)</f>
        <v>36044800</v>
      </c>
      <c r="AS146" s="198">
        <f>MIN(($P$139/$B$127)*(2^(((AS138 - 14) - $P$138)/HLOOKUP((AS138-14)-$B$135,$P$162:$BH$164,3,TRUE))),AS145)</f>
        <v>42052266.666666672</v>
      </c>
      <c r="AT146" s="198">
        <f>MIN(($P$139/$B$127)*(2^(((AT138 - 14) - $P$138)/HLOOKUP((AT138-14)-$B$135,$P$162:$BH$164,3,TRUE))),AT145)</f>
        <v>48059733.333333336</v>
      </c>
      <c r="AU146" s="198">
        <f>MIN(($P$139/$B$127)*(2^(((AU138 - 14) - $P$138)/HLOOKUP((AU138-14)-$B$135,$P$162:$BH$164,3,TRUE))),AU145)</f>
        <v>54067200</v>
      </c>
      <c r="AV146" s="198">
        <f>MIN(($P$139/$B$127)*(2^(((AV138 - 14) - $P$138)/HLOOKUP((AV138-14)-$B$135,$P$162:$BH$164,3,TRUE))),AV145)</f>
        <v>60074666.666666672</v>
      </c>
      <c r="AW146" s="198">
        <f t="shared" ref="AW146:AZ146" si="44">MIN(($P$139/$B$127)*(2^(((AW138 - 14) - $P$138)/HLOOKUP((AW138-14)-$B$135,$P$162:$BH$164,3,TRUE))),AW145)</f>
        <v>72089600</v>
      </c>
      <c r="AX146" s="198">
        <f t="shared" si="44"/>
        <v>84104533.333333343</v>
      </c>
      <c r="AY146" s="198">
        <f t="shared" si="44"/>
        <v>96119466.666666672</v>
      </c>
      <c r="AZ146" s="198">
        <f t="shared" si="44"/>
        <v>108134400</v>
      </c>
      <c r="BA146" s="198">
        <f>MIN(($P$139/$B$127)*(2^(((BA138 - 14) - $P$138)/HLOOKUP((BA138-14)-$B$135,$P$162:$BH$164,3,TRUE))),BA145)</f>
        <v>120149333.33333334</v>
      </c>
      <c r="BB146" s="241">
        <f>MIN(($P$139/$B$127)*(2^(((BB138 - 14) - $P$138)/HLOOKUP((BB138-14)-$B$135,$P$162:$BH$164,3,TRUE))),BB145)</f>
        <v>240298666.66666669</v>
      </c>
      <c r="BC146" s="203">
        <f>MIN(($P$139/$B$127)*(2^(((BC138 - 14) - $P$138)/HLOOKUP((BC138-14)-$B$135,$P$162:$BH$164,3,TRUE))),BC145)</f>
        <v>546133333.33333337</v>
      </c>
      <c r="BD146" s="203">
        <f>MIN(($P$139/$B$127)*(2^(((BD138 - 14) - $P$138)/HLOOKUP((BD138-14)-$B$135,$P$162:$BH$164,3,TRUE))),BD145)</f>
        <v>330565500</v>
      </c>
      <c r="BE146" s="203">
        <f>MIN(($P$139/$B$127)*(2^(((BE138 - 14) - $P$138)/HLOOKUP((BE138-14)-$B$135,$P$162:$BH$164,3,TRUE))),BE145)</f>
        <v>330565500</v>
      </c>
      <c r="BF146" s="204">
        <f>MIN(($P$139/$B$127)*(2^(((BF138 - 14) - $P$138)/HLOOKUP((BF138-14)-$B$135,$P$162:$BH$164,3,TRUE))),BF145)</f>
        <v>330565500</v>
      </c>
      <c r="BG146" s="203">
        <f>MIN(($P$139/$B$127)*(2^(((BG138 - 14) - $P$138)/HLOOKUP((BG138-14)-$B$135,$P$162:$BH$164,3,TRUE))),BG145)</f>
        <v>330565500</v>
      </c>
      <c r="BH146" s="246"/>
      <c r="BI146" s="25"/>
      <c r="BJ146" s="25"/>
      <c r="BK146" s="69"/>
    </row>
    <row r="147" spans="1:63" x14ac:dyDescent="0.25">
      <c r="A147" s="41" t="s">
        <v>161</v>
      </c>
      <c r="B147" s="16"/>
      <c r="C147" s="16"/>
      <c r="D147" s="16"/>
      <c r="E147" s="16"/>
      <c r="F147" s="16"/>
      <c r="G147" s="16"/>
      <c r="H147" s="16"/>
      <c r="I147" s="16"/>
      <c r="J147" s="16"/>
      <c r="K147" s="16"/>
      <c r="L147" s="16"/>
      <c r="M147" s="16"/>
      <c r="N147" s="16"/>
      <c r="O147" s="16"/>
      <c r="P147" s="215">
        <f t="shared" ref="P147:BG147" si="45">P139*$B$131</f>
        <v>25.3125</v>
      </c>
      <c r="Q147" s="216">
        <f t="shared" si="45"/>
        <v>50.625</v>
      </c>
      <c r="R147" s="216">
        <f t="shared" si="45"/>
        <v>101.25</v>
      </c>
      <c r="S147" s="216">
        <f t="shared" si="45"/>
        <v>202.5</v>
      </c>
      <c r="T147" s="216">
        <f t="shared" si="45"/>
        <v>405</v>
      </c>
      <c r="U147" s="216">
        <f t="shared" si="45"/>
        <v>810</v>
      </c>
      <c r="V147" s="216">
        <f t="shared" si="45"/>
        <v>1620</v>
      </c>
      <c r="W147" s="216">
        <f t="shared" si="45"/>
        <v>3240</v>
      </c>
      <c r="X147" s="216">
        <f t="shared" si="45"/>
        <v>6480</v>
      </c>
      <c r="Y147" s="216">
        <f t="shared" si="45"/>
        <v>12960</v>
      </c>
      <c r="Z147" s="216">
        <f t="shared" si="45"/>
        <v>25920</v>
      </c>
      <c r="AA147" s="216">
        <f t="shared" si="45"/>
        <v>51840</v>
      </c>
      <c r="AB147" s="216">
        <f t="shared" si="45"/>
        <v>103680</v>
      </c>
      <c r="AC147" s="216">
        <f t="shared" si="45"/>
        <v>207360</v>
      </c>
      <c r="AD147" s="216">
        <f t="shared" si="45"/>
        <v>414720</v>
      </c>
      <c r="AE147" s="216">
        <f t="shared" ref="AE147:AG147" si="46">AE139*$B$131</f>
        <v>518400.00000000006</v>
      </c>
      <c r="AF147" s="216">
        <f t="shared" si="46"/>
        <v>622080</v>
      </c>
      <c r="AG147" s="216">
        <f t="shared" si="46"/>
        <v>725760</v>
      </c>
      <c r="AH147" s="216">
        <f t="shared" si="45"/>
        <v>829440</v>
      </c>
      <c r="AI147" s="216">
        <f t="shared" ref="AI147:AK147" si="47">AI139*$B$131</f>
        <v>1036800.0000000001</v>
      </c>
      <c r="AJ147" s="216">
        <f t="shared" si="47"/>
        <v>1244160</v>
      </c>
      <c r="AK147" s="216">
        <f t="shared" si="47"/>
        <v>1451520</v>
      </c>
      <c r="AL147" s="216">
        <f t="shared" si="45"/>
        <v>1658880</v>
      </c>
      <c r="AM147" s="216">
        <f t="shared" ref="AM147:AP147" si="48">AM139*$B$131</f>
        <v>1990656.0000000002</v>
      </c>
      <c r="AN147" s="216">
        <f t="shared" si="48"/>
        <v>2322432</v>
      </c>
      <c r="AO147" s="216">
        <f t="shared" si="48"/>
        <v>2654208</v>
      </c>
      <c r="AP147" s="216">
        <f t="shared" si="48"/>
        <v>2985984</v>
      </c>
      <c r="AQ147" s="216">
        <f t="shared" si="45"/>
        <v>3317760</v>
      </c>
      <c r="AR147" s="216">
        <f t="shared" ref="AR147:AU147" si="49">AR139*$B$131</f>
        <v>3981312.0000000005</v>
      </c>
      <c r="AS147" s="216">
        <f t="shared" si="49"/>
        <v>4644864</v>
      </c>
      <c r="AT147" s="216">
        <f t="shared" si="49"/>
        <v>5308416</v>
      </c>
      <c r="AU147" s="216">
        <f t="shared" si="49"/>
        <v>5971968</v>
      </c>
      <c r="AV147" s="216">
        <f t="shared" si="45"/>
        <v>6635520</v>
      </c>
      <c r="AW147" s="216">
        <f t="shared" ref="AW147:AZ147" si="50">AW139*$B$131</f>
        <v>7962624.0000000009</v>
      </c>
      <c r="AX147" s="216">
        <f t="shared" si="50"/>
        <v>9289728</v>
      </c>
      <c r="AY147" s="216">
        <f t="shared" si="50"/>
        <v>10616832</v>
      </c>
      <c r="AZ147" s="216">
        <f t="shared" si="50"/>
        <v>11943936</v>
      </c>
      <c r="BA147" s="216">
        <f t="shared" si="45"/>
        <v>13271040</v>
      </c>
      <c r="BB147" s="238">
        <f t="shared" ref="BB147:BF147" si="51">BB139*$B$131</f>
        <v>26542080</v>
      </c>
      <c r="BC147" s="208">
        <f t="shared" si="51"/>
        <v>53084160</v>
      </c>
      <c r="BD147" s="208">
        <f t="shared" si="51"/>
        <v>106168320</v>
      </c>
      <c r="BE147" s="208">
        <f t="shared" si="51"/>
        <v>212336640</v>
      </c>
      <c r="BF147" s="209">
        <f t="shared" si="51"/>
        <v>267758055.00000003</v>
      </c>
      <c r="BG147" s="199">
        <f t="shared" si="45"/>
        <v>267758055.00000003</v>
      </c>
      <c r="BH147" s="246">
        <f>BH139*B131</f>
        <v>18743063.850000005</v>
      </c>
      <c r="BI147" s="25"/>
      <c r="BJ147" s="25"/>
      <c r="BK147" s="69"/>
    </row>
    <row r="148" spans="1:63" x14ac:dyDescent="0.25">
      <c r="A148" s="41" t="s">
        <v>173</v>
      </c>
      <c r="B148" s="16"/>
      <c r="C148" s="16"/>
      <c r="D148" s="16"/>
      <c r="E148" s="16"/>
      <c r="F148" s="16"/>
      <c r="G148" s="16"/>
      <c r="H148" s="16"/>
      <c r="I148" s="16"/>
      <c r="J148" s="16"/>
      <c r="K148" s="16"/>
      <c r="L148" s="16"/>
      <c r="M148" s="16"/>
      <c r="N148" s="16"/>
      <c r="O148" s="16"/>
      <c r="P148" s="206">
        <f>P147-(1*$B$131)*(2^(((P138 - 14) - $B$135)/$P$164))</f>
        <v>19.620930925469978</v>
      </c>
      <c r="Q148" s="207">
        <f>Q147-(1*$B$131)*(2^(((Q138 - 14) - $B$135)/$P$164))</f>
        <v>36.378729583441825</v>
      </c>
      <c r="R148" s="207">
        <f>R147-(1*$B$131)*(2^(((R138 - 14) - $B$135)/$P$164))</f>
        <v>81.153190145960366</v>
      </c>
      <c r="S148" s="207">
        <f>S147-(1*$B$131)*(2^(((S138 - 14) - $B$135)/$P$164))</f>
        <v>177.22190063694103</v>
      </c>
      <c r="T148" s="205">
        <f>MAX(T147-(($P$139*$B$131)*(2^(((T138 -14) - $P$138)/HLOOKUP((T138-14)-$B$135,$P$162:$BH$164,3,TRUE)))),0)</f>
        <v>373.16151942648673</v>
      </c>
      <c r="U148" s="205">
        <f>MAX(U147-(($P$139*$B$131)*(2^(((U138 -14) - $P$138)/HLOOKUP((U138-14)-$B$135,$P$162:$BH$164,3,TRUE)))),0)</f>
        <v>765.08635794363818</v>
      </c>
      <c r="V148" s="205">
        <f>MAX(V147-(($P$139*$B$131)*(2^(((V138 -14) - $P$138)/HLOOKUP((V138-14)-$B$135,$P$162:$BH$164,3,TRUE)))),0)</f>
        <v>1570.8214285714287</v>
      </c>
      <c r="W148" s="205">
        <f>MAX(W147-(($P$139*$B$131)*(2^(((W138 -14) - $P$138)/HLOOKUP((W138-14)-$B$135,$P$162:$BH$164,3,TRUE)))),0)</f>
        <v>3181.9387841598559</v>
      </c>
      <c r="X148" s="205">
        <f>MAX(X147-(($P$139*$B$131)*(2^(((X138 -14) - $P$138)/HLOOKUP((X138-14)-$B$135,$P$162:$BH$164,3,TRUE)))),0)</f>
        <v>6379.3926009765419</v>
      </c>
      <c r="Y148" s="205">
        <f>MAX(Y147-(($P$139*$B$131)*(2^(((Y138 -14) - $P$138)/HLOOKUP((Y138-14)-$B$135,$P$162:$BH$164,3,TRUE)))),0)</f>
        <v>12775.828395301851</v>
      </c>
      <c r="Z148" s="205">
        <f>MAX(Z147-(($P$139*$B$131)*(2^(((Z138 -14) - $P$138)/HLOOKUP((Z138-14)-$B$135,$P$162:$BH$164,3,TRUE)))),0)</f>
        <v>25528.741071428572</v>
      </c>
      <c r="AA148" s="205">
        <f>MAX(AA147-(($P$139*$B$131)*(2^(((AA138 -14) - $P$138)/HLOOKUP((AA138-14)-$B$135,$P$162:$BH$164,3,TRUE)))),0)</f>
        <v>50899.098214285717</v>
      </c>
      <c r="AB148" s="205">
        <f>MAX(AB147-(($P$139*$B$131)*(2^(((AB138 -14) - $P$138)/HLOOKUP((AB138-14)-$B$135,$P$162:$BH$164,3,TRUE)))),0)</f>
        <v>101675.97321428571</v>
      </c>
      <c r="AC148" s="205">
        <f>MAX(AC147-(($P$139*$B$131)*(2^(((AC138 -14) - $P$138)/HLOOKUP((AC138-14)-$B$135,$P$162:$BH$164,3,TRUE)))),0)</f>
        <v>199007.42614510827</v>
      </c>
      <c r="AD148" s="205">
        <f>MAX(AD147-(($P$139*$B$131)*(2^(((AD138 -14) - $P$138)/HLOOKUP((AD138-14)-$B$135,$P$162:$BH$164,3,TRUE)))),0)</f>
        <v>324471.53571428568</v>
      </c>
      <c r="AE148" s="205">
        <f>MAX(AE147-(($P$139*$B$131)*(2^(((AE138 -14) - $P$138)/HLOOKUP((AE138-14)-$B$135,$P$162:$BH$164,3,TRUE)))),0)</f>
        <v>294466.98400587577</v>
      </c>
      <c r="AF148" s="205">
        <f>MAX(AF147-(($P$139*$B$131)*(2^(((AF138 -14) - $P$138)/HLOOKUP((AF138-14)-$B$135,$P$162:$BH$164,3,TRUE)))),0)</f>
        <v>274931.18493767531</v>
      </c>
      <c r="AG148" s="205">
        <f>MAX(AG147-(($P$139*$B$131)*(2^(((AG138 -14) - $P$138)/HLOOKUP((AG138-14)-$B$135,$P$162:$BH$164,3,TRUE)))),0)</f>
        <v>0</v>
      </c>
      <c r="AH148" s="205">
        <f>MAX(AH147-(($P$139*$B$131)*(2^(((AH138 -14) - $P$138)/HLOOKUP((AH138-14)-$B$135,$P$162:$BH$164,3,TRUE)))),0)</f>
        <v>255131.46604280546</v>
      </c>
      <c r="AI148" s="205">
        <f>MAX(AI147-(($P$139*$B$131)*(2^(((AI138 -14) - $P$138)/HLOOKUP((AI138-14)-$B$135,$P$162:$BH$164,3,TRUE)))),0)</f>
        <v>250651.4766897033</v>
      </c>
      <c r="AJ148" s="205">
        <f>MAX(AJ147-(($P$139*$B$131)*(2^(((AJ138 -14) - $P$138)/HLOOKUP((AJ138-14)-$B$135,$P$162:$BH$164,3,TRUE)))),0)</f>
        <v>246677.5787880522</v>
      </c>
      <c r="AK148" s="205">
        <f>MAX(AK147-(($P$139*$B$131)*(2^(((AK138 -14) - $P$138)/HLOOKUP((AK138-14)-$B$135,$P$162:$BH$164,3,TRUE)))),0)</f>
        <v>221803.14413489331</v>
      </c>
      <c r="AL148" s="205">
        <f>MAX(AL147-(($P$139*$B$131)*(2^(((AL138 -14) - $P$138)/HLOOKUP((AL138-14)-$B$135,$P$162:$BH$164,3,TRUE)))),0)</f>
        <v>217144.45331772626</v>
      </c>
      <c r="AM148" s="205">
        <f>MAX(AM147-(($P$139*$B$131)*(2^(((AM138 -14) - $P$138)/HLOOKUP((AM138-14)-$B$135,$P$162:$BH$164,3,TRUE)))),0)</f>
        <v>0</v>
      </c>
      <c r="AN148" s="205">
        <f>MAX(AN147-(($P$139*$B$131)*(2^(((AN138 -14) - $P$138)/HLOOKUP((AN138-14)-$B$135,$P$162:$BH$164,3,TRUE)))),0)</f>
        <v>0</v>
      </c>
      <c r="AO148" s="205">
        <f>MAX(AO147-(($P$139*$B$131)*(2^(((AO138 -14) - $P$138)/HLOOKUP((AO138-14)-$B$135,$P$162:$BH$164,3,TRUE)))),0)</f>
        <v>0</v>
      </c>
      <c r="AP148" s="205">
        <f>MAX(AP147-(($P$139*$B$131)*(2^(((AP138 -14) - $P$138)/HLOOKUP((AP138-14)-$B$135,$P$162:$BH$164,3,TRUE)))),0)</f>
        <v>0</v>
      </c>
      <c r="AQ148" s="205">
        <f>MAX(AQ147-(($P$139*$B$131)*(2^(((AQ138 -14) - $P$138)/HLOOKUP((AQ138-14)-$B$135,$P$162:$BH$164,3,TRUE)))),0)</f>
        <v>0</v>
      </c>
      <c r="AR148" s="205">
        <f>MAX(AR147-(($P$139*$B$131)*(2^(((AR138 -14) - $P$138)/HLOOKUP((AR138-14)-$B$135,$P$162:$BH$164,3,TRUE)))),0)</f>
        <v>0</v>
      </c>
      <c r="AS148" s="205">
        <f>MAX(AS147-(($P$139*$B$131)*(2^(((AS138 -14) - $P$138)/HLOOKUP((AS138-14)-$B$135,$P$162:$BH$164,3,TRUE)))),0)</f>
        <v>0</v>
      </c>
      <c r="AT148" s="205">
        <f>MAX(AT147-(($P$139*$B$131)*(2^(((AT138 -14) - $P$138)/HLOOKUP((AT138-14)-$B$135,$P$162:$BH$164,3,TRUE)))),0)</f>
        <v>0</v>
      </c>
      <c r="AU148" s="205">
        <f>MAX(AU147-(($P$139*$B$131)*(2^(((AU138 -14) - $P$138)/HLOOKUP((AU138-14)-$B$135,$P$162:$BH$164,3,TRUE)))),0)</f>
        <v>0</v>
      </c>
      <c r="AV148" s="205">
        <f>MAX(AV147-(($P$139*$B$131)*(2^(((AV138 -14) - $P$138)/HLOOKUP((AV138-14)-$B$135,$P$162:$BH$164,3,TRUE)))),0)</f>
        <v>0</v>
      </c>
      <c r="AW148" s="205">
        <f t="shared" ref="AW148:AZ148" si="52">MAX(AW147-(($P$139*$B$131)*(2^(((AW138 -14) - $P$138)/HLOOKUP((AW138-14)-$B$135,$P$162:$BH$164,3,TRUE)))),0)</f>
        <v>0</v>
      </c>
      <c r="AX148" s="205">
        <f t="shared" si="52"/>
        <v>0</v>
      </c>
      <c r="AY148" s="205">
        <f t="shared" si="52"/>
        <v>0</v>
      </c>
      <c r="AZ148" s="205">
        <f t="shared" si="52"/>
        <v>0</v>
      </c>
      <c r="BA148" s="205">
        <f>MAX(BA147-(($P$139*$B$131)*(2^(((BA138 -14) - $P$138)/HLOOKUP((BA138-14)-$B$135,$P$162:$BH$164,3,TRUE)))),0)</f>
        <v>0</v>
      </c>
      <c r="BB148" s="241">
        <f>MAX(BB147-(($P$139*$B$131)*(2^(((BB138 -14) - $P$138)/HLOOKUP((BB138-14)-$B$135,$P$162:$BH$164,3,TRUE)))),0)</f>
        <v>0</v>
      </c>
      <c r="BC148" s="203">
        <f>MAX(BC147-(($P$139*$B$131)*(2^(((BC138 -14) - $P$138)/HLOOKUP((BC138-14)-$B$135,$P$162:$BH$164,3,TRUE)))),0)</f>
        <v>0</v>
      </c>
      <c r="BD148" s="203">
        <f>MAX(BD147-(($P$139*$B$131)*(2^(((BD138 -14) - $P$138)/HLOOKUP((BD138-14)-$B$135,$P$162:$BH$164,3,TRUE)))),0)</f>
        <v>0</v>
      </c>
      <c r="BE148" s="203">
        <f>MAX(BE147-(($P$139*$B$131)*(2^(((BE138 -14) - $P$138)/HLOOKUP((BE138-14)-$B$135,$P$162:$BH$164,3,TRUE)))),0)</f>
        <v>0</v>
      </c>
      <c r="BF148" s="204">
        <f>MAX(BF147-(($P$139*$B$131)*(2^(((BF138 -14) - $P$138)/HLOOKUP((BF138-14)-$B$135,$P$162:$BH$164,3,TRUE)))),0)</f>
        <v>0</v>
      </c>
      <c r="BG148" s="199">
        <f>MAX(BG147-(($P$139*$B$131)*(2^(((BG138 -14) - $P$138)/HLOOKUP((BG138-14)-$B$135,$P$162:$BH$164,3,TRUE)))),0)</f>
        <v>0</v>
      </c>
      <c r="BH148" s="244"/>
      <c r="BI148" s="25"/>
      <c r="BJ148" s="25"/>
      <c r="BK148" s="69"/>
    </row>
    <row r="149" spans="1:63" x14ac:dyDescent="0.25">
      <c r="A149" s="62" t="s">
        <v>110</v>
      </c>
      <c r="B149" s="9"/>
      <c r="C149" s="9"/>
      <c r="D149" s="9"/>
      <c r="E149" s="9"/>
      <c r="F149" s="9"/>
      <c r="G149" s="9"/>
      <c r="H149" s="9"/>
      <c r="I149" s="9"/>
      <c r="J149" s="9"/>
      <c r="K149" s="9"/>
      <c r="L149" s="9"/>
      <c r="M149" s="9"/>
      <c r="N149" s="9"/>
      <c r="O149" s="5"/>
      <c r="P149" s="225">
        <f>(1*($B$132+$B$133))*(2^(((P138 - 7) - $B$135)/$P$164))</f>
        <v>2.9796216359494587</v>
      </c>
      <c r="Q149" s="211">
        <f>($P$139*($B$132+$B$133))*(2^(((Q138-7)-$P$138)/HLOOKUP((Q138-7)-$B$135,$P$162:$BH$164,3,TRUE)))</f>
        <v>6.6590498985850246</v>
      </c>
      <c r="R149" s="211">
        <f>($P$139*($B$132+$B$133))*(2^(((R138-7)-$P$138)/HLOOKUP((R138-7)-$B$135,$P$162:$BH$164,3,TRUE)))</f>
        <v>9.3937329355254953</v>
      </c>
      <c r="S149" s="211">
        <f>($P$139*($B$132+$B$133))*(2^(((S138-7)-$P$138)/HLOOKUP((S138-7)-$B$135,$P$162:$BH$164,3,TRUE)))</f>
        <v>11.815592437748149</v>
      </c>
      <c r="T149" s="211">
        <f>($P$139*($B$132+$B$133))*(2^(((T138-7)-$P$138)/HLOOKUP((T138-7)-$B$135,$P$162:$BH$164,3,TRUE)))</f>
        <v>12.534285987853202</v>
      </c>
      <c r="U149" s="211">
        <f>($P$139*($B$132+$B$133))*(2^(((U138-7)-$P$138)/HLOOKUP((U138-7)-$B$135,$P$162:$BH$164,3,TRUE)))</f>
        <v>23.599266437601273</v>
      </c>
      <c r="V149" s="211">
        <f>($P$139*($B$132+$B$133))*(2^(((V138-7)-$P$138)/HLOOKUP((V138-7)-$B$135,$P$162:$BH$164,3,TRUE)))</f>
        <v>49.779972972921911</v>
      </c>
      <c r="W149" s="211">
        <f>($P$139*($B$132+$B$133))*(2^(((W138-7)-$P$138)/HLOOKUP((W138-7)-$B$135,$P$162:$BH$164,3,TRUE)))</f>
        <v>108.90640436467176</v>
      </c>
      <c r="X149" s="211">
        <f>($P$139*($B$132+$B$133))*(2^(((X138-7)-$P$138)/HLOOKUP((X138-7)-$B$135,$P$162:$BH$164,3,TRUE)))</f>
        <v>220.70535714285711</v>
      </c>
      <c r="Y149" s="211">
        <f>($P$139*($B$132+$B$133))*(2^(((Y138-7)-$P$138)/HLOOKUP((Y138-7)-$B$135,$P$162:$BH$164,3,TRUE)))</f>
        <v>322.92231652302479</v>
      </c>
      <c r="Z149" s="211">
        <f>($P$139*($B$132+$B$133))*(2^(((Z138-7)-$P$138)/HLOOKUP((Z138-7)-$B$135,$P$162:$BH$164,3,TRUE)))</f>
        <v>573.4171414665534</v>
      </c>
      <c r="AA149" s="211">
        <f>($P$139*($B$132+$B$133))*(2^(((AA138-7)-$P$138)/HLOOKUP((AA138-7)-$B$135,$P$162:$BH$164,3,TRUE)))</f>
        <v>1580.5624999999989</v>
      </c>
      <c r="AB149" s="211">
        <f>($P$139*($B$132+$B$133))*(2^(((AB138-7)-$P$138)/HLOOKUP((AB138-7)-$B$135,$P$162:$BH$164,3,TRUE)))</f>
        <v>4157.3376801210561</v>
      </c>
      <c r="AC149" s="211">
        <f>($P$139*($B$132+$B$133))*(2^(((AC138-7)-$P$138)/HLOOKUP((AC138-7)-$B$135,$P$162:$BH$164,3,TRUE)))</f>
        <v>14709.910600081001</v>
      </c>
      <c r="AD149" s="211">
        <f>($P$139*($B$132+$B$133))*(2^(((AD138-7)-$P$138)/HLOOKUP((AD138-7)-$B$135,$P$162:$BH$164,3,TRUE)))</f>
        <v>65577.889617991445</v>
      </c>
      <c r="AE149" s="211">
        <f>($P$139*($B$132+$B$133))*(2^(((AE138-7)-$P$138)/HLOOKUP((AE138-7)-$B$135,$P$162:$BH$164,3,TRUE)))</f>
        <v>155906.69596672634</v>
      </c>
      <c r="AF149" s="285">
        <f>($P$139*($B$132+$B$133))*(2^(((AF138-7)-$P$138)/HLOOKUP((AF138-7)-$B$135,$P$162:$BH$164,3,TRUE)))</f>
        <v>111083.1714562041</v>
      </c>
      <c r="AG149" s="285">
        <f>($P$139*($B$132+$B$133))*(2^(((AG138-7)-$P$138)/HLOOKUP((AG138-7)-$B$135,$P$162:$BH$164,3,TRUE)))</f>
        <v>132795.09456567839</v>
      </c>
      <c r="AH149" s="285">
        <f>($P$139*($B$132+$B$133))*(2^(((AH138-7)-$P$138)/HLOOKUP((AH138-7)-$B$135,$P$162:$BH$164,3,TRUE)))</f>
        <v>155204.27961369391</v>
      </c>
      <c r="AI149" s="211">
        <f>($P$139*($B$132+$B$133))*(2^(((AI138-7)-$P$138)/HLOOKUP((AI138-7)-$B$135,$P$162:$BH$164,3,TRUE)))</f>
        <v>200258.94228430718</v>
      </c>
      <c r="AJ149" s="211">
        <f>($P$139*($B$132+$B$133))*(2^(((AJ138-7)-$P$138)/HLOOKUP((AJ138-7)-$B$135,$P$162:$BH$164,3,TRUE)))</f>
        <v>250270.48083150713</v>
      </c>
      <c r="AK149" s="211">
        <f>($P$139*($B$132+$B$133))*(2^(((AK138-7)-$P$138)/HLOOKUP((AK138-7)-$B$135,$P$162:$BH$164,3,TRUE)))</f>
        <v>296852.34990976623</v>
      </c>
      <c r="AL149" s="211">
        <f>($P$139*($B$132+$B$133))*(2^(((AL138-7)-$P$138)/HLOOKUP((AL138-7)-$B$135,$P$162:$BH$164,3,TRUE)))</f>
        <v>342924.73002205521</v>
      </c>
      <c r="AM149" s="211">
        <f>($P$139*($B$132+$B$133))*(2^(((AM138-7)-$P$138)/HLOOKUP((AM138-7)-$B$135,$P$162:$BH$164,3,TRUE)))</f>
        <v>665287.8662262687</v>
      </c>
      <c r="AN149" s="285">
        <f>($P$139*($B$132+$B$133))*(2^(((AN138-7)-$P$138)/HLOOKUP((AN138-7)-$B$135,$P$162:$BH$164,3,TRUE)))</f>
        <v>608534.02120355377</v>
      </c>
      <c r="AO149" s="211">
        <f>($P$139*($B$132+$B$133))*(2^(((AO138-7)-$P$138)/HLOOKUP((AO138-7)-$B$135,$P$162:$BH$164,3,TRUE)))</f>
        <v>734563.87388449581</v>
      </c>
      <c r="AP149" s="211">
        <f>($P$139*($B$132+$B$133))*(2^(((AP138-7)-$P$138)/HLOOKUP((AP138-7)-$B$135,$P$162:$BH$164,3,TRUE)))</f>
        <v>845586.46744864958</v>
      </c>
      <c r="AQ149" s="211">
        <f>($P$139*($B$132+$B$133))*(2^(((AQ138-7)-$P$138)/HLOOKUP((AQ138-7)-$B$135,$P$162:$BH$164,3,TRUE)))</f>
        <v>952081.11966056121</v>
      </c>
      <c r="AR149" s="211">
        <f>($P$139*($B$132+$B$133))*(2^(((AR138-7)-$P$138)/HLOOKUP((AR138-7)-$B$135,$P$162:$BH$164,3,TRUE)))</f>
        <v>16777443.55484568</v>
      </c>
      <c r="AS149" s="285">
        <f>($P$139*($B$132+$B$133))*(2^(((AS138-7)-$P$138)/HLOOKUP((AS138-7)-$B$135,$P$162:$BH$164,3,TRUE)))</f>
        <v>7684324.6661374802</v>
      </c>
      <c r="AT149" s="285">
        <f>($P$139*($B$132+$B$133))*(2^(((AT138-7)-$P$138)/HLOOKUP((AT138-7)-$B$135,$P$162:$BH$164,3,TRUE)))</f>
        <v>6342745.2189815044</v>
      </c>
      <c r="AU149" s="285">
        <f>($P$139*($B$132+$B$133))*(2^(((AU138-7)-$P$138)/HLOOKUP((AU138-7)-$B$135,$P$162:$BH$164,3,TRUE)))</f>
        <v>5655438.7474351265</v>
      </c>
      <c r="AV149" s="285">
        <f>($P$139*($B$132+$B$133))*(2^(((AV138-7)-$P$138)/HLOOKUP((AV138-7)-$B$135,$P$162:$BH$164,3,TRUE)))</f>
        <v>5308325.217456406</v>
      </c>
      <c r="AW149" s="285">
        <f t="shared" ref="AW149:AZ149" si="53">($P$139*($B$132+$B$133))*(2^(((AW138-7)-$P$138)/HLOOKUP((AW138-7)-$B$135,$P$162:$BH$164,3,TRUE)))</f>
        <v>5136725.4541107258</v>
      </c>
      <c r="AX149" s="285">
        <f t="shared" si="53"/>
        <v>4388912.2145179659</v>
      </c>
      <c r="AY149" s="285">
        <f t="shared" si="53"/>
        <v>5059505.9935248382</v>
      </c>
      <c r="AZ149" s="285">
        <f t="shared" si="53"/>
        <v>5595331.8129316214</v>
      </c>
      <c r="BA149" s="285">
        <f>($P$139*($B$132+$B$133))*(2^(((BA138-7)-$P$138)/HLOOKUP((BA138-7)-$B$135,$P$162:$BH$164,3,TRUE)))</f>
        <v>6085155.921886526</v>
      </c>
      <c r="BB149" s="238">
        <f>($P$139*($B$132+$B$133))*(2^(((BB138-7)-$P$138)/HLOOKUP((BB138-7)-$B$135,$P$162:$BH$164,3,TRUE)))</f>
        <v>345771173.92453611</v>
      </c>
      <c r="BC149" s="208">
        <f>($P$139*($B$132+$B$133))*(2^(((BC138-7)-$P$138)/HLOOKUP((BC138-7)-$B$135,$P$162:$BH$164,3,TRUE)))</f>
        <v>220686038.17437315</v>
      </c>
      <c r="BD149" s="208">
        <f>($P$139*($B$132+$B$133))*(2^(((BD138-7)-$P$138)/HLOOKUP((BD138-7)-$B$135,$P$162:$BH$164,3,TRUE)))</f>
        <v>230624096.62225589</v>
      </c>
      <c r="BE149" s="208">
        <f>($P$139*($B$132+$B$133))*(2^(((BE138-7)-$P$138)/HLOOKUP((BE138-7)-$B$135,$P$162:$BH$164,3,TRUE)))</f>
        <v>303477614.57094359</v>
      </c>
      <c r="BF149" s="209">
        <f>($P$139*($B$132+$B$133))*(2^(((BF138-7)-$P$138)/HLOOKUP((BF138-7)-$B$135,$P$162:$BH$164,3,TRUE)))</f>
        <v>453074304.88124496</v>
      </c>
      <c r="BG149" s="208">
        <f>($P$139*($B$132+$B$133))*(2^(((BG138 - 7) - $P$138)/BG164))</f>
        <v>53296629.346993238</v>
      </c>
      <c r="BH149" s="244">
        <f>BH139*(B132+B133)</f>
        <v>4396521.1500000004</v>
      </c>
      <c r="BI149" s="45"/>
      <c r="BJ149" s="45"/>
      <c r="BK149" s="69"/>
    </row>
    <row r="150" spans="1:63" x14ac:dyDescent="0.25">
      <c r="A150" s="37" t="s">
        <v>159</v>
      </c>
      <c r="B150" s="38"/>
      <c r="C150" s="39"/>
      <c r="D150" s="39"/>
      <c r="E150" s="39"/>
      <c r="F150" s="39"/>
      <c r="G150" s="39"/>
      <c r="H150" s="39"/>
      <c r="I150" s="39"/>
      <c r="J150" s="39"/>
      <c r="K150" s="39"/>
      <c r="L150" s="39"/>
      <c r="M150" s="39"/>
      <c r="N150" s="39"/>
      <c r="O150" s="63"/>
      <c r="P150" s="206">
        <f t="shared" ref="P150:AC150" si="54">P149</f>
        <v>2.9796216359494587</v>
      </c>
      <c r="Q150" s="207">
        <f t="shared" si="54"/>
        <v>6.6590498985850246</v>
      </c>
      <c r="R150" s="207">
        <f t="shared" si="54"/>
        <v>9.3937329355254953</v>
      </c>
      <c r="S150" s="207">
        <f t="shared" si="54"/>
        <v>11.815592437748149</v>
      </c>
      <c r="T150" s="207">
        <f t="shared" si="54"/>
        <v>12.534285987853202</v>
      </c>
      <c r="U150" s="207">
        <f t="shared" si="54"/>
        <v>23.599266437601273</v>
      </c>
      <c r="V150" s="207">
        <f t="shared" si="54"/>
        <v>49.779972972921911</v>
      </c>
      <c r="W150" s="207">
        <f t="shared" si="54"/>
        <v>108.90640436467176</v>
      </c>
      <c r="X150" s="207">
        <f t="shared" si="54"/>
        <v>220.70535714285711</v>
      </c>
      <c r="Y150" s="207">
        <f t="shared" si="54"/>
        <v>322.92231652302479</v>
      </c>
      <c r="Z150" s="207">
        <f t="shared" si="54"/>
        <v>573.4171414665534</v>
      </c>
      <c r="AA150" s="207">
        <f t="shared" si="54"/>
        <v>1580.5624999999989</v>
      </c>
      <c r="AB150" s="207">
        <f t="shared" si="54"/>
        <v>4157.3376801210561</v>
      </c>
      <c r="AC150" s="207">
        <f t="shared" si="54"/>
        <v>14709.910600081001</v>
      </c>
      <c r="AD150" s="198">
        <f>MAX(AD149-($P$139*$B$132)*(2^(((AD138 - 42) - $P$138)/HLOOKUP((AD138-42)-$B$135,$P$162:$BH$164,3,TRUE)))-AD152,0)</f>
        <v>60011.596753736201</v>
      </c>
      <c r="AE150" s="198">
        <f>MAX(AE149-($P$139*$B$132)*(2^(((AE138 - 42) - $P$138)/HLOOKUP((AE138-42)-$B$135,$P$162:$BH$164,3,TRUE)))-AE152,0)</f>
        <v>142124.36171205499</v>
      </c>
      <c r="AF150" s="198">
        <f>MAX(AF149-($P$139*$B$132)*(2^(((AF138 - 42) - $P$138)/HLOOKUP((AF138-42)-$B$135,$P$162:$BH$164,3,TRUE)))-AF152,0)</f>
        <v>89737.506502580392</v>
      </c>
      <c r="AG150" s="198">
        <f>MAX(AG149-($P$139*$B$132)*(2^(((AG138 - 42) - $P$138)/HLOOKUP((AG138-42)-$B$135,$P$162:$BH$164,3,TRUE)))-AG152,0)</f>
        <v>82168.218806941761</v>
      </c>
      <c r="AH150" s="198">
        <f>MAX(AH149-($P$139*$B$132)*(2^(((AH138 - 42) - $P$138)/HLOOKUP((AH138-42)-$B$135,$P$162:$BH$164,3,TRUE)))-AH152,0)</f>
        <v>121077.37661798642</v>
      </c>
      <c r="AI150" s="198">
        <f>MAX(AI149-($P$139*$B$132)*(2^(((AI138 - 42) - $P$138)/HLOOKUP((AI138-42)-$B$135,$P$162:$BH$164,3,TRUE)))-AI152,0)</f>
        <v>156055.91192138585</v>
      </c>
      <c r="AJ150" s="198">
        <f>MAX(AJ149-($P$139*$B$132)*(2^(((AJ138 - 42) - $P$138)/HLOOKUP((AJ138-42)-$B$135,$P$162:$BH$164,3,TRUE)))-AJ152,0)</f>
        <v>191021.09785356827</v>
      </c>
      <c r="AK150" s="198">
        <f>MAX(AK149-($P$139*$B$132)*(2^(((AK138 - 42) - $P$138)/HLOOKUP((AK138-42)-$B$135,$P$162:$BH$164,3,TRUE)))-AK152,0)</f>
        <v>113241.86506176133</v>
      </c>
      <c r="AL150" s="198">
        <f>MAX(AL149-($P$139*$B$132)*(2^(((AL138 - 42) - $P$138)/HLOOKUP((AL138-42)-$B$135,$P$162:$BH$164,3,TRUE)))-AL152,0)</f>
        <v>183131.90395536859</v>
      </c>
      <c r="AM150" s="198">
        <f>MAX(AM149-($P$139*$B$132)*(2^(((AM138 - 42) - $P$138)/HLOOKUP((AM138-42)-$B$135,$P$162:$BH$164,3,TRUE)))-AM152,0)</f>
        <v>362300.41021426558</v>
      </c>
      <c r="AN150" s="198">
        <f>MAX(AN149-($P$139*$B$132)*(2^(((AN138 - 42) - $P$138)/HLOOKUP((AN138-42)-$B$135,$P$162:$BH$164,3,TRUE)))-AN152,0)</f>
        <v>0</v>
      </c>
      <c r="AO150" s="198">
        <f>MAX(AO149-($P$139*$B$132)*(2^(((AO138 - 42) - $P$138)/HLOOKUP((AO138-42)-$B$135,$P$162:$BH$164,3,TRUE)))-AO152,0)</f>
        <v>203481.39418705474</v>
      </c>
      <c r="AP150" s="198">
        <f>MAX(AP149-($P$139*$B$132)*(2^(((AP138 - 42) - $P$138)/HLOOKUP((AP138-42)-$B$135,$P$162:$BH$164,3,TRUE)))-AP152,0)</f>
        <v>0</v>
      </c>
      <c r="AQ150" s="198">
        <f>MAX(AQ149-($P$139*$B$132)*(2^(((AQ138 - 42) - $P$138)/HLOOKUP((AQ138-42)-$B$135,$P$162:$BH$164,3,TRUE)))-AQ152,0)</f>
        <v>118824.25675016112</v>
      </c>
      <c r="AR150" s="198">
        <f>MAX(AR149-($P$139*$B$132)*(2^(((AR138 - 42) - $P$138)/HLOOKUP((AR138-42)-$B$135,$P$162:$BH$164,3,TRUE)))-AR152,0)</f>
        <v>13705009.015299216</v>
      </c>
      <c r="AS150" s="198">
        <f>MAX(AS149-($P$139*$B$132)*(2^(((AS138 - 42) - $P$138)/HLOOKUP((AS138-42)-$B$135,$P$162:$BH$164,3,TRUE)))-AS152,0)</f>
        <v>5907261.347491622</v>
      </c>
      <c r="AT150" s="198">
        <f>MAX(AT149-($P$139*$B$132)*(2^(((AT138 - 42) - $P$138)/HLOOKUP((AT138-42)-$B$135,$P$162:$BH$164,3,TRUE)))-AT152,0)</f>
        <v>4630095.1736761993</v>
      </c>
      <c r="AU150" s="198">
        <f>MAX(AU149-($P$139*$B$132)*(2^(((AU138 - 42) - $P$138)/HLOOKUP((AU138-42)-$B$135,$P$162:$BH$164,3,TRUE)))-AU152,0)</f>
        <v>3934621.8245861428</v>
      </c>
      <c r="AV150" s="198">
        <f>MAX(AV149-($P$139*$B$132)*(2^(((AV138 - 42) - $P$138)/HLOOKUP((AV138-42)-$B$135,$P$162:$BH$164,3,TRUE)))-AV152,0)</f>
        <v>3533717.656026769</v>
      </c>
      <c r="AW150" s="198">
        <f t="shared" ref="AW150:AZ150" si="55">MAX(AW149-($P$139*$B$132)*(2^(((AW138 - 42) - $P$138)/HLOOKUP((AW138-42)-$B$135,$P$162:$BH$164,3,TRUE)))-AW152,0)</f>
        <v>3284037.4433309664</v>
      </c>
      <c r="AX150" s="198">
        <f t="shared" si="55"/>
        <v>2693813.8224219405</v>
      </c>
      <c r="AY150" s="198">
        <f t="shared" si="55"/>
        <v>3012853.6092444435</v>
      </c>
      <c r="AZ150" s="198">
        <f t="shared" si="55"/>
        <v>3237342.7244669292</v>
      </c>
      <c r="BA150" s="198">
        <f>MAX(BA149-($P$139*$B$132)*(2^(((BA138 - 42) - $P$138)/HLOOKUP((BA138-42)-$B$135,$P$162:$BH$164,3,TRUE)))-BA152,0)</f>
        <v>3427076.6020857031</v>
      </c>
      <c r="BB150" s="241">
        <f>MAX(BB149-($P$139*$B$132)*(2^(((BB138 - 42) - $P$138)/HLOOKUP((BB138-42)-$B$135,$P$162:$BH$164,3,TRUE)))-BB152,0)</f>
        <v>189882911.31475949</v>
      </c>
      <c r="BC150" s="203">
        <f>MAX(BC149-($P$139*$B$132)*(2^(((BC138 - 42) - $P$138)/HLOOKUP((BC138-42)-$B$135,$P$162:$BH$164,3,TRUE)))-BC152,0)</f>
        <v>109788162.97184353</v>
      </c>
      <c r="BD150" s="203">
        <f>MAX(BD149-($P$139*$B$132)*(2^(((BD138 - 42) - $P$138)/HLOOKUP((BD138-42)-$B$135,$P$162:$BH$164,3,TRUE)))-BD152,0)</f>
        <v>107086293.50152051</v>
      </c>
      <c r="BE150" s="203">
        <f>MAX(BE149-($P$139*$B$132)*(2^(((BE138 - 42) - $P$138)/HLOOKUP((BE138-42)-$B$135,$P$162:$BH$164,3,TRUE)))-BE152,0)</f>
        <v>133933788.07709268</v>
      </c>
      <c r="BF150" s="204">
        <f>MAX(BF149-($P$139*$B$132)*(2^(((BF138 - 42) - $P$138)/HLOOKUP((BF138-42)-$B$135,$P$162:$BH$164,3,TRUE)))-BF152,0)</f>
        <v>192310972.85059133</v>
      </c>
      <c r="BG150" s="199">
        <f>MAX(BG149-($P$139*$B$132)*(2^(((BG138 - 42) - $P$138)/HLOOKUP((BG138-42)-$B$135,$P$162:$BH$164,3,TRUE)))-BG152,0)</f>
        <v>0</v>
      </c>
      <c r="BH150" s="246"/>
      <c r="BI150" s="45"/>
      <c r="BJ150" s="45"/>
      <c r="BK150" s="69"/>
    </row>
    <row r="151" spans="1:63" x14ac:dyDescent="0.25">
      <c r="A151" s="62" t="s">
        <v>111</v>
      </c>
      <c r="B151" s="9"/>
      <c r="C151" s="9"/>
      <c r="D151" s="9"/>
      <c r="E151" s="9"/>
      <c r="F151" s="9"/>
      <c r="G151" s="9"/>
      <c r="H151" s="9"/>
      <c r="I151" s="9"/>
      <c r="J151" s="9"/>
      <c r="K151" s="9"/>
      <c r="L151" s="9"/>
      <c r="M151" s="9"/>
      <c r="N151" s="9"/>
      <c r="O151" s="5"/>
      <c r="P151" s="225">
        <f>(1*$B$133)*(2^(((P138 - 14) -$B$135)/$P$164))</f>
        <v>0.35133142435370507</v>
      </c>
      <c r="Q151" s="222">
        <f>(1*$B$133)*(2^(((Q138 - 14) -$B$135)/$P$164))</f>
        <v>0.8793994084295168</v>
      </c>
      <c r="R151" s="222">
        <f>(1*$B$133)*(2^(((R138 - 14) -$B$135)/$P$164))</f>
        <v>1.2405438181505943</v>
      </c>
      <c r="S151" s="222">
        <f>(1*$B$133)*(2^(((S138 - 14) -$B$135)/$P$164))</f>
        <v>1.5603765038925292</v>
      </c>
      <c r="T151" s="211">
        <f>($P$139*$B$133)*(2^(((T138 - 14) - $P$138)/HLOOKUP((T138-14)-$B$135,$P$162:$BH$164,3,TRUE)))</f>
        <v>1.9653383070069901</v>
      </c>
      <c r="U151" s="211">
        <f>($P$139*$B$133)*(2^(((U138 - 14) - $P$138)/HLOOKUP((U138-14)-$B$135,$P$162:$BH$164,3,TRUE)))</f>
        <v>2.7724470405161594</v>
      </c>
      <c r="V151" s="211">
        <f>($P$139*$B$133)*(2^(((V138 - 14) - $P$138)/HLOOKUP((V138-14)-$B$135,$P$162:$BH$164,3,TRUE)))</f>
        <v>3.0357142857142851</v>
      </c>
      <c r="W151" s="211">
        <f>($P$139*$B$133)*(2^(((W138 - 14) - $P$138)/HLOOKUP((W138-14)-$B$135,$P$162:$BH$164,3,TRUE)))</f>
        <v>3.5840256691447028</v>
      </c>
      <c r="X151" s="211">
        <f>($P$139*$B$133)*(2^(((X138 - 14) - $P$138)/HLOOKUP((X138-14)-$B$135,$P$162:$BH$164,3,TRUE)))</f>
        <v>6.2103332730529663</v>
      </c>
      <c r="Y151" s="211">
        <f>($P$139*$B$133)*(2^(((Y138 - 14) - $P$138)/HLOOKUP((Y138-14)-$B$135,$P$162:$BH$164,3,TRUE)))</f>
        <v>11.368617573959821</v>
      </c>
      <c r="Z151" s="211">
        <f>($P$139*$B$133)*(2^(((Z138 - 14) - $P$138)/HLOOKUP((Z138-14)-$B$135,$P$162:$BH$164,3,TRUE)))</f>
        <v>24.151785714285708</v>
      </c>
      <c r="AA151" s="211">
        <f>($P$139*$B$133)*(2^(((AA138 - 14) - $P$138)/HLOOKUP((AA138-14)-$B$135,$P$162:$BH$164,3,TRUE)))</f>
        <v>58.080357142857132</v>
      </c>
      <c r="AB151" s="211">
        <f>($P$139*$B$133)*(2^(((AB138 - 14) - $P$138)/HLOOKUP((AB138-14)-$B$135,$P$162:$BH$164,3,TRUE)))</f>
        <v>123.70535714285711</v>
      </c>
      <c r="AC151" s="211">
        <f>($P$139*$B$133)*(2^(((AC138 - 14) - $P$138)/HLOOKUP((AC138-14)-$B$135,$P$162:$BH$164,3,TRUE)))</f>
        <v>515.59097869702066</v>
      </c>
      <c r="AD151" s="211">
        <f>($P$139*$B$133)*(2^(((AD138 - 14) - $P$138)/HLOOKUP((AD138-14)-$B$135,$P$162:$BH$164,3,TRUE)))</f>
        <v>5570.8928571428578</v>
      </c>
      <c r="AE151" s="211">
        <f>($P$139*$B$133)*(2^(((AE138 - 14) - $P$138)/HLOOKUP((AE138-14)-$B$135,$P$162:$BH$164,3,TRUE)))</f>
        <v>13823.025678649645</v>
      </c>
      <c r="AF151" s="211">
        <f>($P$139*$B$133)*(2^(((AF138 - 14) - $P$138)/HLOOKUP((AF138-14)-$B$135,$P$162:$BH$164,3,TRUE)))</f>
        <v>21428.939201378067</v>
      </c>
      <c r="AG151" s="211">
        <f>($P$139*$B$133)*(2^(((AG138 - 14) - $P$138)/HLOOKUP((AG138-14)-$B$135,$P$162:$BH$164,3,TRUE)))</f>
        <v>50945.755168707459</v>
      </c>
      <c r="AH151" s="285">
        <f>($P$139*$B$133)*(2^(((AH138 - 14) - $P$138)/HLOOKUP((AH138-14)-$B$135,$P$162:$BH$164,3,TRUE)))</f>
        <v>35451.144071431758</v>
      </c>
      <c r="AI151" s="285">
        <f>($P$139*$B$133)*(2^(((AI138 - 14) - $P$138)/HLOOKUP((AI138-14)-$B$135,$P$162:$BH$164,3,TRUE)))</f>
        <v>48527.686624092399</v>
      </c>
      <c r="AJ151" s="211">
        <f>($P$139*$B$133)*(2^(((AJ138 - 14) - $P$138)/HLOOKUP((AJ138-14)-$B$135,$P$162:$BH$164,3,TRUE)))</f>
        <v>61572.988963700482</v>
      </c>
      <c r="AK151" s="211">
        <f>($P$139*$B$133)*(2^(((AK138 - 14) - $P$138)/HLOOKUP((AK138-14)-$B$135,$P$162:$BH$164,3,TRUE)))</f>
        <v>75908.447892907818</v>
      </c>
      <c r="AL151" s="211">
        <f>($P$139*$B$133)*(2^(((AL138 - 14) - $P$138)/HLOOKUP((AL138-14)-$B$135,$P$162:$BH$164,3,TRUE)))</f>
        <v>88996.021400140351</v>
      </c>
      <c r="AM151" s="211">
        <f>($P$139*$B$133)*(2^(((AM138 - 14) - $P$138)/HLOOKUP((AM138-14)-$B$135,$P$162:$BH$164,3,TRUE)))</f>
        <v>181510.39218532681</v>
      </c>
      <c r="AN151" s="211">
        <f>($P$139*$B$133)*(2^(((AN138 - 14) - $P$138)/HLOOKUP((AN138-14)-$B$135,$P$162:$BH$164,3,TRUE)))</f>
        <v>335250.99708197563</v>
      </c>
      <c r="AO151" s="285">
        <f>($P$139*$B$133)*(2^(((AO138 - 14) - $P$138)/HLOOKUP((AO138-14)-$B$135,$P$162:$BH$164,3,TRUE)))</f>
        <v>284279.88501626055</v>
      </c>
      <c r="AP151" s="285">
        <f>($P$139*$B$133)*(2^(((AP138 - 14) - $P$138)/HLOOKUP((AP138-14)-$B$135,$P$162:$BH$164,3,TRUE)))</f>
        <v>326964.04031430848</v>
      </c>
      <c r="AQ151" s="211">
        <f>($P$139*$B$133)*(2^(((AQ138 - 14) - $P$138)/HLOOKUP((AQ138-14)-$B$135,$P$162:$BH$164,3,TRUE)))</f>
        <v>361056.91060199292</v>
      </c>
      <c r="AR151" s="297">
        <f>($P$139*$B$133)*(2^(((AR138 - 14) - $P$138)/HLOOKUP((AR138-14)-$B$135,$P$162:$BH$164,3,TRUE)))</f>
        <v>2666502.0525329262</v>
      </c>
      <c r="AS151" s="285">
        <f>($P$139*$B$133)*(2^(((AS138 - 14) - $P$138)/HLOOKUP((AS138-14)-$B$135,$P$162:$BH$164,3,TRUE)))</f>
        <v>1379132.6691192864</v>
      </c>
      <c r="AT151" s="285">
        <f>($P$139*$B$133)*(2^(((AT138 - 14) - $P$138)/HLOOKUP((AT138-14)-$B$135,$P$162:$BH$164,3,TRUE)))</f>
        <v>1218273.3777185939</v>
      </c>
      <c r="AU151" s="285">
        <f>($P$139*$B$133)*(2^(((AU138 - 14) - $P$138)/HLOOKUP((AU138-14)-$B$135,$P$162:$BH$164,3,TRUE)))</f>
        <v>1138577.0373848728</v>
      </c>
      <c r="AV151" s="285">
        <f>($P$139*$B$133)*(2^(((AV138 - 14) - $P$138)/HLOOKUP((AV138-14)-$B$135,$P$162:$BH$164,3,TRUE)))</f>
        <v>1106146.544676583</v>
      </c>
      <c r="AW151" s="285">
        <f t="shared" ref="AW151:AZ151" si="56">($P$139*$B$133)*(2^(((AW138 - 14) - $P$138)/HLOOKUP((AW138-14)-$B$135,$P$162:$BH$164,3,TRUE)))</f>
        <v>1098970.1181956055</v>
      </c>
      <c r="AX151" s="285">
        <f t="shared" si="56"/>
        <v>960627.98856745125</v>
      </c>
      <c r="AY151" s="285">
        <f t="shared" si="56"/>
        <v>1124079.9111778995</v>
      </c>
      <c r="AZ151" s="285">
        <f t="shared" si="56"/>
        <v>1259306.1129403065</v>
      </c>
      <c r="BA151" s="285">
        <f>($P$139*$B$133)*(2^(((BA138 - 14) - $P$138)/HLOOKUP((BA138-14)-$B$135,$P$162:$BH$164,3,TRUE)))</f>
        <v>1384865.6380260359</v>
      </c>
      <c r="BB151" s="238">
        <f>($P$139*$B$133)*(2^(((BB138 - 14) - $P$138)/HLOOKUP((BB138-14)-$B$135,$P$162:$BH$164,3,TRUE)))</f>
        <v>79453730.46044229</v>
      </c>
      <c r="BC151" s="208">
        <f>($P$139*$B$133)*(2^(((BC138 - 14) - $P$138)/HLOOKUP((BC138-14)-$B$135,$P$162:$BH$164,3,TRUE)))</f>
        <v>52365514.671853706</v>
      </c>
      <c r="BD151" s="208">
        <f>($P$139*$B$133)*(2^(((BD138 - 14) - $P$138)/HLOOKUP((BD138-14)-$B$135,$P$162:$BH$164,3,TRUE)))</f>
        <v>55731419.512365155</v>
      </c>
      <c r="BE151" s="208">
        <f>($P$139*$B$133)*(2^(((BE138 - 14) - $P$138)/HLOOKUP((BE138-14)-$B$135,$P$162:$BH$164,3,TRUE)))</f>
        <v>74204997.202958301</v>
      </c>
      <c r="BF151" s="209">
        <f>($P$139*$B$133)*(2^(((BF138 - 14) - $P$138)/HLOOKUP((BF138-14)-$B$135,$P$162:$BH$164,3,TRUE)))</f>
        <v>111698115.52330752</v>
      </c>
      <c r="BG151" s="208">
        <f>($P$139*$B$133)*(2^(((BG138 - 14) - $P$138)/HLOOKUP((BG138-14)-$B$135,$P$162:$BH$164,3,TRUE)))</f>
        <v>181132823.4636991</v>
      </c>
      <c r="BH151" s="244">
        <f>BH139*B133</f>
        <v>1156979.2500000002</v>
      </c>
      <c r="BI151" s="45"/>
      <c r="BJ151" s="45"/>
      <c r="BK151" s="69"/>
    </row>
    <row r="152" spans="1:63" x14ac:dyDescent="0.25">
      <c r="A152" s="37" t="s">
        <v>160</v>
      </c>
      <c r="B152" s="38"/>
      <c r="C152" s="39"/>
      <c r="D152" s="39"/>
      <c r="E152" s="39"/>
      <c r="F152" s="39"/>
      <c r="G152" s="39"/>
      <c r="H152" s="39"/>
      <c r="I152" s="39"/>
      <c r="J152" s="39"/>
      <c r="K152" s="39"/>
      <c r="L152" s="39"/>
      <c r="M152" s="39"/>
      <c r="N152" s="39"/>
      <c r="O152" s="63"/>
      <c r="P152" s="206">
        <f t="shared" ref="P152:AA152" si="57">P151</f>
        <v>0.35133142435370507</v>
      </c>
      <c r="Q152" s="207">
        <f t="shared" si="57"/>
        <v>0.8793994084295168</v>
      </c>
      <c r="R152" s="207">
        <f t="shared" si="57"/>
        <v>1.2405438181505943</v>
      </c>
      <c r="S152" s="207">
        <f t="shared" si="57"/>
        <v>1.5603765038925292</v>
      </c>
      <c r="T152" s="207">
        <f t="shared" si="57"/>
        <v>1.9653383070069901</v>
      </c>
      <c r="U152" s="207">
        <f t="shared" si="57"/>
        <v>2.7724470405161594</v>
      </c>
      <c r="V152" s="207">
        <f t="shared" si="57"/>
        <v>3.0357142857142851</v>
      </c>
      <c r="W152" s="207">
        <f t="shared" si="57"/>
        <v>3.5840256691447028</v>
      </c>
      <c r="X152" s="207">
        <f t="shared" si="57"/>
        <v>6.2103332730529663</v>
      </c>
      <c r="Y152" s="207">
        <f t="shared" si="57"/>
        <v>11.368617573959821</v>
      </c>
      <c r="Z152" s="207">
        <f t="shared" si="57"/>
        <v>24.151785714285708</v>
      </c>
      <c r="AA152" s="207">
        <f t="shared" si="57"/>
        <v>58.080357142857132</v>
      </c>
      <c r="AB152" s="205">
        <f>MAX(AB151-($P$139*$B$133)*(2^(((AB138 - 35) - $P$138)/HLOOKUP((AB138-35)-$B$135,$P$162:$BH$164,3,TRUE))),0)</f>
        <v>121.95297559059789</v>
      </c>
      <c r="AC152" s="205">
        <f>MAX(AC151-($P$139*$B$133)*(2^(((AC138 - 35) - $P$138)/HLOOKUP((AC138-35)-$B$135,$P$162:$BH$164,3,TRUE))),0)</f>
        <v>512.48161226603429</v>
      </c>
      <c r="AD152" s="205">
        <f>MAX(AD151-($P$139*$B$133)*(2^(((AD138 - 35) - $P$138)/HLOOKUP((AD138-35)-$B$135,$P$162:$BH$164,3,TRUE))),0)</f>
        <v>5557.792864255247</v>
      </c>
      <c r="AE152" s="205">
        <f>MAX(AE151-($P$139*$B$133)*(2^(((AE138 - 35) - $P$138)/HLOOKUP((AE138-35)-$B$135,$P$162:$BH$164,3,TRUE))),0)</f>
        <v>13764.945321506788</v>
      </c>
      <c r="AF152" s="205">
        <f>MAX(AF151-($P$139*$B$133)*(2^(((AF138 - 35) - $P$138)/HLOOKUP((AF138-35)-$B$135,$P$162:$BH$164,3,TRUE))),0)</f>
        <v>21278.039953623709</v>
      </c>
      <c r="AG152" s="205">
        <f>MAX(AG151-($P$139*$B$133)*(2^(((AG138 - 35) - $P$138)/HLOOKUP((AG138-35)-$B$135,$P$162:$BH$164,3,TRUE))),0)</f>
        <v>50430.164190010437</v>
      </c>
      <c r="AH152" s="205">
        <f>MAX(AH151-($P$139*$B$133)*(2^(((AH138 - 35) - $P$138)/HLOOKUP((AH138-35)-$B$135,$P$162:$BH$164,3,TRUE))),0)</f>
        <v>33551.402995707496</v>
      </c>
      <c r="AI152" s="205">
        <f>MAX(AI151-($P$139*$B$133)*(2^(((AI138 - 35) - $P$138)/HLOOKUP((AI138-35)-$B$135,$P$162:$BH$164,3,TRUE))),0)</f>
        <v>37513.979144579796</v>
      </c>
      <c r="AJ152" s="205">
        <f>MAX(AJ151-($P$139*$B$133)*(2^(((AJ138 - 35) - $P$138)/HLOOKUP((AJ138-35)-$B$135,$P$162:$BH$164,3,TRUE))),0)</f>
        <v>20544.911077719866</v>
      </c>
      <c r="AK152" s="205">
        <f>MAX(AK151-($P$139*$B$133)*(2^(((AK138 - 35) - $P$138)/HLOOKUP((AK138-35)-$B$135,$P$162:$BH$164,3,TRUE))),0)</f>
        <v>40962.370375624028</v>
      </c>
      <c r="AL152" s="205">
        <f>MAX(AL151-($P$139*$B$133)*(2^(((AL138 - 35) - $P$138)/HLOOKUP((AL138-35)-$B$135,$P$162:$BH$164,3,TRUE))),0)</f>
        <v>42400.499171367694</v>
      </c>
      <c r="AM152" s="205">
        <f>MAX(AM151-($P$139*$B$133)*(2^(((AM138 - 35) - $P$138)/HLOOKUP((AM138-35)-$B$135,$P$162:$BH$164,3,TRUE))),0)</f>
        <v>107727.22469269449</v>
      </c>
      <c r="AN152" s="205">
        <f>MAX(AN151-($P$139*$B$133)*(2^(((AN138 - 35) - $P$138)/HLOOKUP((AN138-35)-$B$135,$P$162:$BH$164,3,TRUE))),0)</f>
        <v>173147.04652534609</v>
      </c>
      <c r="AO152" s="205">
        <f>MAX(AO151-($P$139*$B$133)*(2^(((AO138 - 35) - $P$138)/HLOOKUP((AO138-35)-$B$135,$P$162:$BH$164,3,TRUE))),0)</f>
        <v>150473.53169511273</v>
      </c>
      <c r="AP152" s="205">
        <f>MAX(AP151-($P$139*$B$133)*(2^(((AP138 - 35) - $P$138)/HLOOKUP((AP138-35)-$B$135,$P$162:$BH$164,3,TRUE))),0)</f>
        <v>200675.0588373038</v>
      </c>
      <c r="AQ152" s="205">
        <f>MAX(AQ151-($P$139*$B$133)*(2^(((AQ138 - 35) - $P$138)/HLOOKUP((AQ138-35)-$B$135,$P$162:$BH$164,3,TRUE))),0)</f>
        <v>205533.40787542466</v>
      </c>
      <c r="AR152" s="205">
        <f>MAX(AR151-($P$139*$B$133)*(2^(((AR138 - 35) - $P$138)/HLOOKUP((AR138-35)-$B$135,$P$162:$BH$164,3,TRUE))),0)</f>
        <v>2079092.3441904909</v>
      </c>
      <c r="AS152" s="205">
        <f>MAX(AS151-($P$139*$B$133)*(2^(((AS138 - 35) - $P$138)/HLOOKUP((AS138-35)-$B$135,$P$162:$BH$164,3,TRUE))),0)</f>
        <v>941653.01746410923</v>
      </c>
      <c r="AT152" s="205">
        <f>MAX(AT151-($P$139*$B$133)*(2^(((AT138 - 35) - $P$138)/HLOOKUP((AT138-35)-$B$135,$P$162:$BH$164,3,TRUE))),0)</f>
        <v>744579.24487008248</v>
      </c>
      <c r="AU152" s="205">
        <f>MAX(AU151-($P$139*$B$133)*(2^(((AU138 - 35) - $P$138)/HLOOKUP((AU138-35)-$B$135,$P$162:$BH$164,3,TRUE))),0)</f>
        <v>628775.00328887347</v>
      </c>
      <c r="AV152" s="205">
        <f>MAX(AV151-($P$139*$B$133)*(2^(((AV138 - 35) - $P$138)/HLOOKUP((AV138-35)-$B$135,$P$162:$BH$164,3,TRUE))),0)</f>
        <v>556948.6153099169</v>
      </c>
      <c r="AW152" s="205">
        <f t="shared" ref="AW152:AZ152" si="58">MAX(AW151-($P$139*$B$133)*(2^(((AW138 - 35) - $P$138)/HLOOKUP((AW138-35)-$B$135,$P$162:$BH$164,3,TRUE))),0)</f>
        <v>508449.23303968273</v>
      </c>
      <c r="AX152" s="205">
        <f t="shared" si="58"/>
        <v>407913.24340974761</v>
      </c>
      <c r="AY152" s="205">
        <f t="shared" si="58"/>
        <v>447661.85581688432</v>
      </c>
      <c r="AZ152" s="205">
        <f t="shared" si="58"/>
        <v>471537.81820859679</v>
      </c>
      <c r="BA152" s="205">
        <f>MAX(BA151-($P$139*$B$133)*(2^(((BA138 - 35) - $P$138)/HLOOKUP((BA138-35)-$B$135,$P$162:$BH$164,3,TRUE))),0)</f>
        <v>489158.12831048609</v>
      </c>
      <c r="BB152" s="241">
        <f>MAX(BB151-($P$139*$B$133)*(2^(((BB138 - 35) - $P$138)/HLOOKUP((BB138-35)-$B$135,$P$162:$BH$164,3,TRUE))),0)</f>
        <v>26555443.577914871</v>
      </c>
      <c r="BC152" s="203">
        <f>MAX(BC151-($P$139*$B$133)*(2^(((BC138 - 35) - $P$138)/HLOOKUP((BC138-35)-$B$135,$P$162:$BH$164,3,TRUE))),0)</f>
        <v>13976433.219739527</v>
      </c>
      <c r="BD152" s="203">
        <f>MAX(BD151-($P$139*$B$133)*(2^(((BD138 - 35) - $P$138)/HLOOKUP((BD138-35)-$B$135,$P$162:$BH$164,3,TRUE))),0)</f>
        <v>12575819.160904154</v>
      </c>
      <c r="BE152" s="203">
        <f>MAX(BE151-($P$139*$B$133)*(2^(((BE138 - 35) - $P$138)/HLOOKUP((BE138-35)-$B$135,$P$162:$BH$164,3,TRUE))),0)</f>
        <v>14679447.196659826</v>
      </c>
      <c r="BF152" s="204">
        <f>MAX(BF151-($P$139*$B$133)*(2^(((BF138 - 35) - $P$138)/HLOOKUP((BF138-35)-$B$135,$P$162:$BH$164,3,TRUE))),0)</f>
        <v>19859384.150339574</v>
      </c>
      <c r="BG152" s="199">
        <f>MAX(BG151-($P$139*$B$133)*(2^(((BG138 - 35) - $P$138)/HLOOKUP((BG138-35)-$B$135,$P$162:$BH$164,3,TRUE))),0)</f>
        <v>29469451.018112838</v>
      </c>
      <c r="BH152" s="244"/>
      <c r="BI152" s="45"/>
      <c r="BJ152" s="45"/>
      <c r="BK152" s="69"/>
    </row>
    <row r="153" spans="1:63" x14ac:dyDescent="0.25">
      <c r="A153" s="41" t="s">
        <v>56</v>
      </c>
      <c r="B153" s="15"/>
      <c r="C153" s="16"/>
      <c r="D153" s="16"/>
      <c r="E153" s="16"/>
      <c r="F153" s="16"/>
      <c r="G153" s="16"/>
      <c r="H153" s="16"/>
      <c r="I153" s="16"/>
      <c r="J153" s="16"/>
      <c r="K153" s="16"/>
      <c r="L153" s="16"/>
      <c r="M153" s="16"/>
      <c r="N153" s="16"/>
      <c r="O153" s="16"/>
      <c r="P153" s="226">
        <f t="shared" ref="P153:BG153" si="59">P139*$B$134</f>
        <v>1.71875</v>
      </c>
      <c r="Q153" s="227">
        <f t="shared" si="59"/>
        <v>3.4375</v>
      </c>
      <c r="R153" s="227">
        <f t="shared" si="59"/>
        <v>6.875</v>
      </c>
      <c r="S153" s="227">
        <f t="shared" si="59"/>
        <v>13.75</v>
      </c>
      <c r="T153" s="227">
        <f t="shared" si="59"/>
        <v>27.5</v>
      </c>
      <c r="U153" s="227">
        <f t="shared" si="59"/>
        <v>55</v>
      </c>
      <c r="V153" s="227">
        <f t="shared" si="59"/>
        <v>110</v>
      </c>
      <c r="W153" s="227">
        <f t="shared" si="59"/>
        <v>220</v>
      </c>
      <c r="X153" s="227">
        <f t="shared" si="59"/>
        <v>440</v>
      </c>
      <c r="Y153" s="227">
        <f t="shared" si="59"/>
        <v>880</v>
      </c>
      <c r="Z153" s="227">
        <f t="shared" si="59"/>
        <v>1760</v>
      </c>
      <c r="AA153" s="227">
        <f t="shared" si="59"/>
        <v>3520</v>
      </c>
      <c r="AB153" s="227">
        <f t="shared" si="59"/>
        <v>7040</v>
      </c>
      <c r="AC153" s="227">
        <f t="shared" si="59"/>
        <v>14080</v>
      </c>
      <c r="AD153" s="227">
        <f t="shared" si="59"/>
        <v>28160</v>
      </c>
      <c r="AE153" s="227">
        <f t="shared" ref="AE153:AG153" si="60">AE139*$B$134</f>
        <v>35200</v>
      </c>
      <c r="AF153" s="227">
        <f t="shared" si="60"/>
        <v>42240</v>
      </c>
      <c r="AG153" s="227">
        <f t="shared" si="60"/>
        <v>49280</v>
      </c>
      <c r="AH153" s="227">
        <f t="shared" si="59"/>
        <v>56320</v>
      </c>
      <c r="AI153" s="227">
        <f t="shared" ref="AI153:AK153" si="61">AI139*$B$134</f>
        <v>70400</v>
      </c>
      <c r="AJ153" s="227">
        <f t="shared" si="61"/>
        <v>84480</v>
      </c>
      <c r="AK153" s="227">
        <f t="shared" si="61"/>
        <v>98560</v>
      </c>
      <c r="AL153" s="227">
        <f t="shared" si="59"/>
        <v>112640</v>
      </c>
      <c r="AM153" s="227">
        <f t="shared" ref="AM153:AP153" si="62">AM139*$B$134</f>
        <v>135168</v>
      </c>
      <c r="AN153" s="227">
        <f t="shared" si="62"/>
        <v>157696</v>
      </c>
      <c r="AO153" s="227">
        <f t="shared" si="62"/>
        <v>180224</v>
      </c>
      <c r="AP153" s="227">
        <f t="shared" si="62"/>
        <v>202752</v>
      </c>
      <c r="AQ153" s="227">
        <f t="shared" si="59"/>
        <v>225280</v>
      </c>
      <c r="AR153" s="227">
        <f t="shared" ref="AR153:AU153" si="63">AR139*$B$134</f>
        <v>270336</v>
      </c>
      <c r="AS153" s="227">
        <f t="shared" si="63"/>
        <v>315392</v>
      </c>
      <c r="AT153" s="227">
        <f t="shared" si="63"/>
        <v>360448</v>
      </c>
      <c r="AU153" s="227">
        <f t="shared" si="63"/>
        <v>405504</v>
      </c>
      <c r="AV153" s="227">
        <f t="shared" si="59"/>
        <v>450560</v>
      </c>
      <c r="AW153" s="227">
        <f t="shared" ref="AW153:AZ153" si="64">AW139*$B$134</f>
        <v>540672</v>
      </c>
      <c r="AX153" s="227">
        <f t="shared" si="64"/>
        <v>630784</v>
      </c>
      <c r="AY153" s="227">
        <f t="shared" si="64"/>
        <v>720896</v>
      </c>
      <c r="AZ153" s="227">
        <f t="shared" si="64"/>
        <v>811008</v>
      </c>
      <c r="BA153" s="227">
        <f t="shared" si="59"/>
        <v>901120</v>
      </c>
      <c r="BB153" s="240">
        <f t="shared" ref="BB153:BF153" si="65">BB139*$B$134</f>
        <v>1802240</v>
      </c>
      <c r="BC153" s="199">
        <f t="shared" si="65"/>
        <v>3604480</v>
      </c>
      <c r="BD153" s="199">
        <f t="shared" si="65"/>
        <v>7208960</v>
      </c>
      <c r="BE153" s="199">
        <f t="shared" si="65"/>
        <v>14417920</v>
      </c>
      <c r="BF153" s="200">
        <f t="shared" si="65"/>
        <v>18181102.5</v>
      </c>
      <c r="BG153" s="208">
        <f t="shared" si="59"/>
        <v>18181102.5</v>
      </c>
      <c r="BH153" s="244">
        <f>BH139*B134</f>
        <v>1272677.1750000003</v>
      </c>
      <c r="BI153" s="45"/>
      <c r="BJ153" s="45"/>
      <c r="BK153" s="69"/>
    </row>
    <row r="154" spans="1:63" x14ac:dyDescent="0.25">
      <c r="A154" s="37" t="s">
        <v>55</v>
      </c>
      <c r="B154" s="38"/>
      <c r="C154" s="39"/>
      <c r="D154" s="39"/>
      <c r="E154" s="39"/>
      <c r="F154" s="39"/>
      <c r="G154" s="39"/>
      <c r="H154" s="39"/>
      <c r="I154" s="39"/>
      <c r="J154" s="39"/>
      <c r="K154" s="39"/>
      <c r="L154" s="39"/>
      <c r="M154" s="39"/>
      <c r="N154" s="39"/>
      <c r="O154" s="39"/>
      <c r="P154" s="201"/>
      <c r="Q154" s="202"/>
      <c r="R154" s="202"/>
      <c r="S154" s="202"/>
      <c r="T154" s="202"/>
      <c r="U154" s="202"/>
      <c r="V154" s="202"/>
      <c r="W154" s="202"/>
      <c r="X154" s="202"/>
      <c r="Y154" s="202"/>
      <c r="Z154" s="202"/>
      <c r="AA154" s="202"/>
      <c r="AB154" s="210">
        <f>($P$139*$B$134)*(2^(((AB138-35)-$P$138)/HLOOKUP((AB138-35)-$B$135,$P$162:$BH$164,3,TRUE)))</f>
        <v>1.9276197074851387</v>
      </c>
      <c r="AC154" s="210">
        <f>($P$139*$B$134)*(2^(((AC138-35)-$P$138)/HLOOKUP((AC138-35)-$B$135,$P$162:$BH$164,3,TRUE)))</f>
        <v>3.4203030740849907</v>
      </c>
      <c r="AD154" s="210">
        <f>($P$139*$B$134)*(2^(((AD138-35)-$P$138)/HLOOKUP((AD138-35)-$B$135,$P$162:$BH$164,3,TRUE)))</f>
        <v>14.409992176372132</v>
      </c>
      <c r="AE154" s="210">
        <f>($P$139*$B$134)*(2^(((AE138-35)-$P$138)/HLOOKUP((AE138-35)-$B$135,$P$162:$BH$164,3,TRUE)))</f>
        <v>63.888392857142847</v>
      </c>
      <c r="AF154" s="210">
        <f>($P$139*$B$134)*(2^(((AF138-35)-$P$138)/HLOOKUP((AF138-35)-$B$135,$P$162:$BH$164,3,TRUE)))</f>
        <v>165.98917252979177</v>
      </c>
      <c r="AG154" s="210">
        <f>($P$139*$B$134)*(2^(((AG138-35)-$P$138)/HLOOKUP((AG138-35)-$B$135,$P$162:$BH$164,3,TRUE)))</f>
        <v>567.15007656672276</v>
      </c>
      <c r="AH154" s="210">
        <f>($P$139*$B$134)*(2^(((AH138-35)-$P$138)/HLOOKUP((AH138-35)-$B$135,$P$162:$BH$164,3,TRUE)))</f>
        <v>2089.7151832966865</v>
      </c>
      <c r="AI154" s="210">
        <f>($P$139*$B$134)*(2^(((AI138-35)-$P$138)/HLOOKUP((AI138-35)-$B$135,$P$162:$BH$164,3,TRUE)))</f>
        <v>12115.078227463864</v>
      </c>
      <c r="AJ154" s="210">
        <f>($P$139*$B$134)*(2^(((AJ138-35)-$P$138)/HLOOKUP((AJ138-35)-$B$135,$P$162:$BH$164,3,TRUE)))</f>
        <v>45130.885674578676</v>
      </c>
      <c r="AK154" s="210">
        <f>($P$139*$B$134)*(2^(((AK138-35)-$P$138)/HLOOKUP((AK138-35)-$B$135,$P$162:$BH$164,3,TRUE)))</f>
        <v>38440.685269012167</v>
      </c>
      <c r="AL154" s="210">
        <f>($P$139*$B$134)*(2^(((AL138-35)-$P$138)/HLOOKUP((AL138-35)-$B$135,$P$162:$BH$164,3,TRUE)))</f>
        <v>51255.074451649925</v>
      </c>
      <c r="AM154" s="210">
        <f>($P$139*$B$134)*(2^(((AM138-35)-$P$138)/HLOOKUP((AM138-35)-$B$135,$P$162:$BH$164,3,TRUE)))</f>
        <v>81161.484241895552</v>
      </c>
      <c r="AN154" s="210">
        <f>($P$139*$B$134)*(2^(((AN138-35)-$P$138)/HLOOKUP((AN138-35)-$B$135,$P$162:$BH$164,3,TRUE)))</f>
        <v>178314.3456122925</v>
      </c>
      <c r="AO154" s="210">
        <f>($P$139*$B$134)*(2^(((AO138-35)-$P$138)/HLOOKUP((AO138-35)-$B$135,$P$162:$BH$164,3,TRUE)))</f>
        <v>147186.98865326261</v>
      </c>
      <c r="AP154" s="210">
        <f>($P$139*$B$134)*(2^(((AP138-35)-$P$138)/HLOOKUP((AP138-35)-$B$135,$P$162:$BH$164,3,TRUE)))</f>
        <v>138917.87962470515</v>
      </c>
      <c r="AQ154" s="210">
        <f>($P$139*$B$134)*(2^(((AQ138-35)-$P$138)/HLOOKUP((AQ138-35)-$B$135,$P$162:$BH$164,3,TRUE)))</f>
        <v>171075.85299922506</v>
      </c>
      <c r="AR154" s="210">
        <f>($P$139*$B$134)*(2^(((AR138-35)-$P$138)/HLOOKUP((AR138-35)-$B$135,$P$162:$BH$164,3,TRUE)))</f>
        <v>646150.679176679</v>
      </c>
      <c r="AS154" s="210">
        <f>($P$139*$B$134)*(2^(((AS138-35)-$P$138)/HLOOKUP((AS138-35)-$B$135,$P$162:$BH$164,3,TRUE)))</f>
        <v>481227.61682069476</v>
      </c>
      <c r="AT154" s="210">
        <f>($P$139*$B$134)*(2^(((AT138-35)-$P$138)/HLOOKUP((AT138-35)-$B$135,$P$162:$BH$164,3,TRUE)))</f>
        <v>521063.54613336257</v>
      </c>
      <c r="AU154" s="210">
        <f>($P$139*$B$134)*(2^(((AU138-35)-$P$138)/HLOOKUP((AU138-35)-$B$135,$P$162:$BH$164,3,TRUE)))</f>
        <v>560782.23750559927</v>
      </c>
      <c r="AV154" s="210">
        <f>($P$139*$B$134)*(2^(((AV138-35)-$P$138)/HLOOKUP((AV138-35)-$B$135,$P$162:$BH$164,3,TRUE)))</f>
        <v>604117.72230333276</v>
      </c>
      <c r="AW154" s="210">
        <f t="shared" ref="AW154:AZ154" si="66">($P$139*$B$134)*(2^(((AW138-35)-$P$138)/HLOOKUP((AW138-35)-$B$135,$P$162:$BH$164,3,TRUE)))</f>
        <v>649572.97367151489</v>
      </c>
      <c r="AX154" s="210">
        <f t="shared" si="66"/>
        <v>607986.21967347397</v>
      </c>
      <c r="AY154" s="210">
        <f t="shared" si="66"/>
        <v>744059.8608971166</v>
      </c>
      <c r="AZ154" s="210">
        <f t="shared" si="66"/>
        <v>866545.12420488067</v>
      </c>
      <c r="BA154" s="210">
        <f>($P$139*$B$134)*(2^(((BA138-35)-$P$138)/HLOOKUP((BA138-35)-$B$135,$P$162:$BH$164,3,TRUE)))</f>
        <v>985278.26068710466</v>
      </c>
      <c r="BB154" s="241">
        <f>($P$139*$B$134)*(2^(((BB138-35)-$P$138)/HLOOKUP((BB138-35)-$B$135,$P$162:$BH$164,3,TRUE)))</f>
        <v>58188115.570780158</v>
      </c>
      <c r="BC154" s="203">
        <f>($P$139*$B$134)*(2^(((BC138-35)-$P$138)/HLOOKUP((BC138-35)-$B$135,$P$162:$BH$164,3,TRUE)))</f>
        <v>42227989.597325601</v>
      </c>
      <c r="BD154" s="203">
        <f>($P$139*$B$134)*(2^(((BD138-35)-$P$138)/HLOOKUP((BD138-35)-$B$135,$P$162:$BH$164,3,TRUE)))</f>
        <v>47471160.386607103</v>
      </c>
      <c r="BE154" s="203">
        <f>($P$139*$B$134)*(2^(((BE138-35)-$P$138)/HLOOKUP((BE138-35)-$B$135,$P$162:$BH$164,3,TRUE)))</f>
        <v>65478105.006928325</v>
      </c>
      <c r="BF154" s="204">
        <f>($P$139*$B$134)*(2^(((BF138-35)-$P$138)/HLOOKUP((BF138-35)-$B$135,$P$162:$BH$164,3,TRUE)))</f>
        <v>101022604.51026474</v>
      </c>
      <c r="BG154" s="203">
        <f>($P$139*$B$134)*(2^(((BG138-35)-$P$138)/HLOOKUP((BG138-35)-$B$135,$P$162:$BH$164,3,TRUE)))</f>
        <v>166829709.69014487</v>
      </c>
      <c r="BH154" s="247">
        <f>($P$139*$B$134)*(2^(((BH138 - 35) - $P$138)/BH164))</f>
        <v>12666755.089409046</v>
      </c>
      <c r="BI154" s="45"/>
      <c r="BJ154" s="45"/>
      <c r="BK154" s="69"/>
    </row>
    <row r="155" spans="1:63" s="69" customFormat="1" hidden="1" x14ac:dyDescent="0.25">
      <c r="A155" s="48" t="s">
        <v>105</v>
      </c>
      <c r="B155" s="25"/>
      <c r="C155" s="47"/>
      <c r="D155" s="47"/>
      <c r="E155" s="47"/>
      <c r="F155" s="47"/>
      <c r="G155" s="47"/>
      <c r="H155" s="47"/>
      <c r="I155" s="47"/>
      <c r="J155" s="47"/>
      <c r="K155" s="47"/>
      <c r="L155" s="47"/>
      <c r="M155" s="47"/>
      <c r="N155" s="47"/>
      <c r="O155" s="47"/>
      <c r="P155" s="150">
        <f t="shared" ref="P155:BG155" si="67">P138-7</f>
        <v>43875</v>
      </c>
      <c r="Q155" s="150">
        <f t="shared" si="67"/>
        <v>43883</v>
      </c>
      <c r="R155" s="150">
        <f t="shared" si="67"/>
        <v>43886</v>
      </c>
      <c r="S155" s="150">
        <f t="shared" si="67"/>
        <v>43888</v>
      </c>
      <c r="T155" s="150">
        <f t="shared" si="67"/>
        <v>43891</v>
      </c>
      <c r="U155" s="150">
        <f t="shared" si="67"/>
        <v>43894</v>
      </c>
      <c r="V155" s="150">
        <f t="shared" si="67"/>
        <v>43897</v>
      </c>
      <c r="W155" s="150">
        <f t="shared" si="67"/>
        <v>43899</v>
      </c>
      <c r="X155" s="150">
        <f t="shared" si="67"/>
        <v>43901</v>
      </c>
      <c r="Y155" s="150">
        <f t="shared" si="67"/>
        <v>43903</v>
      </c>
      <c r="Z155" s="150">
        <f t="shared" si="67"/>
        <v>43905</v>
      </c>
      <c r="AA155" s="150">
        <f t="shared" si="67"/>
        <v>43908</v>
      </c>
      <c r="AB155" s="150">
        <f t="shared" si="67"/>
        <v>43911</v>
      </c>
      <c r="AC155" s="150">
        <f t="shared" si="67"/>
        <v>43916</v>
      </c>
      <c r="AD155" s="150">
        <f t="shared" si="67"/>
        <v>43925</v>
      </c>
      <c r="AE155" s="150"/>
      <c r="AF155" s="150"/>
      <c r="AG155" s="150"/>
      <c r="AH155" s="150">
        <f t="shared" si="67"/>
        <v>43941</v>
      </c>
      <c r="AI155" s="150"/>
      <c r="AJ155" s="150"/>
      <c r="AK155" s="150"/>
      <c r="AL155" s="150">
        <f t="shared" si="67"/>
        <v>43973</v>
      </c>
      <c r="AM155" s="150"/>
      <c r="AN155" s="150"/>
      <c r="AO155" s="150"/>
      <c r="AP155" s="150"/>
      <c r="AQ155" s="150">
        <f t="shared" si="67"/>
        <v>44037</v>
      </c>
      <c r="AR155" s="150"/>
      <c r="AS155" s="150"/>
      <c r="AT155" s="150"/>
      <c r="AU155" s="150"/>
      <c r="AV155" s="150">
        <f t="shared" si="67"/>
        <v>44293</v>
      </c>
      <c r="AW155" s="150"/>
      <c r="AX155" s="150"/>
      <c r="AY155" s="150"/>
      <c r="AZ155" s="150"/>
      <c r="BA155" s="150">
        <f t="shared" si="67"/>
        <v>44549</v>
      </c>
      <c r="BB155" s="150"/>
      <c r="BC155" s="150"/>
      <c r="BD155" s="150"/>
      <c r="BE155" s="150"/>
      <c r="BF155" s="150"/>
      <c r="BG155" s="150">
        <f t="shared" si="67"/>
        <v>46085</v>
      </c>
      <c r="BH155" s="150"/>
      <c r="BI155" s="45"/>
      <c r="BJ155" s="45"/>
    </row>
    <row r="156" spans="1:63" s="69" customFormat="1" hidden="1" x14ac:dyDescent="0.25">
      <c r="A156" s="48" t="s">
        <v>103</v>
      </c>
      <c r="B156" s="25"/>
      <c r="C156" s="47"/>
      <c r="D156" s="47"/>
      <c r="E156" s="47"/>
      <c r="F156" s="47"/>
      <c r="G156" s="47"/>
      <c r="H156" s="47"/>
      <c r="I156" s="47"/>
      <c r="J156" s="47"/>
      <c r="K156" s="47"/>
      <c r="L156" s="47"/>
      <c r="M156" s="47"/>
      <c r="N156" s="47"/>
      <c r="O156" s="47"/>
      <c r="P156" s="150">
        <f t="shared" ref="P156:BG156" si="68">P138-14</f>
        <v>43868</v>
      </c>
      <c r="Q156" s="150">
        <f t="shared" si="68"/>
        <v>43876</v>
      </c>
      <c r="R156" s="150">
        <f t="shared" si="68"/>
        <v>43879</v>
      </c>
      <c r="S156" s="150">
        <f t="shared" si="68"/>
        <v>43881</v>
      </c>
      <c r="T156" s="150">
        <f t="shared" si="68"/>
        <v>43884</v>
      </c>
      <c r="U156" s="150">
        <f t="shared" si="68"/>
        <v>43887</v>
      </c>
      <c r="V156" s="150">
        <f t="shared" si="68"/>
        <v>43890</v>
      </c>
      <c r="W156" s="150">
        <f t="shared" si="68"/>
        <v>43892</v>
      </c>
      <c r="X156" s="150">
        <f t="shared" si="68"/>
        <v>43894</v>
      </c>
      <c r="Y156" s="150">
        <f t="shared" si="68"/>
        <v>43896</v>
      </c>
      <c r="Z156" s="150">
        <f t="shared" si="68"/>
        <v>43898</v>
      </c>
      <c r="AA156" s="150">
        <f t="shared" si="68"/>
        <v>43901</v>
      </c>
      <c r="AB156" s="150">
        <f t="shared" si="68"/>
        <v>43904</v>
      </c>
      <c r="AC156" s="150">
        <f t="shared" si="68"/>
        <v>43909</v>
      </c>
      <c r="AD156" s="150">
        <f t="shared" si="68"/>
        <v>43918</v>
      </c>
      <c r="AE156" s="150"/>
      <c r="AF156" s="150"/>
      <c r="AG156" s="150"/>
      <c r="AH156" s="150">
        <f t="shared" si="68"/>
        <v>43934</v>
      </c>
      <c r="AI156" s="150"/>
      <c r="AJ156" s="150"/>
      <c r="AK156" s="150"/>
      <c r="AL156" s="150">
        <f t="shared" si="68"/>
        <v>43966</v>
      </c>
      <c r="AM156" s="150"/>
      <c r="AN156" s="150"/>
      <c r="AO156" s="150"/>
      <c r="AP156" s="150"/>
      <c r="AQ156" s="150">
        <f t="shared" si="68"/>
        <v>44030</v>
      </c>
      <c r="AR156" s="150"/>
      <c r="AS156" s="150"/>
      <c r="AT156" s="150"/>
      <c r="AU156" s="150"/>
      <c r="AV156" s="150">
        <f t="shared" si="68"/>
        <v>44286</v>
      </c>
      <c r="AW156" s="150"/>
      <c r="AX156" s="150"/>
      <c r="AY156" s="150"/>
      <c r="AZ156" s="150"/>
      <c r="BA156" s="150">
        <f t="shared" si="68"/>
        <v>44542</v>
      </c>
      <c r="BB156" s="150"/>
      <c r="BC156" s="150"/>
      <c r="BD156" s="150"/>
      <c r="BE156" s="150"/>
      <c r="BF156" s="150"/>
      <c r="BG156" s="150">
        <f t="shared" si="68"/>
        <v>46078</v>
      </c>
      <c r="BH156" s="150"/>
      <c r="BI156" s="45"/>
      <c r="BJ156" s="45"/>
    </row>
    <row r="157" spans="1:63" s="69" customFormat="1" hidden="1" x14ac:dyDescent="0.25">
      <c r="A157" s="48" t="s">
        <v>106</v>
      </c>
      <c r="B157" s="25"/>
      <c r="C157" s="47"/>
      <c r="D157" s="47"/>
      <c r="E157" s="47"/>
      <c r="F157" s="47"/>
      <c r="G157" s="47"/>
      <c r="H157" s="47"/>
      <c r="I157" s="47"/>
      <c r="J157" s="47"/>
      <c r="K157" s="47"/>
      <c r="L157" s="47"/>
      <c r="M157" s="47"/>
      <c r="N157" s="47"/>
      <c r="O157" s="47"/>
      <c r="P157" s="150">
        <f t="shared" ref="P157:BG157" si="69">P138-(7*5)</f>
        <v>43847</v>
      </c>
      <c r="Q157" s="150">
        <f t="shared" si="69"/>
        <v>43855</v>
      </c>
      <c r="R157" s="150">
        <f t="shared" si="69"/>
        <v>43858</v>
      </c>
      <c r="S157" s="150">
        <f t="shared" si="69"/>
        <v>43860</v>
      </c>
      <c r="T157" s="150">
        <f t="shared" si="69"/>
        <v>43863</v>
      </c>
      <c r="U157" s="150">
        <f t="shared" si="69"/>
        <v>43866</v>
      </c>
      <c r="V157" s="150">
        <f t="shared" si="69"/>
        <v>43869</v>
      </c>
      <c r="W157" s="150">
        <f t="shared" si="69"/>
        <v>43871</v>
      </c>
      <c r="X157" s="150">
        <f t="shared" si="69"/>
        <v>43873</v>
      </c>
      <c r="Y157" s="150">
        <f t="shared" si="69"/>
        <v>43875</v>
      </c>
      <c r="Z157" s="150">
        <f t="shared" si="69"/>
        <v>43877</v>
      </c>
      <c r="AA157" s="150">
        <f t="shared" si="69"/>
        <v>43880</v>
      </c>
      <c r="AB157" s="150">
        <f t="shared" si="69"/>
        <v>43883</v>
      </c>
      <c r="AC157" s="150">
        <f t="shared" si="69"/>
        <v>43888</v>
      </c>
      <c r="AD157" s="150">
        <f t="shared" si="69"/>
        <v>43897</v>
      </c>
      <c r="AE157" s="150"/>
      <c r="AF157" s="150"/>
      <c r="AG157" s="150"/>
      <c r="AH157" s="150">
        <f t="shared" si="69"/>
        <v>43913</v>
      </c>
      <c r="AI157" s="150"/>
      <c r="AJ157" s="150"/>
      <c r="AK157" s="150"/>
      <c r="AL157" s="150">
        <f t="shared" si="69"/>
        <v>43945</v>
      </c>
      <c r="AM157" s="150"/>
      <c r="AN157" s="150"/>
      <c r="AO157" s="150"/>
      <c r="AP157" s="150"/>
      <c r="AQ157" s="150">
        <f t="shared" si="69"/>
        <v>44009</v>
      </c>
      <c r="AR157" s="150"/>
      <c r="AS157" s="150"/>
      <c r="AT157" s="150"/>
      <c r="AU157" s="150"/>
      <c r="AV157" s="150">
        <f t="shared" si="69"/>
        <v>44265</v>
      </c>
      <c r="AW157" s="150"/>
      <c r="AX157" s="150"/>
      <c r="AY157" s="150"/>
      <c r="AZ157" s="150"/>
      <c r="BA157" s="150">
        <f t="shared" si="69"/>
        <v>44521</v>
      </c>
      <c r="BB157" s="150"/>
      <c r="BC157" s="150"/>
      <c r="BD157" s="150"/>
      <c r="BE157" s="150"/>
      <c r="BF157" s="150"/>
      <c r="BG157" s="150">
        <f t="shared" si="69"/>
        <v>46057</v>
      </c>
      <c r="BH157" s="150"/>
      <c r="BI157" s="45"/>
      <c r="BJ157" s="45"/>
    </row>
    <row r="158" spans="1:63" s="69" customFormat="1" hidden="1" x14ac:dyDescent="0.25">
      <c r="A158" s="48" t="s">
        <v>104</v>
      </c>
      <c r="B158" s="25"/>
      <c r="C158" s="47"/>
      <c r="D158" s="47"/>
      <c r="E158" s="47"/>
      <c r="F158" s="47"/>
      <c r="G158" s="47"/>
      <c r="H158" s="47"/>
      <c r="I158" s="47"/>
      <c r="J158" s="47"/>
      <c r="K158" s="47"/>
      <c r="L158" s="47"/>
      <c r="M158" s="47"/>
      <c r="N158" s="47"/>
      <c r="O158" s="47"/>
      <c r="P158" s="150">
        <f t="shared" ref="P158:BG158" si="70">P138-(6*7)</f>
        <v>43840</v>
      </c>
      <c r="Q158" s="150">
        <f t="shared" si="70"/>
        <v>43848</v>
      </c>
      <c r="R158" s="150">
        <f t="shared" si="70"/>
        <v>43851</v>
      </c>
      <c r="S158" s="150">
        <f t="shared" si="70"/>
        <v>43853</v>
      </c>
      <c r="T158" s="150">
        <f t="shared" si="70"/>
        <v>43856</v>
      </c>
      <c r="U158" s="150">
        <f t="shared" si="70"/>
        <v>43859</v>
      </c>
      <c r="V158" s="150">
        <f t="shared" si="70"/>
        <v>43862</v>
      </c>
      <c r="W158" s="150">
        <f t="shared" si="70"/>
        <v>43864</v>
      </c>
      <c r="X158" s="150">
        <f t="shared" si="70"/>
        <v>43866</v>
      </c>
      <c r="Y158" s="150">
        <f t="shared" si="70"/>
        <v>43868</v>
      </c>
      <c r="Z158" s="150">
        <f t="shared" si="70"/>
        <v>43870</v>
      </c>
      <c r="AA158" s="150">
        <f t="shared" si="70"/>
        <v>43873</v>
      </c>
      <c r="AB158" s="150">
        <f t="shared" si="70"/>
        <v>43876</v>
      </c>
      <c r="AC158" s="150">
        <f t="shared" si="70"/>
        <v>43881</v>
      </c>
      <c r="AD158" s="150">
        <f t="shared" si="70"/>
        <v>43890</v>
      </c>
      <c r="AE158" s="150"/>
      <c r="AF158" s="150"/>
      <c r="AG158" s="150"/>
      <c r="AH158" s="150">
        <f t="shared" si="70"/>
        <v>43906</v>
      </c>
      <c r="AI158" s="150"/>
      <c r="AJ158" s="150"/>
      <c r="AK158" s="150"/>
      <c r="AL158" s="150">
        <f t="shared" si="70"/>
        <v>43938</v>
      </c>
      <c r="AM158" s="150"/>
      <c r="AN158" s="150"/>
      <c r="AO158" s="150"/>
      <c r="AP158" s="150"/>
      <c r="AQ158" s="150">
        <f t="shared" si="70"/>
        <v>44002</v>
      </c>
      <c r="AR158" s="150"/>
      <c r="AS158" s="150"/>
      <c r="AT158" s="150"/>
      <c r="AU158" s="150"/>
      <c r="AV158" s="150">
        <f t="shared" si="70"/>
        <v>44258</v>
      </c>
      <c r="AW158" s="150"/>
      <c r="AX158" s="150"/>
      <c r="AY158" s="150"/>
      <c r="AZ158" s="150"/>
      <c r="BA158" s="150">
        <f t="shared" si="70"/>
        <v>44514</v>
      </c>
      <c r="BB158" s="150"/>
      <c r="BC158" s="150"/>
      <c r="BD158" s="150"/>
      <c r="BE158" s="150"/>
      <c r="BF158" s="150"/>
      <c r="BG158" s="150">
        <f t="shared" si="70"/>
        <v>46050</v>
      </c>
      <c r="BH158" s="150"/>
      <c r="BI158" s="45"/>
      <c r="BJ158" s="45"/>
    </row>
    <row r="160" spans="1:63" x14ac:dyDescent="0.25">
      <c r="A160" s="53" t="s">
        <v>48</v>
      </c>
      <c r="B160" s="15"/>
      <c r="C160" s="16"/>
      <c r="D160" s="16"/>
      <c r="E160" s="16"/>
      <c r="F160" s="16"/>
      <c r="G160" s="16"/>
      <c r="H160" s="16"/>
      <c r="I160" s="16"/>
      <c r="J160" s="16"/>
      <c r="K160" s="16"/>
      <c r="L160" s="16"/>
      <c r="M160" s="16"/>
      <c r="N160" s="16"/>
      <c r="O160" s="16"/>
    </row>
    <row r="161" spans="1:60" s="69" customFormat="1" x14ac:dyDescent="0.25">
      <c r="A161" s="143" t="s">
        <v>102</v>
      </c>
      <c r="B161" s="25"/>
      <c r="C161" s="47"/>
      <c r="D161" s="47"/>
      <c r="E161" s="47"/>
      <c r="F161" s="47"/>
      <c r="G161" s="47"/>
      <c r="H161" s="47"/>
      <c r="I161" s="47"/>
      <c r="J161" s="47"/>
      <c r="K161" s="47"/>
      <c r="L161" s="47"/>
      <c r="M161" s="47"/>
      <c r="N161" s="47"/>
      <c r="O161" s="47"/>
      <c r="P161" s="141">
        <f t="shared" ref="P161:BH161" si="71">(P138-$B$135)/7</f>
        <v>4.4285714285714288</v>
      </c>
      <c r="Q161" s="141">
        <f t="shared" si="71"/>
        <v>5.5714285714285712</v>
      </c>
      <c r="R161" s="145">
        <f t="shared" si="71"/>
        <v>6</v>
      </c>
      <c r="S161" s="145">
        <f t="shared" si="71"/>
        <v>6.2857142857142856</v>
      </c>
      <c r="T161" s="141">
        <f t="shared" si="71"/>
        <v>6.7142857142857144</v>
      </c>
      <c r="U161" s="145">
        <f t="shared" si="71"/>
        <v>7.1428571428571432</v>
      </c>
      <c r="V161" s="141">
        <f t="shared" si="71"/>
        <v>7.5714285714285712</v>
      </c>
      <c r="W161" s="145">
        <f t="shared" si="71"/>
        <v>7.8571428571428568</v>
      </c>
      <c r="X161" s="145">
        <f t="shared" si="71"/>
        <v>8.1428571428571423</v>
      </c>
      <c r="Y161" s="142">
        <f t="shared" si="71"/>
        <v>8.4285714285714288</v>
      </c>
      <c r="Z161" s="145">
        <f t="shared" si="71"/>
        <v>8.7142857142857135</v>
      </c>
      <c r="AA161" s="145">
        <f t="shared" si="71"/>
        <v>9.1428571428571423</v>
      </c>
      <c r="AB161" s="141">
        <f t="shared" si="71"/>
        <v>9.5714285714285712</v>
      </c>
      <c r="AC161" s="142">
        <f t="shared" si="71"/>
        <v>10.285714285714286</v>
      </c>
      <c r="AD161" s="142">
        <f t="shared" si="71"/>
        <v>11.571428571428571</v>
      </c>
      <c r="AE161" s="144">
        <f t="shared" ref="AE161:AG161" si="72">(AE138-$B$135)/7</f>
        <v>12.142857142857142</v>
      </c>
      <c r="AF161" s="144">
        <f t="shared" si="72"/>
        <v>12.714285714285714</v>
      </c>
      <c r="AG161" s="144">
        <f t="shared" si="72"/>
        <v>13.285714285714286</v>
      </c>
      <c r="AH161" s="144">
        <f t="shared" si="71"/>
        <v>13.857142857142858</v>
      </c>
      <c r="AI161" s="144">
        <f t="shared" ref="AI161:AK161" si="73">(AI138-$B$135)/7</f>
        <v>15</v>
      </c>
      <c r="AJ161" s="144">
        <f t="shared" si="73"/>
        <v>16.142857142857142</v>
      </c>
      <c r="AK161" s="144">
        <f t="shared" si="73"/>
        <v>17.285714285714285</v>
      </c>
      <c r="AL161" s="144">
        <f t="shared" si="71"/>
        <v>18.428571428571427</v>
      </c>
      <c r="AM161" s="142">
        <f t="shared" ref="AM161:AP161" si="74">(AM138-$B$135)/7</f>
        <v>20.257142857143272</v>
      </c>
      <c r="AN161" s="142">
        <f t="shared" si="74"/>
        <v>22.085714285714079</v>
      </c>
      <c r="AO161" s="142">
        <f t="shared" si="74"/>
        <v>23.914285714285921</v>
      </c>
      <c r="AP161" s="142">
        <f t="shared" si="74"/>
        <v>25.742857142856728</v>
      </c>
      <c r="AQ161" s="142">
        <f t="shared" si="71"/>
        <v>27.571428571428573</v>
      </c>
      <c r="AR161" s="144">
        <f t="shared" ref="AR161:AU161" si="75">(AR138-$B$135)/7</f>
        <v>34.885714285713867</v>
      </c>
      <c r="AS161" s="144">
        <f t="shared" si="75"/>
        <v>42.200000000000209</v>
      </c>
      <c r="AT161" s="144">
        <f t="shared" si="75"/>
        <v>49.514285714285506</v>
      </c>
      <c r="AU161" s="144">
        <f t="shared" si="75"/>
        <v>56.828571428571841</v>
      </c>
      <c r="AV161" s="144">
        <f t="shared" si="71"/>
        <v>64.142857142857139</v>
      </c>
      <c r="AW161" s="141">
        <f t="shared" ref="AW161:AZ161" si="76">(AW138-$B$135)/7</f>
        <v>71.457142857142443</v>
      </c>
      <c r="AX161" s="141">
        <f t="shared" si="76"/>
        <v>78.771428571428785</v>
      </c>
      <c r="AY161" s="141">
        <f t="shared" si="76"/>
        <v>86.085714285714076</v>
      </c>
      <c r="AZ161" s="141">
        <f t="shared" si="76"/>
        <v>93.400000000000418</v>
      </c>
      <c r="BA161" s="141">
        <f t="shared" si="71"/>
        <v>100.71428571428571</v>
      </c>
      <c r="BB161" s="141">
        <f t="shared" ref="BB161:BF161" si="77">(BB138-$B$135)/7</f>
        <v>137.28571428571428</v>
      </c>
      <c r="BC161" s="141">
        <f t="shared" si="77"/>
        <v>173.85714285714286</v>
      </c>
      <c r="BD161" s="141">
        <f t="shared" si="77"/>
        <v>210.42857142857142</v>
      </c>
      <c r="BE161" s="141">
        <f t="shared" si="77"/>
        <v>247</v>
      </c>
      <c r="BF161" s="141">
        <f t="shared" si="77"/>
        <v>283.57142857142856</v>
      </c>
      <c r="BG161" s="144">
        <f t="shared" si="71"/>
        <v>320.14285714285717</v>
      </c>
      <c r="BH161" s="144">
        <f t="shared" si="71"/>
        <v>328.14285714285717</v>
      </c>
    </row>
    <row r="162" spans="1:60" s="69" customFormat="1" x14ac:dyDescent="0.25">
      <c r="A162" s="143" t="s">
        <v>101</v>
      </c>
      <c r="B162" s="25"/>
      <c r="C162" s="47"/>
      <c r="D162" s="47"/>
      <c r="E162" s="47"/>
      <c r="F162" s="47"/>
      <c r="G162" s="47"/>
      <c r="H162" s="47"/>
      <c r="I162" s="47"/>
      <c r="J162" s="47"/>
      <c r="K162" s="47"/>
      <c r="L162" s="47"/>
      <c r="M162" s="47"/>
      <c r="N162" s="47"/>
      <c r="O162" s="47"/>
      <c r="P162" s="269">
        <f>P138-$B$135</f>
        <v>31</v>
      </c>
      <c r="Q162" s="234">
        <f t="shared" ref="Q162:U162" si="78">Q138-$B$135</f>
        <v>39</v>
      </c>
      <c r="R162" s="234">
        <f t="shared" si="78"/>
        <v>42</v>
      </c>
      <c r="S162" s="234">
        <f t="shared" si="78"/>
        <v>44</v>
      </c>
      <c r="T162" s="234">
        <f t="shared" si="78"/>
        <v>47</v>
      </c>
      <c r="U162" s="234">
        <f t="shared" si="78"/>
        <v>50</v>
      </c>
      <c r="V162" s="234">
        <f>V138-$B$135</f>
        <v>53</v>
      </c>
      <c r="W162" s="234">
        <f t="shared" ref="W162:BH162" si="79">W138-$B$135</f>
        <v>55</v>
      </c>
      <c r="X162" s="234">
        <f t="shared" si="79"/>
        <v>57</v>
      </c>
      <c r="Y162" s="234">
        <f t="shared" si="79"/>
        <v>59</v>
      </c>
      <c r="Z162" s="234">
        <f t="shared" si="79"/>
        <v>61</v>
      </c>
      <c r="AA162" s="234">
        <f t="shared" si="79"/>
        <v>64</v>
      </c>
      <c r="AB162" s="234">
        <f t="shared" si="79"/>
        <v>67</v>
      </c>
      <c r="AC162" s="234">
        <f t="shared" si="79"/>
        <v>72</v>
      </c>
      <c r="AD162" s="234">
        <f t="shared" si="79"/>
        <v>81</v>
      </c>
      <c r="AE162" s="234">
        <f t="shared" ref="AE162:AG162" si="80">AE138-$B$135</f>
        <v>85</v>
      </c>
      <c r="AF162" s="234">
        <f t="shared" si="80"/>
        <v>89</v>
      </c>
      <c r="AG162" s="234">
        <f t="shared" si="80"/>
        <v>93</v>
      </c>
      <c r="AH162" s="234">
        <f t="shared" si="79"/>
        <v>97</v>
      </c>
      <c r="AI162" s="234">
        <f t="shared" ref="AI162:AK162" si="81">AI138-$B$135</f>
        <v>105</v>
      </c>
      <c r="AJ162" s="234">
        <f t="shared" si="81"/>
        <v>113</v>
      </c>
      <c r="AK162" s="234">
        <f t="shared" si="81"/>
        <v>121</v>
      </c>
      <c r="AL162" s="234">
        <f t="shared" si="79"/>
        <v>129</v>
      </c>
      <c r="AM162" s="234">
        <f t="shared" ref="AM162:AP162" si="82">AM138-$B$135</f>
        <v>141.80000000000291</v>
      </c>
      <c r="AN162" s="234">
        <f t="shared" si="82"/>
        <v>154.59999999999854</v>
      </c>
      <c r="AO162" s="234">
        <f t="shared" si="82"/>
        <v>167.40000000000146</v>
      </c>
      <c r="AP162" s="234">
        <f t="shared" si="82"/>
        <v>180.19999999999709</v>
      </c>
      <c r="AQ162" s="234">
        <f t="shared" si="79"/>
        <v>193</v>
      </c>
      <c r="AR162" s="234">
        <f t="shared" ref="AR162:AU162" si="83">AR138-$B$135</f>
        <v>244.19999999999709</v>
      </c>
      <c r="AS162" s="234">
        <f t="shared" si="83"/>
        <v>295.40000000000146</v>
      </c>
      <c r="AT162" s="234">
        <f t="shared" si="83"/>
        <v>346.59999999999854</v>
      </c>
      <c r="AU162" s="234">
        <f t="shared" si="83"/>
        <v>397.80000000000291</v>
      </c>
      <c r="AV162" s="234">
        <f t="shared" si="79"/>
        <v>449</v>
      </c>
      <c r="AW162" s="235">
        <f t="shared" ref="AW162:AZ162" si="84">AW138-$B$135</f>
        <v>500.19999999999709</v>
      </c>
      <c r="AX162" s="235">
        <f t="shared" si="84"/>
        <v>551.40000000000146</v>
      </c>
      <c r="AY162" s="235">
        <f t="shared" si="84"/>
        <v>602.59999999999854</v>
      </c>
      <c r="AZ162" s="235">
        <f t="shared" si="84"/>
        <v>653.80000000000291</v>
      </c>
      <c r="BA162" s="235">
        <f t="shared" si="79"/>
        <v>705</v>
      </c>
      <c r="BB162" s="262">
        <f t="shared" ref="BB162:BF162" si="85">BB138-$B$135</f>
        <v>961</v>
      </c>
      <c r="BC162" s="191">
        <f t="shared" si="85"/>
        <v>1217</v>
      </c>
      <c r="BD162" s="191">
        <f t="shared" si="85"/>
        <v>1473</v>
      </c>
      <c r="BE162" s="191">
        <f t="shared" si="85"/>
        <v>1729</v>
      </c>
      <c r="BF162" s="191">
        <f t="shared" si="85"/>
        <v>1985</v>
      </c>
      <c r="BG162" s="191">
        <f t="shared" si="79"/>
        <v>2241</v>
      </c>
      <c r="BH162" s="191">
        <f t="shared" si="79"/>
        <v>2297</v>
      </c>
    </row>
    <row r="163" spans="1:60" x14ac:dyDescent="0.25">
      <c r="A163" s="41" t="s">
        <v>42</v>
      </c>
      <c r="B163" s="16"/>
      <c r="C163" s="16"/>
      <c r="D163" s="16"/>
      <c r="E163" s="16"/>
      <c r="F163" s="16"/>
      <c r="G163" s="16"/>
      <c r="H163" s="16"/>
      <c r="I163" s="16"/>
      <c r="J163" s="16"/>
      <c r="K163" s="16"/>
      <c r="L163" s="16"/>
      <c r="M163" s="16"/>
      <c r="N163" s="16"/>
      <c r="O163" s="16"/>
      <c r="P163" s="146">
        <v>35</v>
      </c>
      <c r="Q163" s="147">
        <v>68</v>
      </c>
      <c r="R163" s="148">
        <v>124</v>
      </c>
      <c r="S163" s="148">
        <v>221</v>
      </c>
      <c r="T163" s="148">
        <v>541</v>
      </c>
      <c r="U163" s="148">
        <v>1301</v>
      </c>
      <c r="V163" s="148">
        <v>2771</v>
      </c>
      <c r="W163" s="148">
        <v>4604</v>
      </c>
      <c r="X163" s="148">
        <v>9317</v>
      </c>
      <c r="Y163" s="148">
        <v>19551</v>
      </c>
      <c r="Z163" s="148">
        <v>33840</v>
      </c>
      <c r="AA163" s="148">
        <v>68905</v>
      </c>
      <c r="AB163" s="148">
        <v>124788</v>
      </c>
      <c r="AC163" s="148">
        <v>250708</v>
      </c>
      <c r="AD163" s="148">
        <v>539942</v>
      </c>
      <c r="AE163" s="148">
        <v>652474</v>
      </c>
      <c r="AF163" s="148">
        <v>770014</v>
      </c>
      <c r="AG163" s="148">
        <v>886274</v>
      </c>
      <c r="AH163" s="148">
        <v>1010356</v>
      </c>
      <c r="AI163" s="183">
        <f t="shared" ref="AI163:AK163" si="86">AI139</f>
        <v>1280000</v>
      </c>
      <c r="AJ163" s="183">
        <f t="shared" si="86"/>
        <v>1536000</v>
      </c>
      <c r="AK163" s="183">
        <f t="shared" si="86"/>
        <v>1792000</v>
      </c>
      <c r="AL163" s="183">
        <f>AL139</f>
        <v>2048000</v>
      </c>
      <c r="AM163" s="183">
        <f t="shared" ref="AM163:AP163" si="87">AH163*2</f>
        <v>2020712</v>
      </c>
      <c r="AN163" s="183">
        <f t="shared" si="87"/>
        <v>2560000</v>
      </c>
      <c r="AO163" s="183">
        <f t="shared" si="87"/>
        <v>3072000</v>
      </c>
      <c r="AP163" s="183">
        <f t="shared" si="87"/>
        <v>3584000</v>
      </c>
      <c r="AQ163" s="183">
        <f>AL163*2</f>
        <v>4096000</v>
      </c>
      <c r="AR163" s="183">
        <f t="shared" ref="AR163:AU163" si="88">AM163*2</f>
        <v>4041424</v>
      </c>
      <c r="AS163" s="183">
        <f t="shared" si="88"/>
        <v>5120000</v>
      </c>
      <c r="AT163" s="183">
        <f t="shared" si="88"/>
        <v>6144000</v>
      </c>
      <c r="AU163" s="183">
        <f t="shared" si="88"/>
        <v>7168000</v>
      </c>
      <c r="AV163" s="183">
        <f>AQ163*2</f>
        <v>8192000</v>
      </c>
      <c r="AW163" s="183">
        <f t="shared" ref="AW163:AZ163" si="89">AR163*2</f>
        <v>8082848</v>
      </c>
      <c r="AX163" s="183">
        <f t="shared" si="89"/>
        <v>10240000</v>
      </c>
      <c r="AY163" s="183">
        <f t="shared" si="89"/>
        <v>12288000</v>
      </c>
      <c r="AZ163" s="183">
        <f t="shared" si="89"/>
        <v>14336000</v>
      </c>
      <c r="BA163" s="183">
        <f>AV163*2</f>
        <v>16384000</v>
      </c>
      <c r="BB163" s="187">
        <f t="shared" ref="BB163" si="90">BA163*2</f>
        <v>32768000</v>
      </c>
      <c r="BC163" s="187">
        <f t="shared" ref="BC163" si="91">BB163*2</f>
        <v>65536000</v>
      </c>
      <c r="BD163" s="187">
        <f t="shared" ref="BD163" si="92">BC163*2</f>
        <v>131072000</v>
      </c>
      <c r="BE163" s="187">
        <f t="shared" ref="BE163" si="93">BD163*2</f>
        <v>262144000</v>
      </c>
      <c r="BF163" s="187">
        <f t="shared" ref="BF163" si="94">BE163*2</f>
        <v>524288000</v>
      </c>
      <c r="BG163" s="187">
        <f>BG139</f>
        <v>330565500</v>
      </c>
      <c r="BH163" s="188">
        <f>BG139</f>
        <v>330565500</v>
      </c>
    </row>
    <row r="164" spans="1:60" x14ac:dyDescent="0.25">
      <c r="A164" s="41" t="s">
        <v>157</v>
      </c>
      <c r="B164" s="16"/>
      <c r="C164" s="16"/>
      <c r="D164" s="16"/>
      <c r="E164" s="16"/>
      <c r="F164" s="16"/>
      <c r="G164" s="16"/>
      <c r="H164" s="16"/>
      <c r="I164" s="16"/>
      <c r="J164" s="16"/>
      <c r="K164" s="16"/>
      <c r="L164" s="16"/>
      <c r="M164" s="16"/>
      <c r="N164" s="16"/>
      <c r="O164" s="16"/>
      <c r="P164" s="194">
        <f>(P138-B135)/(LOG(P163/1)/LOG(2))</f>
        <v>6.0437296787073755</v>
      </c>
      <c r="Q164" s="174">
        <f>(Q138-$P$138)/(LOG(Q163/$P$163)/LOG(2))</f>
        <v>8.3491634837954933</v>
      </c>
      <c r="R164" s="174">
        <f t="shared" ref="R164:BH164" si="95">(R138-$P$138)/(LOG(R163/$P$163)/LOG(2))</f>
        <v>6.0276836381926202</v>
      </c>
      <c r="S164" s="174">
        <f t="shared" si="95"/>
        <v>4.8897556767514709</v>
      </c>
      <c r="T164" s="174">
        <f t="shared" si="95"/>
        <v>4.0504260147273037</v>
      </c>
      <c r="U164" s="174">
        <f t="shared" si="95"/>
        <v>3.6425526786068976</v>
      </c>
      <c r="V164" s="174">
        <f t="shared" si="95"/>
        <v>3.4882386226134869</v>
      </c>
      <c r="W164" s="174">
        <f t="shared" si="95"/>
        <v>3.4093867599891814</v>
      </c>
      <c r="X164" s="174">
        <f t="shared" si="95"/>
        <v>3.2272612172752644</v>
      </c>
      <c r="Y164" s="174">
        <f t="shared" si="95"/>
        <v>3.0682672712732586</v>
      </c>
      <c r="Z164" s="174">
        <f t="shared" si="95"/>
        <v>3.0250599197351313</v>
      </c>
      <c r="AA164" s="174">
        <f t="shared" si="95"/>
        <v>3.0156159459256791</v>
      </c>
      <c r="AB164" s="174">
        <f t="shared" si="95"/>
        <v>3.0508896880563214</v>
      </c>
      <c r="AC164" s="174">
        <f t="shared" si="95"/>
        <v>3.201532865133665</v>
      </c>
      <c r="AD164" s="174">
        <f t="shared" si="95"/>
        <v>3.5937194117521298</v>
      </c>
      <c r="AE164" s="174">
        <f t="shared" si="95"/>
        <v>3.8064952970597021</v>
      </c>
      <c r="AF164" s="174">
        <f t="shared" si="95"/>
        <v>4.020729736229403</v>
      </c>
      <c r="AG164" s="174">
        <f t="shared" si="95"/>
        <v>4.2384148703141689</v>
      </c>
      <c r="AH164" s="174">
        <f t="shared" ref="AH164:AK164" si="96">(AH138-$P$138)/(LOG(AH163/$P$163)/LOG(2))</f>
        <v>4.4542981107309165</v>
      </c>
      <c r="AI164" s="184">
        <f t="shared" si="96"/>
        <v>4.8817722621419071</v>
      </c>
      <c r="AJ164" s="184">
        <f t="shared" si="96"/>
        <v>5.3172643810778863</v>
      </c>
      <c r="AK164" s="184">
        <f t="shared" si="96"/>
        <v>5.7530572327062561</v>
      </c>
      <c r="AL164" s="184">
        <f t="shared" si="95"/>
        <v>6.1882355416328014</v>
      </c>
      <c r="AM164" s="184">
        <f t="shared" ref="AM164:AP164" si="97">(AM138-$P$138)/(LOG(AM163/$P$163)/LOG(2))</f>
        <v>7.005054963336975</v>
      </c>
      <c r="AN164" s="184">
        <f t="shared" si="97"/>
        <v>7.6492583051448371</v>
      </c>
      <c r="AO164" s="184">
        <f t="shared" si="97"/>
        <v>8.3062022925239791</v>
      </c>
      <c r="AP164" s="184">
        <f t="shared" si="97"/>
        <v>8.9642687547167839</v>
      </c>
      <c r="AQ164" s="184">
        <f t="shared" si="95"/>
        <v>9.6219515815096521</v>
      </c>
      <c r="AR164" s="184">
        <f t="shared" ref="AR164:AU164" si="98">(AR138-$P$138)/(LOG(AR163/$P$163)/LOG(2))</f>
        <v>12.67753509090236</v>
      </c>
      <c r="AS164" s="184">
        <f t="shared" si="98"/>
        <v>15.409335808803199</v>
      </c>
      <c r="AT164" s="184">
        <f t="shared" si="98"/>
        <v>18.115584556778611</v>
      </c>
      <c r="AU164" s="184">
        <f t="shared" si="98"/>
        <v>20.789106193949667</v>
      </c>
      <c r="AV164" s="184">
        <f t="shared" si="95"/>
        <v>23.435089299522666</v>
      </c>
      <c r="AW164" s="184">
        <f t="shared" ref="AW164:AZ164" si="99">(AW138-$P$138)/(LOG(AW163/$P$163)/LOG(2))</f>
        <v>26.334179103989193</v>
      </c>
      <c r="AX164" s="184">
        <f t="shared" si="99"/>
        <v>28.658866337400006</v>
      </c>
      <c r="AY164" s="184">
        <f t="shared" si="99"/>
        <v>31.0290217533814</v>
      </c>
      <c r="AZ164" s="184">
        <f t="shared" si="99"/>
        <v>33.405106414711533</v>
      </c>
      <c r="BA164" s="184">
        <f t="shared" si="95"/>
        <v>35.781591837075005</v>
      </c>
      <c r="BB164" s="189">
        <f t="shared" ref="BB164" si="100">(BB138-$P$138)/(LOG(BB163/$P$163)/LOG(2))</f>
        <v>46.883267742055239</v>
      </c>
      <c r="BC164" s="189">
        <f t="shared" ref="BC164" si="101">(BC138-$P$138)/(LOG(BC163/$P$163)/LOG(2))</f>
        <v>56.919344796024866</v>
      </c>
      <c r="BD164" s="189">
        <f t="shared" ref="BD164" si="102">(BD138-$P$138)/(LOG(BD163/$P$163)/LOG(2))</f>
        <v>66.036219920076633</v>
      </c>
      <c r="BE164" s="189">
        <f t="shared" ref="BE164" si="103">(BE138-$P$138)/(LOG(BE163/$P$163)/LOG(2))</f>
        <v>74.35464741704466</v>
      </c>
      <c r="BF164" s="189">
        <f t="shared" ref="BF164" si="104">(BF138-$P$138)/(LOG(BF163/$P$163)/LOG(2))</f>
        <v>81.975117826809281</v>
      </c>
      <c r="BG164" s="189">
        <f t="shared" si="95"/>
        <v>95.377522315434575</v>
      </c>
      <c r="BH164" s="190">
        <f t="shared" si="95"/>
        <v>97.794328310757805</v>
      </c>
    </row>
    <row r="165" spans="1:60" x14ac:dyDescent="0.25">
      <c r="A165" s="41" t="s">
        <v>195</v>
      </c>
      <c r="B165" s="16"/>
      <c r="C165" s="16"/>
      <c r="D165" s="16"/>
      <c r="E165" s="16"/>
      <c r="F165" s="16"/>
      <c r="G165" s="16"/>
      <c r="H165" s="16"/>
      <c r="I165" s="16"/>
      <c r="J165" s="16"/>
      <c r="K165" s="16"/>
      <c r="L165" s="16"/>
      <c r="M165" s="16"/>
      <c r="N165" s="16"/>
      <c r="O165" s="16"/>
      <c r="P165" s="266">
        <v>29</v>
      </c>
      <c r="Q165" s="263">
        <v>60</v>
      </c>
      <c r="R165" s="263">
        <v>106</v>
      </c>
      <c r="S165" s="263">
        <v>200</v>
      </c>
      <c r="T165" s="263">
        <v>504</v>
      </c>
      <c r="U165" s="263">
        <v>1248</v>
      </c>
      <c r="V165" s="263">
        <v>2664</v>
      </c>
      <c r="W165" s="263">
        <v>4434</v>
      </c>
      <c r="X165" s="263">
        <v>9032</v>
      </c>
      <c r="Y165" s="263">
        <v>19092</v>
      </c>
      <c r="Z165" s="263">
        <v>33150</v>
      </c>
      <c r="AA165" s="263">
        <v>67231</v>
      </c>
      <c r="AB165" s="263">
        <v>118766</v>
      </c>
      <c r="AC165" s="263">
        <v>232646</v>
      </c>
      <c r="AD165" s="263">
        <v>485427</v>
      </c>
      <c r="AE165" s="263">
        <v>571061</v>
      </c>
      <c r="AF165" s="263">
        <v>657926</v>
      </c>
      <c r="AG165" s="263">
        <v>750118</v>
      </c>
      <c r="AH165" s="263">
        <v>814569</v>
      </c>
      <c r="AI165" s="267"/>
      <c r="AJ165" s="267"/>
      <c r="AK165" s="267"/>
      <c r="AL165" s="267"/>
      <c r="AM165" s="267"/>
      <c r="AN165" s="267"/>
      <c r="AO165" s="267"/>
      <c r="AP165" s="267"/>
      <c r="AQ165" s="267"/>
      <c r="AR165" s="267"/>
      <c r="AS165" s="267"/>
      <c r="AT165" s="267"/>
      <c r="AU165" s="267"/>
      <c r="AV165" s="267"/>
      <c r="AW165" s="267"/>
      <c r="AX165" s="267"/>
      <c r="AY165" s="267"/>
      <c r="AZ165" s="267"/>
      <c r="BA165" s="267"/>
      <c r="BB165" s="189"/>
      <c r="BC165" s="189"/>
      <c r="BD165" s="189"/>
      <c r="BE165" s="189"/>
      <c r="BF165" s="189"/>
      <c r="BG165" s="189"/>
      <c r="BH165" s="190"/>
    </row>
    <row r="166" spans="1:60" x14ac:dyDescent="0.25">
      <c r="A166" s="41" t="s">
        <v>63</v>
      </c>
      <c r="B166" s="16"/>
      <c r="C166" s="16"/>
      <c r="D166" s="16"/>
      <c r="E166" s="16"/>
      <c r="F166" s="16"/>
      <c r="G166" s="16"/>
      <c r="H166" s="16"/>
      <c r="I166" s="16"/>
      <c r="J166" s="16"/>
      <c r="K166" s="16"/>
      <c r="L166" s="16"/>
      <c r="M166" s="16"/>
      <c r="N166" s="16"/>
      <c r="O166" s="16"/>
      <c r="P166" s="233">
        <f>P163-P167-P165</f>
        <v>6</v>
      </c>
      <c r="Q166" s="149">
        <f t="shared" ref="Q166:AE166" si="105">Q163-Q167-Q165</f>
        <v>7</v>
      </c>
      <c r="R166" s="149">
        <f t="shared" si="105"/>
        <v>9</v>
      </c>
      <c r="S166" s="149">
        <f t="shared" si="105"/>
        <v>9</v>
      </c>
      <c r="T166" s="149">
        <f t="shared" si="105"/>
        <v>15</v>
      </c>
      <c r="U166" s="149">
        <f t="shared" si="105"/>
        <v>15</v>
      </c>
      <c r="V166" s="149">
        <f t="shared" si="105"/>
        <v>49</v>
      </c>
      <c r="W166" s="149">
        <f t="shared" si="105"/>
        <v>75</v>
      </c>
      <c r="X166" s="149">
        <f t="shared" si="105"/>
        <v>114</v>
      </c>
      <c r="Y166" s="149">
        <f t="shared" si="105"/>
        <v>150</v>
      </c>
      <c r="Z166" s="149">
        <f t="shared" si="105"/>
        <v>181</v>
      </c>
      <c r="AA166" s="149">
        <f t="shared" si="105"/>
        <v>414</v>
      </c>
      <c r="AB166" s="149">
        <f t="shared" si="105"/>
        <v>3268</v>
      </c>
      <c r="AC166" s="149">
        <f t="shared" si="105"/>
        <v>10486</v>
      </c>
      <c r="AD166" s="149">
        <f t="shared" si="105"/>
        <v>30453</v>
      </c>
      <c r="AE166" s="149">
        <f t="shared" si="105"/>
        <v>48701</v>
      </c>
      <c r="AF166" s="149">
        <f t="shared" ref="AF166:AH166" si="106">AF163-AF167-AF165</f>
        <v>71187</v>
      </c>
      <c r="AG166" s="149">
        <f t="shared" si="106"/>
        <v>85922</v>
      </c>
      <c r="AH166" s="149">
        <f t="shared" si="106"/>
        <v>138990</v>
      </c>
      <c r="AI166" s="253"/>
      <c r="AJ166" s="253"/>
      <c r="AK166" s="253"/>
      <c r="AL166" s="253"/>
      <c r="AM166" s="185"/>
      <c r="AN166" s="185"/>
      <c r="AO166" s="185"/>
      <c r="AP166" s="185"/>
      <c r="AQ166" s="185"/>
      <c r="AR166" s="185"/>
      <c r="AS166" s="185"/>
      <c r="AT166" s="185"/>
      <c r="AU166" s="185"/>
      <c r="AV166" s="185"/>
      <c r="AW166" s="185"/>
      <c r="AX166" s="185"/>
      <c r="AY166" s="185"/>
      <c r="AZ166" s="185"/>
      <c r="BA166" s="185"/>
      <c r="BB166" s="187"/>
      <c r="BC166" s="107"/>
      <c r="BD166" s="107"/>
      <c r="BE166" s="107"/>
      <c r="BF166" s="107"/>
      <c r="BG166" s="107"/>
      <c r="BH166" s="108"/>
    </row>
    <row r="167" spans="1:60" x14ac:dyDescent="0.25">
      <c r="A167" s="49" t="s">
        <v>43</v>
      </c>
      <c r="B167" s="38"/>
      <c r="C167" s="39"/>
      <c r="D167" s="39"/>
      <c r="E167" s="39"/>
      <c r="F167" s="39"/>
      <c r="G167" s="39"/>
      <c r="H167" s="39"/>
      <c r="I167" s="39"/>
      <c r="J167" s="39"/>
      <c r="K167" s="39"/>
      <c r="L167" s="39"/>
      <c r="M167" s="39"/>
      <c r="N167" s="39"/>
      <c r="O167" s="39"/>
      <c r="P167" s="67">
        <v>0</v>
      </c>
      <c r="Q167" s="68">
        <v>1</v>
      </c>
      <c r="R167" s="52">
        <v>9</v>
      </c>
      <c r="S167" s="52">
        <v>12</v>
      </c>
      <c r="T167" s="52">
        <v>22</v>
      </c>
      <c r="U167" s="52">
        <v>38</v>
      </c>
      <c r="V167" s="52">
        <v>58</v>
      </c>
      <c r="W167" s="52">
        <v>95</v>
      </c>
      <c r="X167" s="52">
        <v>171</v>
      </c>
      <c r="Y167" s="52">
        <v>309</v>
      </c>
      <c r="Z167" s="52">
        <v>509</v>
      </c>
      <c r="AA167" s="52">
        <v>1260</v>
      </c>
      <c r="AB167" s="52">
        <v>2754</v>
      </c>
      <c r="AC167" s="52">
        <v>7576</v>
      </c>
      <c r="AD167" s="52">
        <v>24062</v>
      </c>
      <c r="AE167" s="52">
        <v>32712</v>
      </c>
      <c r="AF167" s="52">
        <v>40901</v>
      </c>
      <c r="AG167" s="52">
        <v>50234</v>
      </c>
      <c r="AH167" s="52">
        <v>56797</v>
      </c>
      <c r="AI167" s="254"/>
      <c r="AJ167" s="254"/>
      <c r="AK167" s="254"/>
      <c r="AL167" s="254"/>
      <c r="AM167" s="186"/>
      <c r="AN167" s="186"/>
      <c r="AO167" s="186"/>
      <c r="AP167" s="186"/>
      <c r="AQ167" s="186"/>
      <c r="AR167" s="186"/>
      <c r="AS167" s="186"/>
      <c r="AT167" s="186"/>
      <c r="AU167" s="186"/>
      <c r="AV167" s="186"/>
      <c r="AW167" s="186"/>
      <c r="AX167" s="186"/>
      <c r="AY167" s="186"/>
      <c r="AZ167" s="186"/>
      <c r="BA167" s="186"/>
      <c r="BB167" s="187"/>
      <c r="BC167" s="107"/>
      <c r="BD167" s="107"/>
      <c r="BE167" s="107"/>
      <c r="BF167" s="107"/>
      <c r="BG167" s="107"/>
      <c r="BH167" s="108"/>
    </row>
    <row r="168" spans="1:60" x14ac:dyDescent="0.25">
      <c r="B168" s="3"/>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row>
    <row r="169" spans="1:60" x14ac:dyDescent="0.25">
      <c r="A169" s="74" t="s">
        <v>49</v>
      </c>
      <c r="AQ169" s="16"/>
      <c r="AR169" s="16"/>
      <c r="AS169" s="16"/>
      <c r="AT169" s="16"/>
      <c r="AU169" s="16"/>
    </row>
    <row r="170" spans="1:60" x14ac:dyDescent="0.25">
      <c r="A170" s="4" t="s">
        <v>0</v>
      </c>
      <c r="B170" s="193" t="s">
        <v>118</v>
      </c>
      <c r="C170" s="5" t="s">
        <v>3</v>
      </c>
      <c r="D170" s="193" t="s">
        <v>51</v>
      </c>
      <c r="E170" s="58" t="s">
        <v>2</v>
      </c>
      <c r="F170" s="9" t="s">
        <v>3</v>
      </c>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5"/>
      <c r="BH170" s="47"/>
    </row>
    <row r="171" spans="1:60" x14ac:dyDescent="0.25">
      <c r="A171" s="41" t="s">
        <v>12</v>
      </c>
      <c r="B171" s="13">
        <f>'Population by Age - Wikipedia'!D41</f>
        <v>3.6394890344941602E-2</v>
      </c>
      <c r="C171" s="12">
        <f>$B$125*B171</f>
        <v>12030895.124320794</v>
      </c>
      <c r="D171" s="22">
        <f>'AU Infection Rate by Age'!C4</f>
        <v>2.8847876724601325E-2</v>
      </c>
      <c r="E171" s="5"/>
      <c r="F171" s="16"/>
      <c r="G171" s="16"/>
      <c r="H171" s="16"/>
      <c r="I171" s="16"/>
      <c r="J171" s="16"/>
      <c r="K171" s="16"/>
      <c r="L171" s="16"/>
      <c r="M171" s="16"/>
      <c r="N171" s="16"/>
      <c r="O171" s="16"/>
      <c r="P171" s="18">
        <f t="shared" ref="P171:BG171" si="107">P$139*$D$171</f>
        <v>0.90149614764379138</v>
      </c>
      <c r="Q171" s="19">
        <f t="shared" si="107"/>
        <v>1.8029922952875828</v>
      </c>
      <c r="R171" s="19">
        <f t="shared" si="107"/>
        <v>3.6059845905751655</v>
      </c>
      <c r="S171" s="19">
        <f t="shared" si="107"/>
        <v>7.211969181150331</v>
      </c>
      <c r="T171" s="19">
        <f t="shared" si="107"/>
        <v>14.423938362300662</v>
      </c>
      <c r="U171" s="19">
        <f t="shared" si="107"/>
        <v>28.847876724601324</v>
      </c>
      <c r="V171" s="19">
        <f t="shared" si="107"/>
        <v>57.695753449202648</v>
      </c>
      <c r="W171" s="19">
        <f t="shared" si="107"/>
        <v>115.3915068984053</v>
      </c>
      <c r="X171" s="19">
        <f t="shared" si="107"/>
        <v>230.78301379681059</v>
      </c>
      <c r="Y171" s="19">
        <f t="shared" si="107"/>
        <v>461.56602759362119</v>
      </c>
      <c r="Z171" s="19">
        <f t="shared" si="107"/>
        <v>923.13205518724237</v>
      </c>
      <c r="AA171" s="19">
        <f t="shared" si="107"/>
        <v>1846.2641103744847</v>
      </c>
      <c r="AB171" s="19">
        <f t="shared" si="107"/>
        <v>3692.5282207489695</v>
      </c>
      <c r="AC171" s="19">
        <f t="shared" si="107"/>
        <v>7385.056441497939</v>
      </c>
      <c r="AD171" s="19">
        <f t="shared" si="107"/>
        <v>14770.112882995878</v>
      </c>
      <c r="AE171" s="19">
        <f t="shared" si="107"/>
        <v>18462.641103744849</v>
      </c>
      <c r="AF171" s="19">
        <f t="shared" si="107"/>
        <v>22155.169324493818</v>
      </c>
      <c r="AG171" s="19">
        <f t="shared" si="107"/>
        <v>25847.697545242787</v>
      </c>
      <c r="AH171" s="19">
        <f t="shared" si="107"/>
        <v>29540.225765991756</v>
      </c>
      <c r="AI171" s="19">
        <f t="shared" si="107"/>
        <v>36925.282207489698</v>
      </c>
      <c r="AJ171" s="19">
        <f t="shared" si="107"/>
        <v>44310.338648987636</v>
      </c>
      <c r="AK171" s="19">
        <f t="shared" si="107"/>
        <v>51695.395090485574</v>
      </c>
      <c r="AL171" s="19">
        <f t="shared" si="107"/>
        <v>59080.451531983512</v>
      </c>
      <c r="AM171" s="19">
        <f t="shared" si="107"/>
        <v>70896.541838380217</v>
      </c>
      <c r="AN171" s="19">
        <f t="shared" si="107"/>
        <v>82712.632144776915</v>
      </c>
      <c r="AO171" s="19">
        <f t="shared" si="107"/>
        <v>94528.722451173628</v>
      </c>
      <c r="AP171" s="19">
        <f t="shared" si="107"/>
        <v>106344.81275757033</v>
      </c>
      <c r="AQ171" s="19">
        <f t="shared" si="107"/>
        <v>118160.90306396702</v>
      </c>
      <c r="AR171" s="19">
        <f t="shared" si="107"/>
        <v>141793.08367676043</v>
      </c>
      <c r="AS171" s="19">
        <f t="shared" si="107"/>
        <v>165425.26428955383</v>
      </c>
      <c r="AT171" s="19">
        <f t="shared" si="107"/>
        <v>189057.44490234726</v>
      </c>
      <c r="AU171" s="19">
        <f t="shared" si="107"/>
        <v>212689.62551514065</v>
      </c>
      <c r="AV171" s="19">
        <f t="shared" si="107"/>
        <v>236321.80612793405</v>
      </c>
      <c r="AW171" s="19">
        <f t="shared" si="107"/>
        <v>283586.16735352087</v>
      </c>
      <c r="AX171" s="19">
        <f t="shared" si="107"/>
        <v>330850.52857910766</v>
      </c>
      <c r="AY171" s="19">
        <f t="shared" si="107"/>
        <v>378114.88980469451</v>
      </c>
      <c r="AZ171" s="19">
        <f t="shared" si="107"/>
        <v>425379.2510302813</v>
      </c>
      <c r="BA171" s="19">
        <f t="shared" si="107"/>
        <v>472643.61225586809</v>
      </c>
      <c r="BB171" s="18">
        <f t="shared" si="107"/>
        <v>945287.22451173619</v>
      </c>
      <c r="BC171" s="19">
        <f t="shared" si="107"/>
        <v>1890574.4490234724</v>
      </c>
      <c r="BD171" s="19">
        <f t="shared" si="107"/>
        <v>3781148.8980469448</v>
      </c>
      <c r="BE171" s="19">
        <f t="shared" si="107"/>
        <v>7562297.7960938895</v>
      </c>
      <c r="BF171" s="19">
        <f t="shared" si="107"/>
        <v>9536112.7934061997</v>
      </c>
      <c r="BG171" s="60">
        <f t="shared" si="107"/>
        <v>9536112.7934061997</v>
      </c>
      <c r="BH171" s="45"/>
    </row>
    <row r="172" spans="1:60" x14ac:dyDescent="0.25">
      <c r="A172" s="41"/>
      <c r="B172" s="6"/>
      <c r="C172" s="10"/>
      <c r="D172" s="8"/>
      <c r="E172" s="27">
        <v>0.14799999999999999</v>
      </c>
      <c r="F172" s="10"/>
      <c r="G172" s="10"/>
      <c r="H172" s="10"/>
      <c r="I172" s="10"/>
      <c r="J172" s="10"/>
      <c r="K172" s="10"/>
      <c r="L172" s="10"/>
      <c r="M172" s="10"/>
      <c r="N172" s="10"/>
      <c r="O172" s="10"/>
      <c r="P172" s="29">
        <f t="shared" ref="P172:BG172" si="108">P$139*$D$171*$E$172</f>
        <v>0.13342142985128111</v>
      </c>
      <c r="Q172" s="30">
        <f t="shared" si="108"/>
        <v>0.26684285970256222</v>
      </c>
      <c r="R172" s="30">
        <f t="shared" si="108"/>
        <v>0.53368571940512444</v>
      </c>
      <c r="S172" s="30">
        <f t="shared" si="108"/>
        <v>1.0673714388102489</v>
      </c>
      <c r="T172" s="30">
        <f t="shared" si="108"/>
        <v>2.1347428776204977</v>
      </c>
      <c r="U172" s="30">
        <f t="shared" si="108"/>
        <v>4.2694857552409955</v>
      </c>
      <c r="V172" s="30">
        <f t="shared" si="108"/>
        <v>8.538971510481991</v>
      </c>
      <c r="W172" s="30">
        <f t="shared" si="108"/>
        <v>17.077943020963982</v>
      </c>
      <c r="X172" s="30">
        <f t="shared" si="108"/>
        <v>34.155886041927964</v>
      </c>
      <c r="Y172" s="30">
        <f t="shared" si="108"/>
        <v>68.311772083855928</v>
      </c>
      <c r="Z172" s="30">
        <f t="shared" si="108"/>
        <v>136.62354416771186</v>
      </c>
      <c r="AA172" s="30">
        <f t="shared" si="108"/>
        <v>273.24708833542371</v>
      </c>
      <c r="AB172" s="30">
        <f t="shared" si="108"/>
        <v>546.49417667084742</v>
      </c>
      <c r="AC172" s="30">
        <f t="shared" si="108"/>
        <v>1092.9883533416948</v>
      </c>
      <c r="AD172" s="30">
        <f t="shared" si="108"/>
        <v>2185.9767066833897</v>
      </c>
      <c r="AE172" s="30">
        <f t="shared" si="108"/>
        <v>2732.4708833542377</v>
      </c>
      <c r="AF172" s="30">
        <f t="shared" si="108"/>
        <v>3278.9650600250848</v>
      </c>
      <c r="AG172" s="30">
        <f t="shared" si="108"/>
        <v>3825.4592366959323</v>
      </c>
      <c r="AH172" s="30">
        <f t="shared" si="108"/>
        <v>4371.9534133667794</v>
      </c>
      <c r="AI172" s="30">
        <f t="shared" si="108"/>
        <v>5464.9417667084754</v>
      </c>
      <c r="AJ172" s="30">
        <f t="shared" si="108"/>
        <v>6557.9301200501695</v>
      </c>
      <c r="AK172" s="30">
        <f t="shared" si="108"/>
        <v>7650.9184733918646</v>
      </c>
      <c r="AL172" s="30">
        <f t="shared" si="108"/>
        <v>8743.9068267335588</v>
      </c>
      <c r="AM172" s="30">
        <f t="shared" si="108"/>
        <v>10492.688192080272</v>
      </c>
      <c r="AN172" s="30">
        <f t="shared" si="108"/>
        <v>12241.469557426983</v>
      </c>
      <c r="AO172" s="30">
        <f t="shared" si="108"/>
        <v>13990.250922773695</v>
      </c>
      <c r="AP172" s="30">
        <f t="shared" si="108"/>
        <v>15739.032288120407</v>
      </c>
      <c r="AQ172" s="30">
        <f t="shared" si="108"/>
        <v>17487.813653467118</v>
      </c>
      <c r="AR172" s="30">
        <f t="shared" si="108"/>
        <v>20985.376384160543</v>
      </c>
      <c r="AS172" s="30">
        <f t="shared" si="108"/>
        <v>24482.939114853965</v>
      </c>
      <c r="AT172" s="30">
        <f t="shared" si="108"/>
        <v>27980.501845547391</v>
      </c>
      <c r="AU172" s="30">
        <f t="shared" si="108"/>
        <v>31478.064576240813</v>
      </c>
      <c r="AV172" s="30">
        <f t="shared" si="108"/>
        <v>34975.627306934235</v>
      </c>
      <c r="AW172" s="30">
        <f t="shared" si="108"/>
        <v>41970.752768321086</v>
      </c>
      <c r="AX172" s="30">
        <f t="shared" si="108"/>
        <v>48965.878229707931</v>
      </c>
      <c r="AY172" s="30">
        <f t="shared" si="108"/>
        <v>55961.003691094782</v>
      </c>
      <c r="AZ172" s="30">
        <f t="shared" si="108"/>
        <v>62956.129152481626</v>
      </c>
      <c r="BA172" s="30">
        <f t="shared" si="108"/>
        <v>69951.25461386847</v>
      </c>
      <c r="BB172" s="29">
        <f t="shared" si="108"/>
        <v>139902.50922773694</v>
      </c>
      <c r="BC172" s="30">
        <f t="shared" si="108"/>
        <v>279805.01845547388</v>
      </c>
      <c r="BD172" s="30">
        <f t="shared" si="108"/>
        <v>559610.03691094776</v>
      </c>
      <c r="BE172" s="30">
        <f t="shared" si="108"/>
        <v>1119220.0738218955</v>
      </c>
      <c r="BF172" s="30">
        <f t="shared" si="108"/>
        <v>1411344.6934241175</v>
      </c>
      <c r="BG172" s="71">
        <f t="shared" si="108"/>
        <v>1411344.6934241175</v>
      </c>
      <c r="BH172" s="45"/>
    </row>
    <row r="173" spans="1:60" x14ac:dyDescent="0.25">
      <c r="A173" s="41" t="s">
        <v>13</v>
      </c>
      <c r="B173" s="6">
        <f>'Population by Age - Wikipedia'!D37</f>
        <v>5.3752877231864643E-2</v>
      </c>
      <c r="C173" s="10">
        <f t="shared" ref="C173:C187" si="109">$B$125*B173</f>
        <v>17768846.73858995</v>
      </c>
      <c r="D173" s="23">
        <f>'AU Infection Rate by Age'!C5</f>
        <v>0.10661171833004837</v>
      </c>
      <c r="E173" s="17"/>
      <c r="F173" s="16"/>
      <c r="G173" s="16"/>
      <c r="H173" s="16"/>
      <c r="I173" s="16"/>
      <c r="J173" s="16"/>
      <c r="K173" s="16"/>
      <c r="L173" s="16"/>
      <c r="M173" s="16"/>
      <c r="N173" s="16"/>
      <c r="O173" s="16"/>
      <c r="P173" s="20">
        <f t="shared" ref="P173:BG173" si="110">P$139*$D$173</f>
        <v>3.3316161978140117</v>
      </c>
      <c r="Q173" s="21">
        <f t="shared" si="110"/>
        <v>6.6632323956280235</v>
      </c>
      <c r="R173" s="21">
        <f t="shared" si="110"/>
        <v>13.326464791256047</v>
      </c>
      <c r="S173" s="21">
        <f t="shared" si="110"/>
        <v>26.652929582512094</v>
      </c>
      <c r="T173" s="21">
        <f t="shared" si="110"/>
        <v>53.305859165024188</v>
      </c>
      <c r="U173" s="21">
        <f t="shared" si="110"/>
        <v>106.61171833004838</v>
      </c>
      <c r="V173" s="21">
        <f t="shared" si="110"/>
        <v>213.22343666009675</v>
      </c>
      <c r="W173" s="21">
        <f t="shared" si="110"/>
        <v>426.4468733201935</v>
      </c>
      <c r="X173" s="21">
        <f t="shared" si="110"/>
        <v>852.89374664038701</v>
      </c>
      <c r="Y173" s="21">
        <f t="shared" si="110"/>
        <v>1705.787493280774</v>
      </c>
      <c r="Z173" s="21">
        <f t="shared" si="110"/>
        <v>3411.574986561548</v>
      </c>
      <c r="AA173" s="21">
        <f t="shared" si="110"/>
        <v>6823.1499731230961</v>
      </c>
      <c r="AB173" s="21">
        <f t="shared" si="110"/>
        <v>13646.299946246192</v>
      </c>
      <c r="AC173" s="21">
        <f t="shared" si="110"/>
        <v>27292.599892492384</v>
      </c>
      <c r="AD173" s="21">
        <f t="shared" si="110"/>
        <v>54585.199784984768</v>
      </c>
      <c r="AE173" s="21">
        <f t="shared" si="110"/>
        <v>68231.499731230957</v>
      </c>
      <c r="AF173" s="21">
        <f t="shared" si="110"/>
        <v>81877.799677477145</v>
      </c>
      <c r="AG173" s="21">
        <f t="shared" si="110"/>
        <v>95524.099623723334</v>
      </c>
      <c r="AH173" s="21">
        <f t="shared" si="110"/>
        <v>109170.39956996954</v>
      </c>
      <c r="AI173" s="21">
        <f t="shared" si="110"/>
        <v>136462.99946246191</v>
      </c>
      <c r="AJ173" s="21">
        <f t="shared" si="110"/>
        <v>163755.59935495429</v>
      </c>
      <c r="AK173" s="21">
        <f t="shared" si="110"/>
        <v>191048.19924744667</v>
      </c>
      <c r="AL173" s="21">
        <f t="shared" si="110"/>
        <v>218340.79913993907</v>
      </c>
      <c r="AM173" s="21">
        <f t="shared" si="110"/>
        <v>262008.95896792688</v>
      </c>
      <c r="AN173" s="21">
        <f t="shared" si="110"/>
        <v>305677.11879591469</v>
      </c>
      <c r="AO173" s="21">
        <f t="shared" si="110"/>
        <v>349345.27862390253</v>
      </c>
      <c r="AP173" s="21">
        <f t="shared" si="110"/>
        <v>393013.43845189031</v>
      </c>
      <c r="AQ173" s="21">
        <f t="shared" si="110"/>
        <v>436681.59827987815</v>
      </c>
      <c r="AR173" s="21">
        <f t="shared" si="110"/>
        <v>524017.91793585377</v>
      </c>
      <c r="AS173" s="21">
        <f t="shared" si="110"/>
        <v>611354.23759182938</v>
      </c>
      <c r="AT173" s="21">
        <f t="shared" si="110"/>
        <v>698690.55724780506</v>
      </c>
      <c r="AU173" s="21">
        <f t="shared" si="110"/>
        <v>786026.87690378062</v>
      </c>
      <c r="AV173" s="21">
        <f t="shared" si="110"/>
        <v>873363.1965597563</v>
      </c>
      <c r="AW173" s="21">
        <f t="shared" si="110"/>
        <v>1048035.8358717075</v>
      </c>
      <c r="AX173" s="21">
        <f t="shared" si="110"/>
        <v>1222708.4751836588</v>
      </c>
      <c r="AY173" s="21">
        <f t="shared" si="110"/>
        <v>1397381.1144956101</v>
      </c>
      <c r="AZ173" s="21">
        <f t="shared" si="110"/>
        <v>1572053.7538075612</v>
      </c>
      <c r="BA173" s="21">
        <f t="shared" si="110"/>
        <v>1746726.3931195126</v>
      </c>
      <c r="BB173" s="20">
        <f t="shared" si="110"/>
        <v>3493452.7862390252</v>
      </c>
      <c r="BC173" s="21">
        <f t="shared" si="110"/>
        <v>6986905.5724780504</v>
      </c>
      <c r="BD173" s="21">
        <f t="shared" si="110"/>
        <v>13973811.144956101</v>
      </c>
      <c r="BE173" s="21">
        <f t="shared" si="110"/>
        <v>27947622.289912201</v>
      </c>
      <c r="BF173" s="21">
        <f t="shared" si="110"/>
        <v>35242155.975631602</v>
      </c>
      <c r="BG173" s="72">
        <f t="shared" si="110"/>
        <v>35242155.975631602</v>
      </c>
      <c r="BH173" s="45"/>
    </row>
    <row r="174" spans="1:60" x14ac:dyDescent="0.25">
      <c r="A174" s="41"/>
      <c r="B174" s="6"/>
      <c r="C174" s="10"/>
      <c r="D174" s="8"/>
      <c r="E174" s="27">
        <v>0.08</v>
      </c>
      <c r="F174" s="10"/>
      <c r="G174" s="10"/>
      <c r="H174" s="10"/>
      <c r="I174" s="10"/>
      <c r="J174" s="10"/>
      <c r="K174" s="10"/>
      <c r="L174" s="10"/>
      <c r="M174" s="10"/>
      <c r="N174" s="10"/>
      <c r="O174" s="10"/>
      <c r="P174" s="29">
        <f t="shared" ref="P174:BG174" si="111">P$139*$D$173*$E$174</f>
        <v>0.26652929582512097</v>
      </c>
      <c r="Q174" s="30">
        <f t="shared" si="111"/>
        <v>0.53305859165024194</v>
      </c>
      <c r="R174" s="30">
        <f t="shared" si="111"/>
        <v>1.0661171833004839</v>
      </c>
      <c r="S174" s="30">
        <f t="shared" si="111"/>
        <v>2.1322343666009678</v>
      </c>
      <c r="T174" s="30">
        <f t="shared" si="111"/>
        <v>4.2644687332019355</v>
      </c>
      <c r="U174" s="30">
        <f t="shared" si="111"/>
        <v>8.5289374664038711</v>
      </c>
      <c r="V174" s="30">
        <f t="shared" si="111"/>
        <v>17.057874932807742</v>
      </c>
      <c r="W174" s="30">
        <f t="shared" si="111"/>
        <v>34.115749865615484</v>
      </c>
      <c r="X174" s="30">
        <f t="shared" si="111"/>
        <v>68.231499731230969</v>
      </c>
      <c r="Y174" s="30">
        <f t="shared" si="111"/>
        <v>136.46299946246194</v>
      </c>
      <c r="Z174" s="30">
        <f t="shared" si="111"/>
        <v>272.92599892492387</v>
      </c>
      <c r="AA174" s="30">
        <f t="shared" si="111"/>
        <v>545.85199784984775</v>
      </c>
      <c r="AB174" s="30">
        <f t="shared" si="111"/>
        <v>1091.7039956996955</v>
      </c>
      <c r="AC174" s="30">
        <f t="shared" si="111"/>
        <v>2183.407991399391</v>
      </c>
      <c r="AD174" s="30">
        <f t="shared" si="111"/>
        <v>4366.815982798782</v>
      </c>
      <c r="AE174" s="30">
        <f t="shared" si="111"/>
        <v>5458.519978498477</v>
      </c>
      <c r="AF174" s="30">
        <f t="shared" si="111"/>
        <v>6550.2239741981721</v>
      </c>
      <c r="AG174" s="30">
        <f t="shared" si="111"/>
        <v>7641.9279698978671</v>
      </c>
      <c r="AH174" s="30">
        <f t="shared" si="111"/>
        <v>8733.631965597564</v>
      </c>
      <c r="AI174" s="30">
        <f t="shared" si="111"/>
        <v>10917.039956996954</v>
      </c>
      <c r="AJ174" s="30">
        <f t="shared" si="111"/>
        <v>13100.447948396344</v>
      </c>
      <c r="AK174" s="30">
        <f t="shared" si="111"/>
        <v>15283.855939795734</v>
      </c>
      <c r="AL174" s="30">
        <f t="shared" si="111"/>
        <v>17467.263931195128</v>
      </c>
      <c r="AM174" s="30">
        <f t="shared" si="111"/>
        <v>20960.716717434152</v>
      </c>
      <c r="AN174" s="30">
        <f t="shared" si="111"/>
        <v>24454.169503673176</v>
      </c>
      <c r="AO174" s="30">
        <f t="shared" si="111"/>
        <v>27947.622289912204</v>
      </c>
      <c r="AP174" s="30">
        <f t="shared" si="111"/>
        <v>31441.075076151224</v>
      </c>
      <c r="AQ174" s="30">
        <f t="shared" si="111"/>
        <v>34934.527862390256</v>
      </c>
      <c r="AR174" s="30">
        <f t="shared" si="111"/>
        <v>41921.433434868304</v>
      </c>
      <c r="AS174" s="30">
        <f t="shared" si="111"/>
        <v>48908.339007346352</v>
      </c>
      <c r="AT174" s="30">
        <f t="shared" si="111"/>
        <v>55895.244579824408</v>
      </c>
      <c r="AU174" s="30">
        <f t="shared" si="111"/>
        <v>62882.150152302449</v>
      </c>
      <c r="AV174" s="30">
        <f t="shared" si="111"/>
        <v>69869.055724780512</v>
      </c>
      <c r="AW174" s="30">
        <f t="shared" si="111"/>
        <v>83842.866869736608</v>
      </c>
      <c r="AX174" s="30">
        <f t="shared" si="111"/>
        <v>97816.678014692705</v>
      </c>
      <c r="AY174" s="30">
        <f t="shared" si="111"/>
        <v>111790.48915964882</v>
      </c>
      <c r="AZ174" s="30">
        <f t="shared" si="111"/>
        <v>125764.3003046049</v>
      </c>
      <c r="BA174" s="30">
        <f t="shared" si="111"/>
        <v>139738.11144956102</v>
      </c>
      <c r="BB174" s="29">
        <f t="shared" si="111"/>
        <v>279476.22289912205</v>
      </c>
      <c r="BC174" s="30">
        <f t="shared" si="111"/>
        <v>558952.44579824409</v>
      </c>
      <c r="BD174" s="30">
        <f t="shared" si="111"/>
        <v>1117904.8915964882</v>
      </c>
      <c r="BE174" s="30">
        <f t="shared" si="111"/>
        <v>2235809.7831929764</v>
      </c>
      <c r="BF174" s="30">
        <f t="shared" si="111"/>
        <v>2819372.4780505281</v>
      </c>
      <c r="BG174" s="71">
        <f t="shared" si="111"/>
        <v>2819372.4780505281</v>
      </c>
      <c r="BH174" s="45"/>
    </row>
    <row r="175" spans="1:60" x14ac:dyDescent="0.25">
      <c r="A175" s="41" t="s">
        <v>14</v>
      </c>
      <c r="B175" s="6">
        <f>'Population by Age - Wikipedia'!D33</f>
        <v>9.4748533661399834E-2</v>
      </c>
      <c r="C175" s="10">
        <f t="shared" si="109"/>
        <v>31320596.404047467</v>
      </c>
      <c r="D175" s="23">
        <f>'AU Infection Rate by Age'!C6</f>
        <v>0.16735352087439526</v>
      </c>
      <c r="E175" s="17"/>
      <c r="F175" s="10"/>
      <c r="G175" s="10"/>
      <c r="H175" s="10"/>
      <c r="I175" s="10"/>
      <c r="J175" s="10"/>
      <c r="K175" s="10"/>
      <c r="L175" s="10"/>
      <c r="M175" s="10"/>
      <c r="N175" s="10"/>
      <c r="O175" s="10"/>
      <c r="P175" s="20">
        <f t="shared" ref="P175:BG175" si="112">P$139*$D$175</f>
        <v>5.2297975273248518</v>
      </c>
      <c r="Q175" s="21">
        <f t="shared" si="112"/>
        <v>10.459595054649704</v>
      </c>
      <c r="R175" s="21">
        <f t="shared" si="112"/>
        <v>20.919190109299407</v>
      </c>
      <c r="S175" s="21">
        <f t="shared" si="112"/>
        <v>41.838380218598815</v>
      </c>
      <c r="T175" s="21">
        <f t="shared" si="112"/>
        <v>83.676760437197629</v>
      </c>
      <c r="U175" s="21">
        <f t="shared" si="112"/>
        <v>167.35352087439526</v>
      </c>
      <c r="V175" s="21">
        <f t="shared" si="112"/>
        <v>334.70704174879052</v>
      </c>
      <c r="W175" s="21">
        <f t="shared" si="112"/>
        <v>669.41408349758103</v>
      </c>
      <c r="X175" s="21">
        <f t="shared" si="112"/>
        <v>1338.8281669951621</v>
      </c>
      <c r="Y175" s="21">
        <f t="shared" si="112"/>
        <v>2677.6563339903241</v>
      </c>
      <c r="Z175" s="21">
        <f t="shared" si="112"/>
        <v>5355.3126679806483</v>
      </c>
      <c r="AA175" s="21">
        <f t="shared" si="112"/>
        <v>10710.625335961297</v>
      </c>
      <c r="AB175" s="21">
        <f t="shared" si="112"/>
        <v>21421.250671922593</v>
      </c>
      <c r="AC175" s="21">
        <f t="shared" si="112"/>
        <v>42842.501343845186</v>
      </c>
      <c r="AD175" s="21">
        <f t="shared" si="112"/>
        <v>85685.002687690372</v>
      </c>
      <c r="AE175" s="21">
        <f t="shared" si="112"/>
        <v>107106.25335961297</v>
      </c>
      <c r="AF175" s="21">
        <f t="shared" si="112"/>
        <v>128527.50403153556</v>
      </c>
      <c r="AG175" s="21">
        <f t="shared" si="112"/>
        <v>149948.75470345814</v>
      </c>
      <c r="AH175" s="21">
        <f t="shared" si="112"/>
        <v>171370.00537538074</v>
      </c>
      <c r="AI175" s="21">
        <f t="shared" si="112"/>
        <v>214212.50671922593</v>
      </c>
      <c r="AJ175" s="21">
        <f t="shared" si="112"/>
        <v>257055.00806307112</v>
      </c>
      <c r="AK175" s="21">
        <f t="shared" si="112"/>
        <v>299897.50940691627</v>
      </c>
      <c r="AL175" s="21">
        <f t="shared" si="112"/>
        <v>342740.01075076149</v>
      </c>
      <c r="AM175" s="21">
        <f t="shared" si="112"/>
        <v>411288.01290091377</v>
      </c>
      <c r="AN175" s="21">
        <f t="shared" si="112"/>
        <v>479836.01505106606</v>
      </c>
      <c r="AO175" s="21">
        <f t="shared" si="112"/>
        <v>548384.0172012184</v>
      </c>
      <c r="AP175" s="21">
        <f t="shared" si="112"/>
        <v>616932.01935137063</v>
      </c>
      <c r="AQ175" s="21">
        <f t="shared" si="112"/>
        <v>685480.02150152298</v>
      </c>
      <c r="AR175" s="21">
        <f t="shared" si="112"/>
        <v>822576.02580182755</v>
      </c>
      <c r="AS175" s="21">
        <f t="shared" si="112"/>
        <v>959672.03010213212</v>
      </c>
      <c r="AT175" s="21">
        <f t="shared" si="112"/>
        <v>1096768.0344024368</v>
      </c>
      <c r="AU175" s="21">
        <f t="shared" si="112"/>
        <v>1233864.0387027413</v>
      </c>
      <c r="AV175" s="21">
        <f t="shared" si="112"/>
        <v>1370960.043003046</v>
      </c>
      <c r="AW175" s="21">
        <f t="shared" si="112"/>
        <v>1645152.0516036551</v>
      </c>
      <c r="AX175" s="21">
        <f t="shared" si="112"/>
        <v>1919344.0602042642</v>
      </c>
      <c r="AY175" s="21">
        <f t="shared" si="112"/>
        <v>2193536.0688048736</v>
      </c>
      <c r="AZ175" s="21">
        <f t="shared" si="112"/>
        <v>2467728.0774054825</v>
      </c>
      <c r="BA175" s="21">
        <f t="shared" si="112"/>
        <v>2741920.0860060919</v>
      </c>
      <c r="BB175" s="20">
        <f t="shared" si="112"/>
        <v>5483840.1720121838</v>
      </c>
      <c r="BC175" s="21">
        <f t="shared" si="112"/>
        <v>10967680.344024368</v>
      </c>
      <c r="BD175" s="21">
        <f t="shared" si="112"/>
        <v>21935360.688048735</v>
      </c>
      <c r="BE175" s="21">
        <f t="shared" si="112"/>
        <v>43870721.376097471</v>
      </c>
      <c r="BF175" s="21">
        <f t="shared" si="112"/>
        <v>55321300.304604903</v>
      </c>
      <c r="BG175" s="72">
        <f t="shared" si="112"/>
        <v>55321300.304604903</v>
      </c>
      <c r="BH175" s="45"/>
    </row>
    <row r="176" spans="1:60" x14ac:dyDescent="0.25">
      <c r="A176" s="41"/>
      <c r="B176" s="6"/>
      <c r="C176" s="10"/>
      <c r="D176" s="8"/>
      <c r="E176" s="27">
        <v>3.5999999999999997E-2</v>
      </c>
      <c r="F176" s="10"/>
      <c r="G176" s="10"/>
      <c r="H176" s="10"/>
      <c r="I176" s="10"/>
      <c r="J176" s="10"/>
      <c r="K176" s="10"/>
      <c r="L176" s="10"/>
      <c r="M176" s="10"/>
      <c r="N176" s="10"/>
      <c r="O176" s="10"/>
      <c r="P176" s="29">
        <f t="shared" ref="P176:BG176" si="113">P$139*$D$175*$E$176</f>
        <v>0.18827271098369466</v>
      </c>
      <c r="Q176" s="30">
        <f t="shared" si="113"/>
        <v>0.37654542196738933</v>
      </c>
      <c r="R176" s="30">
        <f t="shared" si="113"/>
        <v>0.75309084393477865</v>
      </c>
      <c r="S176" s="30">
        <f t="shared" si="113"/>
        <v>1.5061816878695573</v>
      </c>
      <c r="T176" s="30">
        <f t="shared" si="113"/>
        <v>3.0123633757391146</v>
      </c>
      <c r="U176" s="30">
        <f t="shared" si="113"/>
        <v>6.0247267514782292</v>
      </c>
      <c r="V176" s="30">
        <f t="shared" si="113"/>
        <v>12.049453502956458</v>
      </c>
      <c r="W176" s="30">
        <f t="shared" si="113"/>
        <v>24.098907005912917</v>
      </c>
      <c r="X176" s="30">
        <f t="shared" si="113"/>
        <v>48.197814011825834</v>
      </c>
      <c r="Y176" s="30">
        <f t="shared" si="113"/>
        <v>96.395628023651668</v>
      </c>
      <c r="Z176" s="30">
        <f t="shared" si="113"/>
        <v>192.79125604730334</v>
      </c>
      <c r="AA176" s="30">
        <f t="shared" si="113"/>
        <v>385.58251209460667</v>
      </c>
      <c r="AB176" s="30">
        <f t="shared" si="113"/>
        <v>771.16502418921334</v>
      </c>
      <c r="AC176" s="30">
        <f t="shared" si="113"/>
        <v>1542.3300483784267</v>
      </c>
      <c r="AD176" s="30">
        <f t="shared" si="113"/>
        <v>3084.6600967568534</v>
      </c>
      <c r="AE176" s="30">
        <f t="shared" si="113"/>
        <v>3855.8251209460664</v>
      </c>
      <c r="AF176" s="30">
        <f t="shared" si="113"/>
        <v>4626.9901451352798</v>
      </c>
      <c r="AG176" s="30">
        <f t="shared" si="113"/>
        <v>5398.1551693244928</v>
      </c>
      <c r="AH176" s="30">
        <f t="shared" si="113"/>
        <v>6169.3201935137067</v>
      </c>
      <c r="AI176" s="30">
        <f t="shared" si="113"/>
        <v>7711.6502418921327</v>
      </c>
      <c r="AJ176" s="30">
        <f t="shared" si="113"/>
        <v>9253.9802902705596</v>
      </c>
      <c r="AK176" s="30">
        <f t="shared" si="113"/>
        <v>10796.310338648986</v>
      </c>
      <c r="AL176" s="30">
        <f t="shared" si="113"/>
        <v>12338.640387027413</v>
      </c>
      <c r="AM176" s="30">
        <f t="shared" si="113"/>
        <v>14806.368464432895</v>
      </c>
      <c r="AN176" s="30">
        <f t="shared" si="113"/>
        <v>17274.096541838378</v>
      </c>
      <c r="AO176" s="30">
        <f t="shared" si="113"/>
        <v>19741.82461924386</v>
      </c>
      <c r="AP176" s="30">
        <f t="shared" si="113"/>
        <v>22209.552696649342</v>
      </c>
      <c r="AQ176" s="30">
        <f t="shared" si="113"/>
        <v>24677.280774054827</v>
      </c>
      <c r="AR176" s="30">
        <f t="shared" si="113"/>
        <v>29612.73692886579</v>
      </c>
      <c r="AS176" s="30">
        <f t="shared" si="113"/>
        <v>34548.193083676757</v>
      </c>
      <c r="AT176" s="30">
        <f t="shared" si="113"/>
        <v>39483.64923848772</v>
      </c>
      <c r="AU176" s="30">
        <f t="shared" si="113"/>
        <v>44419.105393298683</v>
      </c>
      <c r="AV176" s="30">
        <f t="shared" si="113"/>
        <v>49354.561548109654</v>
      </c>
      <c r="AW176" s="30">
        <f t="shared" si="113"/>
        <v>59225.47385773158</v>
      </c>
      <c r="AX176" s="30">
        <f t="shared" si="113"/>
        <v>69096.386167353514</v>
      </c>
      <c r="AY176" s="30">
        <f t="shared" si="113"/>
        <v>78967.29847697544</v>
      </c>
      <c r="AZ176" s="30">
        <f t="shared" si="113"/>
        <v>88838.210786597367</v>
      </c>
      <c r="BA176" s="30">
        <f t="shared" si="113"/>
        <v>98709.123096219308</v>
      </c>
      <c r="BB176" s="29">
        <f t="shared" si="113"/>
        <v>197418.24619243862</v>
      </c>
      <c r="BC176" s="30">
        <f t="shared" si="113"/>
        <v>394836.49238487723</v>
      </c>
      <c r="BD176" s="30">
        <f t="shared" si="113"/>
        <v>789672.98476975446</v>
      </c>
      <c r="BE176" s="30">
        <f t="shared" si="113"/>
        <v>1579345.9695395089</v>
      </c>
      <c r="BF176" s="30">
        <f t="shared" si="113"/>
        <v>1991566.8109657764</v>
      </c>
      <c r="BG176" s="71">
        <f t="shared" si="113"/>
        <v>1991566.8109657764</v>
      </c>
      <c r="BH176" s="45"/>
    </row>
    <row r="177" spans="1:60" x14ac:dyDescent="0.25">
      <c r="A177" s="41" t="s">
        <v>15</v>
      </c>
      <c r="B177" s="6">
        <f>'Population by Age - Wikipedia'!D29</f>
        <v>0.13591428809571979</v>
      </c>
      <c r="C177" s="10">
        <f t="shared" si="109"/>
        <v>44928574.60150566</v>
      </c>
      <c r="D177" s="23">
        <f>'AU Infection Rate by Age'!C7</f>
        <v>0.15534850385235621</v>
      </c>
      <c r="E177" s="17"/>
      <c r="F177" s="10"/>
      <c r="G177" s="10"/>
      <c r="H177" s="10"/>
      <c r="I177" s="10"/>
      <c r="J177" s="10"/>
      <c r="K177" s="10"/>
      <c r="L177" s="10"/>
      <c r="M177" s="10"/>
      <c r="N177" s="10"/>
      <c r="O177" s="10"/>
      <c r="P177" s="20">
        <f t="shared" ref="P177:BG177" si="114">P$139*$D$177</f>
        <v>4.8546407453861313</v>
      </c>
      <c r="Q177" s="21">
        <f t="shared" si="114"/>
        <v>9.7092814907722627</v>
      </c>
      <c r="R177" s="21">
        <f t="shared" si="114"/>
        <v>19.418562981544525</v>
      </c>
      <c r="S177" s="21">
        <f t="shared" si="114"/>
        <v>38.837125963089051</v>
      </c>
      <c r="T177" s="21">
        <f t="shared" si="114"/>
        <v>77.674251926178101</v>
      </c>
      <c r="U177" s="21">
        <f t="shared" si="114"/>
        <v>155.3485038523562</v>
      </c>
      <c r="V177" s="21">
        <f t="shared" si="114"/>
        <v>310.69700770471241</v>
      </c>
      <c r="W177" s="21">
        <f t="shared" si="114"/>
        <v>621.39401540942481</v>
      </c>
      <c r="X177" s="21">
        <f t="shared" si="114"/>
        <v>1242.7880308188496</v>
      </c>
      <c r="Y177" s="21">
        <f t="shared" si="114"/>
        <v>2485.5760616376992</v>
      </c>
      <c r="Z177" s="21">
        <f t="shared" si="114"/>
        <v>4971.1521232753985</v>
      </c>
      <c r="AA177" s="21">
        <f t="shared" si="114"/>
        <v>9942.304246550797</v>
      </c>
      <c r="AB177" s="21">
        <f t="shared" si="114"/>
        <v>19884.608493101594</v>
      </c>
      <c r="AC177" s="21">
        <f t="shared" si="114"/>
        <v>39769.216986203188</v>
      </c>
      <c r="AD177" s="21">
        <f t="shared" si="114"/>
        <v>79538.433972406376</v>
      </c>
      <c r="AE177" s="21">
        <f t="shared" si="114"/>
        <v>99423.04246550797</v>
      </c>
      <c r="AF177" s="21">
        <f t="shared" si="114"/>
        <v>119307.65095860958</v>
      </c>
      <c r="AG177" s="21">
        <f t="shared" si="114"/>
        <v>139192.25945171117</v>
      </c>
      <c r="AH177" s="21">
        <f t="shared" si="114"/>
        <v>159076.86794481275</v>
      </c>
      <c r="AI177" s="21">
        <f t="shared" si="114"/>
        <v>198846.08493101594</v>
      </c>
      <c r="AJ177" s="21">
        <f t="shared" si="114"/>
        <v>238615.30191721916</v>
      </c>
      <c r="AK177" s="21">
        <f t="shared" si="114"/>
        <v>278384.51890342234</v>
      </c>
      <c r="AL177" s="21">
        <f t="shared" si="114"/>
        <v>318153.7358896255</v>
      </c>
      <c r="AM177" s="21">
        <f t="shared" si="114"/>
        <v>381784.48306755064</v>
      </c>
      <c r="AN177" s="21">
        <f t="shared" si="114"/>
        <v>445415.23024547572</v>
      </c>
      <c r="AO177" s="21">
        <f t="shared" si="114"/>
        <v>509045.97742340085</v>
      </c>
      <c r="AP177" s="21">
        <f t="shared" si="114"/>
        <v>572676.72460132593</v>
      </c>
      <c r="AQ177" s="21">
        <f t="shared" si="114"/>
        <v>636307.47177925101</v>
      </c>
      <c r="AR177" s="21">
        <f t="shared" si="114"/>
        <v>763568.96613510128</v>
      </c>
      <c r="AS177" s="21">
        <f t="shared" si="114"/>
        <v>890830.46049095143</v>
      </c>
      <c r="AT177" s="21">
        <f t="shared" si="114"/>
        <v>1018091.9548468017</v>
      </c>
      <c r="AU177" s="21">
        <f t="shared" si="114"/>
        <v>1145353.4492026519</v>
      </c>
      <c r="AV177" s="21">
        <f t="shared" si="114"/>
        <v>1272614.943558502</v>
      </c>
      <c r="AW177" s="21">
        <f t="shared" si="114"/>
        <v>1527137.9322702026</v>
      </c>
      <c r="AX177" s="21">
        <f t="shared" si="114"/>
        <v>1781660.9209819029</v>
      </c>
      <c r="AY177" s="21">
        <f t="shared" si="114"/>
        <v>2036183.9096936034</v>
      </c>
      <c r="AZ177" s="21">
        <f t="shared" si="114"/>
        <v>2290706.8984053037</v>
      </c>
      <c r="BA177" s="21">
        <f t="shared" si="114"/>
        <v>2545229.887117004</v>
      </c>
      <c r="BB177" s="20">
        <f t="shared" si="114"/>
        <v>5090459.774234008</v>
      </c>
      <c r="BC177" s="21">
        <f t="shared" si="114"/>
        <v>10180919.548468016</v>
      </c>
      <c r="BD177" s="21">
        <f t="shared" si="114"/>
        <v>20361839.096936032</v>
      </c>
      <c r="BE177" s="21">
        <f t="shared" si="114"/>
        <v>40723678.193872064</v>
      </c>
      <c r="BF177" s="21">
        <f t="shared" si="114"/>
        <v>51352855.850206055</v>
      </c>
      <c r="BG177" s="72">
        <f t="shared" si="114"/>
        <v>51352855.850206055</v>
      </c>
      <c r="BH177" s="45"/>
    </row>
    <row r="178" spans="1:60" x14ac:dyDescent="0.25">
      <c r="A178" s="41"/>
      <c r="B178" s="6"/>
      <c r="C178" s="10"/>
      <c r="D178" s="8"/>
      <c r="E178" s="27">
        <v>1.2999999999999999E-2</v>
      </c>
      <c r="F178" s="10"/>
      <c r="G178" s="10"/>
      <c r="H178" s="10"/>
      <c r="I178" s="10"/>
      <c r="J178" s="10"/>
      <c r="K178" s="10"/>
      <c r="L178" s="10"/>
      <c r="M178" s="10"/>
      <c r="N178" s="10"/>
      <c r="O178" s="10"/>
      <c r="P178" s="29">
        <f t="shared" ref="P178:BG178" si="115">P$139*$D$177*$E$178</f>
        <v>6.3110329690019701E-2</v>
      </c>
      <c r="Q178" s="30">
        <f t="shared" si="115"/>
        <v>0.1262206593800394</v>
      </c>
      <c r="R178" s="30">
        <f t="shared" si="115"/>
        <v>0.2524413187600788</v>
      </c>
      <c r="S178" s="30">
        <f t="shared" si="115"/>
        <v>0.50488263752015761</v>
      </c>
      <c r="T178" s="30">
        <f t="shared" si="115"/>
        <v>1.0097652750403152</v>
      </c>
      <c r="U178" s="30">
        <f t="shared" si="115"/>
        <v>2.0195305500806304</v>
      </c>
      <c r="V178" s="30">
        <f t="shared" si="115"/>
        <v>4.0390611001612609</v>
      </c>
      <c r="W178" s="30">
        <f t="shared" si="115"/>
        <v>8.0781222003225217</v>
      </c>
      <c r="X178" s="30">
        <f t="shared" si="115"/>
        <v>16.156244400645043</v>
      </c>
      <c r="Y178" s="30">
        <f t="shared" si="115"/>
        <v>32.312488801290087</v>
      </c>
      <c r="Z178" s="30">
        <f t="shared" si="115"/>
        <v>64.624977602580174</v>
      </c>
      <c r="AA178" s="30">
        <f t="shared" si="115"/>
        <v>129.24995520516035</v>
      </c>
      <c r="AB178" s="30">
        <f t="shared" si="115"/>
        <v>258.49991041032069</v>
      </c>
      <c r="AC178" s="30">
        <f t="shared" si="115"/>
        <v>516.99982082064139</v>
      </c>
      <c r="AD178" s="30">
        <f t="shared" si="115"/>
        <v>1033.9996416412828</v>
      </c>
      <c r="AE178" s="30">
        <f t="shared" si="115"/>
        <v>1292.4995520516036</v>
      </c>
      <c r="AF178" s="30">
        <f t="shared" si="115"/>
        <v>1550.9994624619244</v>
      </c>
      <c r="AG178" s="30">
        <f t="shared" si="115"/>
        <v>1809.4993728722452</v>
      </c>
      <c r="AH178" s="30">
        <f t="shared" si="115"/>
        <v>2067.9992832825656</v>
      </c>
      <c r="AI178" s="30">
        <f t="shared" si="115"/>
        <v>2584.9991041032072</v>
      </c>
      <c r="AJ178" s="30">
        <f t="shared" si="115"/>
        <v>3101.9989249238488</v>
      </c>
      <c r="AK178" s="30">
        <f t="shared" si="115"/>
        <v>3618.9987457444904</v>
      </c>
      <c r="AL178" s="30">
        <f t="shared" si="115"/>
        <v>4135.9985665651311</v>
      </c>
      <c r="AM178" s="30">
        <f t="shared" si="115"/>
        <v>4963.1982798781582</v>
      </c>
      <c r="AN178" s="30">
        <f t="shared" si="115"/>
        <v>5790.3979931911845</v>
      </c>
      <c r="AO178" s="30">
        <f t="shared" si="115"/>
        <v>6617.5977065042107</v>
      </c>
      <c r="AP178" s="30">
        <f t="shared" si="115"/>
        <v>7444.7974198172369</v>
      </c>
      <c r="AQ178" s="30">
        <f t="shared" si="115"/>
        <v>8271.9971331302622</v>
      </c>
      <c r="AR178" s="30">
        <f t="shared" si="115"/>
        <v>9926.3965597563165</v>
      </c>
      <c r="AS178" s="30">
        <f t="shared" si="115"/>
        <v>11580.795986382369</v>
      </c>
      <c r="AT178" s="30">
        <f t="shared" si="115"/>
        <v>13235.195413008421</v>
      </c>
      <c r="AU178" s="30">
        <f t="shared" si="115"/>
        <v>14889.594839634474</v>
      </c>
      <c r="AV178" s="30">
        <f t="shared" si="115"/>
        <v>16543.994266260524</v>
      </c>
      <c r="AW178" s="30">
        <f t="shared" si="115"/>
        <v>19852.793119512633</v>
      </c>
      <c r="AX178" s="30">
        <f t="shared" si="115"/>
        <v>23161.591972764738</v>
      </c>
      <c r="AY178" s="30">
        <f t="shared" si="115"/>
        <v>26470.390826016843</v>
      </c>
      <c r="AZ178" s="30">
        <f t="shared" si="115"/>
        <v>29779.189679268948</v>
      </c>
      <c r="BA178" s="30">
        <f t="shared" si="115"/>
        <v>33087.988532521049</v>
      </c>
      <c r="BB178" s="29">
        <f t="shared" si="115"/>
        <v>66175.977065042098</v>
      </c>
      <c r="BC178" s="30">
        <f t="shared" si="115"/>
        <v>132351.9541300842</v>
      </c>
      <c r="BD178" s="30">
        <f t="shared" si="115"/>
        <v>264703.90826016839</v>
      </c>
      <c r="BE178" s="30">
        <f t="shared" si="115"/>
        <v>529407.81652033678</v>
      </c>
      <c r="BF178" s="30">
        <f t="shared" si="115"/>
        <v>667587.12605267868</v>
      </c>
      <c r="BG178" s="71">
        <f t="shared" si="115"/>
        <v>667587.12605267868</v>
      </c>
      <c r="BH178" s="45"/>
    </row>
    <row r="179" spans="1:60" x14ac:dyDescent="0.25">
      <c r="A179" s="41" t="s">
        <v>16</v>
      </c>
      <c r="B179" s="6">
        <f>'Population by Age - Wikipedia'!D25</f>
        <v>0.14121517441978385</v>
      </c>
      <c r="C179" s="10">
        <f t="shared" si="109"/>
        <v>46680864.739663057</v>
      </c>
      <c r="D179" s="23">
        <f>'AU Infection Rate by Age'!C8</f>
        <v>0.12972585558143701</v>
      </c>
      <c r="E179" s="17"/>
      <c r="F179" s="10"/>
      <c r="G179" s="10"/>
      <c r="H179" s="10"/>
      <c r="I179" s="10"/>
      <c r="J179" s="10"/>
      <c r="K179" s="10"/>
      <c r="L179" s="10"/>
      <c r="M179" s="10"/>
      <c r="N179" s="10"/>
      <c r="O179" s="10"/>
      <c r="P179" s="20">
        <f t="shared" ref="P179:BG179" si="116">P$139*$D$179</f>
        <v>4.0539329869199063</v>
      </c>
      <c r="Q179" s="21">
        <f t="shared" si="116"/>
        <v>8.1078659738398127</v>
      </c>
      <c r="R179" s="21">
        <f t="shared" si="116"/>
        <v>16.215731947679625</v>
      </c>
      <c r="S179" s="21">
        <f t="shared" si="116"/>
        <v>32.431463895359251</v>
      </c>
      <c r="T179" s="21">
        <f t="shared" si="116"/>
        <v>64.862927790718501</v>
      </c>
      <c r="U179" s="21">
        <f t="shared" si="116"/>
        <v>129.725855581437</v>
      </c>
      <c r="V179" s="21">
        <f t="shared" si="116"/>
        <v>259.45171116287401</v>
      </c>
      <c r="W179" s="21">
        <f t="shared" si="116"/>
        <v>518.90342232574801</v>
      </c>
      <c r="X179" s="21">
        <f t="shared" si="116"/>
        <v>1037.806844651496</v>
      </c>
      <c r="Y179" s="21">
        <f t="shared" si="116"/>
        <v>2075.613689302992</v>
      </c>
      <c r="Z179" s="21">
        <f t="shared" si="116"/>
        <v>4151.2273786059841</v>
      </c>
      <c r="AA179" s="21">
        <f t="shared" si="116"/>
        <v>8302.4547572119682</v>
      </c>
      <c r="AB179" s="21">
        <f t="shared" si="116"/>
        <v>16604.909514423936</v>
      </c>
      <c r="AC179" s="21">
        <f t="shared" si="116"/>
        <v>33209.819028847873</v>
      </c>
      <c r="AD179" s="21">
        <f t="shared" si="116"/>
        <v>66419.638057695745</v>
      </c>
      <c r="AE179" s="21">
        <f t="shared" si="116"/>
        <v>83024.547572119685</v>
      </c>
      <c r="AF179" s="21">
        <f t="shared" si="116"/>
        <v>99629.457086543625</v>
      </c>
      <c r="AG179" s="21">
        <f t="shared" si="116"/>
        <v>116234.36660096757</v>
      </c>
      <c r="AH179" s="21">
        <f t="shared" si="116"/>
        <v>132839.27611539149</v>
      </c>
      <c r="AI179" s="21">
        <f t="shared" si="116"/>
        <v>166049.09514423937</v>
      </c>
      <c r="AJ179" s="21">
        <f t="shared" si="116"/>
        <v>199258.91417308725</v>
      </c>
      <c r="AK179" s="21">
        <f t="shared" si="116"/>
        <v>232468.73320193513</v>
      </c>
      <c r="AL179" s="21">
        <f t="shared" si="116"/>
        <v>265678.55223078298</v>
      </c>
      <c r="AM179" s="21">
        <f t="shared" si="116"/>
        <v>318814.2626769396</v>
      </c>
      <c r="AN179" s="21">
        <f t="shared" si="116"/>
        <v>371949.97312309622</v>
      </c>
      <c r="AO179" s="21">
        <f t="shared" si="116"/>
        <v>425085.68356925278</v>
      </c>
      <c r="AP179" s="21">
        <f t="shared" si="116"/>
        <v>478221.3940154094</v>
      </c>
      <c r="AQ179" s="21">
        <f t="shared" si="116"/>
        <v>531357.10446156596</v>
      </c>
      <c r="AR179" s="21">
        <f t="shared" si="116"/>
        <v>637628.5253538792</v>
      </c>
      <c r="AS179" s="21">
        <f t="shared" si="116"/>
        <v>743899.94624619244</v>
      </c>
      <c r="AT179" s="21">
        <f t="shared" si="116"/>
        <v>850171.36713850556</v>
      </c>
      <c r="AU179" s="21">
        <f t="shared" si="116"/>
        <v>956442.7880308188</v>
      </c>
      <c r="AV179" s="21">
        <f t="shared" si="116"/>
        <v>1062714.2089231319</v>
      </c>
      <c r="AW179" s="21">
        <f t="shared" si="116"/>
        <v>1275257.0507077584</v>
      </c>
      <c r="AX179" s="21">
        <f t="shared" si="116"/>
        <v>1487799.8924923849</v>
      </c>
      <c r="AY179" s="21">
        <f t="shared" si="116"/>
        <v>1700342.7342770111</v>
      </c>
      <c r="AZ179" s="21">
        <f t="shared" si="116"/>
        <v>1912885.5760616376</v>
      </c>
      <c r="BA179" s="21">
        <f t="shared" si="116"/>
        <v>2125428.4178462639</v>
      </c>
      <c r="BB179" s="20">
        <f t="shared" si="116"/>
        <v>4250856.8356925277</v>
      </c>
      <c r="BC179" s="21">
        <f t="shared" si="116"/>
        <v>8501713.6713850554</v>
      </c>
      <c r="BD179" s="21">
        <f t="shared" si="116"/>
        <v>17003427.342770111</v>
      </c>
      <c r="BE179" s="21">
        <f t="shared" si="116"/>
        <v>34006854.685540222</v>
      </c>
      <c r="BF179" s="21">
        <f t="shared" si="116"/>
        <v>42882892.313205518</v>
      </c>
      <c r="BG179" s="72">
        <f t="shared" si="116"/>
        <v>42882892.313205518</v>
      </c>
      <c r="BH179" s="45"/>
    </row>
    <row r="180" spans="1:60" x14ac:dyDescent="0.25">
      <c r="A180" s="41"/>
      <c r="B180" s="6"/>
      <c r="C180" s="10"/>
      <c r="D180" s="8"/>
      <c r="E180" s="27">
        <v>4.0000000000000001E-3</v>
      </c>
      <c r="F180" s="10"/>
      <c r="G180" s="10"/>
      <c r="H180" s="10"/>
      <c r="I180" s="10"/>
      <c r="J180" s="10"/>
      <c r="K180" s="10"/>
      <c r="L180" s="10"/>
      <c r="M180" s="10"/>
      <c r="N180" s="10"/>
      <c r="O180" s="10"/>
      <c r="P180" s="29">
        <f t="shared" ref="P180:BG180" si="117">P$139*$D$179*$E$180</f>
        <v>1.6215731947679626E-2</v>
      </c>
      <c r="Q180" s="30">
        <f t="shared" si="117"/>
        <v>3.2431463895359253E-2</v>
      </c>
      <c r="R180" s="30">
        <f t="shared" si="117"/>
        <v>6.4862927790718505E-2</v>
      </c>
      <c r="S180" s="30">
        <f t="shared" si="117"/>
        <v>0.12972585558143701</v>
      </c>
      <c r="T180" s="30">
        <f t="shared" si="117"/>
        <v>0.25945171116287402</v>
      </c>
      <c r="U180" s="30">
        <f t="shared" si="117"/>
        <v>0.51890342232574804</v>
      </c>
      <c r="V180" s="30">
        <f t="shared" si="117"/>
        <v>1.0378068446514961</v>
      </c>
      <c r="W180" s="30">
        <f t="shared" si="117"/>
        <v>2.0756136893029922</v>
      </c>
      <c r="X180" s="30">
        <f t="shared" si="117"/>
        <v>4.1512273786059843</v>
      </c>
      <c r="Y180" s="30">
        <f t="shared" si="117"/>
        <v>8.3024547572119687</v>
      </c>
      <c r="Z180" s="30">
        <f t="shared" si="117"/>
        <v>16.604909514423937</v>
      </c>
      <c r="AA180" s="30">
        <f t="shared" si="117"/>
        <v>33.209819028847875</v>
      </c>
      <c r="AB180" s="30">
        <f t="shared" si="117"/>
        <v>66.419638057695749</v>
      </c>
      <c r="AC180" s="30">
        <f t="shared" si="117"/>
        <v>132.8392761153915</v>
      </c>
      <c r="AD180" s="30">
        <f t="shared" si="117"/>
        <v>265.678552230783</v>
      </c>
      <c r="AE180" s="30">
        <f t="shared" si="117"/>
        <v>332.09819028847875</v>
      </c>
      <c r="AF180" s="30">
        <f t="shared" si="117"/>
        <v>398.5178283461745</v>
      </c>
      <c r="AG180" s="30">
        <f t="shared" si="117"/>
        <v>464.93746640387025</v>
      </c>
      <c r="AH180" s="30">
        <f t="shared" si="117"/>
        <v>531.357104461566</v>
      </c>
      <c r="AI180" s="30">
        <f t="shared" si="117"/>
        <v>664.19638057695749</v>
      </c>
      <c r="AJ180" s="30">
        <f t="shared" si="117"/>
        <v>797.03565669234899</v>
      </c>
      <c r="AK180" s="30">
        <f t="shared" si="117"/>
        <v>929.87493280774049</v>
      </c>
      <c r="AL180" s="30">
        <f t="shared" si="117"/>
        <v>1062.714208923132</v>
      </c>
      <c r="AM180" s="30">
        <f t="shared" si="117"/>
        <v>1275.2570507077585</v>
      </c>
      <c r="AN180" s="30">
        <f t="shared" si="117"/>
        <v>1487.799892492385</v>
      </c>
      <c r="AO180" s="30">
        <f t="shared" si="117"/>
        <v>1700.3427342770112</v>
      </c>
      <c r="AP180" s="30">
        <f t="shared" si="117"/>
        <v>1912.8855760616377</v>
      </c>
      <c r="AQ180" s="30">
        <f t="shared" si="117"/>
        <v>2125.428417846264</v>
      </c>
      <c r="AR180" s="30">
        <f t="shared" si="117"/>
        <v>2550.514101415517</v>
      </c>
      <c r="AS180" s="30">
        <f t="shared" si="117"/>
        <v>2975.5997849847699</v>
      </c>
      <c r="AT180" s="30">
        <f t="shared" si="117"/>
        <v>3400.6854685540225</v>
      </c>
      <c r="AU180" s="30">
        <f t="shared" si="117"/>
        <v>3825.7711521232754</v>
      </c>
      <c r="AV180" s="30">
        <f t="shared" si="117"/>
        <v>4250.856835692528</v>
      </c>
      <c r="AW180" s="30">
        <f t="shared" si="117"/>
        <v>5101.0282028310339</v>
      </c>
      <c r="AX180" s="30">
        <f t="shared" si="117"/>
        <v>5951.1995699695399</v>
      </c>
      <c r="AY180" s="30">
        <f t="shared" si="117"/>
        <v>6801.3709371080449</v>
      </c>
      <c r="AZ180" s="30">
        <f t="shared" si="117"/>
        <v>7651.5423042465509</v>
      </c>
      <c r="BA180" s="30">
        <f t="shared" si="117"/>
        <v>8501.7136713850559</v>
      </c>
      <c r="BB180" s="29">
        <f t="shared" si="117"/>
        <v>17003.427342770112</v>
      </c>
      <c r="BC180" s="30">
        <f t="shared" si="117"/>
        <v>34006.854685540224</v>
      </c>
      <c r="BD180" s="30">
        <f t="shared" si="117"/>
        <v>68013.709371080447</v>
      </c>
      <c r="BE180" s="30">
        <f t="shared" si="117"/>
        <v>136027.41874216089</v>
      </c>
      <c r="BF180" s="30">
        <f t="shared" si="117"/>
        <v>171531.56925282208</v>
      </c>
      <c r="BG180" s="71">
        <f t="shared" si="117"/>
        <v>171531.56925282208</v>
      </c>
      <c r="BH180" s="45"/>
    </row>
    <row r="181" spans="1:60" x14ac:dyDescent="0.25">
      <c r="A181" s="41" t="s">
        <v>17</v>
      </c>
      <c r="B181" s="6">
        <f>'Population by Age - Wikipedia'!D21</f>
        <v>0.13001561499489589</v>
      </c>
      <c r="C181" s="10">
        <f t="shared" si="109"/>
        <v>42978676.778595254</v>
      </c>
      <c r="D181" s="23">
        <f>'AU Infection Rate by Age'!C9</f>
        <v>0.15731947679627306</v>
      </c>
      <c r="E181" s="17"/>
      <c r="F181" s="10"/>
      <c r="G181" s="14"/>
      <c r="H181" s="14"/>
      <c r="I181" s="14"/>
      <c r="J181" s="14"/>
      <c r="K181" s="14"/>
      <c r="L181" s="14"/>
      <c r="M181" s="14"/>
      <c r="N181" s="10"/>
      <c r="O181" s="10"/>
      <c r="P181" s="20">
        <f t="shared" ref="P181:BG181" si="118">P$139*$D$181</f>
        <v>4.9162336498835328</v>
      </c>
      <c r="Q181" s="21">
        <f t="shared" si="118"/>
        <v>9.8324672997670657</v>
      </c>
      <c r="R181" s="21">
        <f t="shared" si="118"/>
        <v>19.664934599534131</v>
      </c>
      <c r="S181" s="21">
        <f t="shared" si="118"/>
        <v>39.329869199068263</v>
      </c>
      <c r="T181" s="21">
        <f t="shared" si="118"/>
        <v>78.659738398136525</v>
      </c>
      <c r="U181" s="21">
        <f t="shared" si="118"/>
        <v>157.31947679627305</v>
      </c>
      <c r="V181" s="21">
        <f t="shared" si="118"/>
        <v>314.6389535925461</v>
      </c>
      <c r="W181" s="21">
        <f t="shared" si="118"/>
        <v>629.2779071850922</v>
      </c>
      <c r="X181" s="21">
        <f t="shared" si="118"/>
        <v>1258.5558143701844</v>
      </c>
      <c r="Y181" s="21">
        <f t="shared" si="118"/>
        <v>2517.1116287403688</v>
      </c>
      <c r="Z181" s="21">
        <f t="shared" si="118"/>
        <v>5034.2232574807376</v>
      </c>
      <c r="AA181" s="21">
        <f t="shared" si="118"/>
        <v>10068.446514961475</v>
      </c>
      <c r="AB181" s="21">
        <f t="shared" si="118"/>
        <v>20136.893029922951</v>
      </c>
      <c r="AC181" s="21">
        <f t="shared" si="118"/>
        <v>40273.786059845901</v>
      </c>
      <c r="AD181" s="21">
        <f t="shared" si="118"/>
        <v>80547.572119691802</v>
      </c>
      <c r="AE181" s="21">
        <f t="shared" si="118"/>
        <v>100684.46514961476</v>
      </c>
      <c r="AF181" s="21">
        <f t="shared" si="118"/>
        <v>120821.35817953771</v>
      </c>
      <c r="AG181" s="21">
        <f t="shared" si="118"/>
        <v>140958.25120946066</v>
      </c>
      <c r="AH181" s="21">
        <f t="shared" si="118"/>
        <v>161095.1442393836</v>
      </c>
      <c r="AI181" s="21">
        <f t="shared" si="118"/>
        <v>201368.93029922951</v>
      </c>
      <c r="AJ181" s="21">
        <f t="shared" si="118"/>
        <v>241642.71635907542</v>
      </c>
      <c r="AK181" s="21">
        <f t="shared" si="118"/>
        <v>281916.50241892133</v>
      </c>
      <c r="AL181" s="21">
        <f t="shared" si="118"/>
        <v>322190.28847876721</v>
      </c>
      <c r="AM181" s="21">
        <f t="shared" si="118"/>
        <v>386628.34617452067</v>
      </c>
      <c r="AN181" s="21">
        <f t="shared" si="118"/>
        <v>451066.40387027414</v>
      </c>
      <c r="AO181" s="21">
        <f t="shared" si="118"/>
        <v>515504.46156602754</v>
      </c>
      <c r="AP181" s="21">
        <f t="shared" si="118"/>
        <v>579942.51926178101</v>
      </c>
      <c r="AQ181" s="21">
        <f t="shared" si="118"/>
        <v>644380.57695753442</v>
      </c>
      <c r="AR181" s="21">
        <f t="shared" si="118"/>
        <v>773256.69234904135</v>
      </c>
      <c r="AS181" s="21">
        <f t="shared" si="118"/>
        <v>902132.80774054828</v>
      </c>
      <c r="AT181" s="21">
        <f t="shared" si="118"/>
        <v>1031008.9231320551</v>
      </c>
      <c r="AU181" s="21">
        <f t="shared" si="118"/>
        <v>1159885.038523562</v>
      </c>
      <c r="AV181" s="21">
        <f t="shared" si="118"/>
        <v>1288761.1539150688</v>
      </c>
      <c r="AW181" s="21">
        <f t="shared" si="118"/>
        <v>1546513.3846980827</v>
      </c>
      <c r="AX181" s="21">
        <f t="shared" si="118"/>
        <v>1804265.6154810966</v>
      </c>
      <c r="AY181" s="21">
        <f t="shared" si="118"/>
        <v>2062017.8462641102</v>
      </c>
      <c r="AZ181" s="21">
        <f t="shared" si="118"/>
        <v>2319770.077047124</v>
      </c>
      <c r="BA181" s="21">
        <f t="shared" si="118"/>
        <v>2577522.3078301377</v>
      </c>
      <c r="BB181" s="20">
        <f t="shared" si="118"/>
        <v>5155044.6156602753</v>
      </c>
      <c r="BC181" s="21">
        <f t="shared" si="118"/>
        <v>10310089.231320551</v>
      </c>
      <c r="BD181" s="21">
        <f t="shared" si="118"/>
        <v>20620178.462641101</v>
      </c>
      <c r="BE181" s="21">
        <f t="shared" si="118"/>
        <v>41240356.925282203</v>
      </c>
      <c r="BF181" s="21">
        <f t="shared" si="118"/>
        <v>52004391.506898403</v>
      </c>
      <c r="BG181" s="72">
        <f t="shared" si="118"/>
        <v>52004391.506898403</v>
      </c>
      <c r="BH181" s="45"/>
    </row>
    <row r="182" spans="1:60" x14ac:dyDescent="0.25">
      <c r="A182" s="41"/>
      <c r="B182" s="6"/>
      <c r="C182" s="10"/>
      <c r="D182" s="8"/>
      <c r="E182" s="27">
        <v>2E-3</v>
      </c>
      <c r="F182" s="10"/>
      <c r="G182" s="10"/>
      <c r="H182" s="10"/>
      <c r="I182" s="10"/>
      <c r="J182" s="10"/>
      <c r="K182" s="10"/>
      <c r="L182" s="10"/>
      <c r="M182" s="10"/>
      <c r="N182" s="10"/>
      <c r="O182" s="10"/>
      <c r="P182" s="29">
        <f t="shared" ref="P182:BG182" si="119">P$139*$D$181*$E$182</f>
        <v>9.8324672997670663E-3</v>
      </c>
      <c r="Q182" s="30">
        <f t="shared" si="119"/>
        <v>1.9664934599534133E-2</v>
      </c>
      <c r="R182" s="30">
        <f t="shared" si="119"/>
        <v>3.9329869199068265E-2</v>
      </c>
      <c r="S182" s="30">
        <f t="shared" si="119"/>
        <v>7.8659738398136531E-2</v>
      </c>
      <c r="T182" s="30">
        <f t="shared" si="119"/>
        <v>0.15731947679627306</v>
      </c>
      <c r="U182" s="30">
        <f t="shared" si="119"/>
        <v>0.31463895359254612</v>
      </c>
      <c r="V182" s="30">
        <f t="shared" si="119"/>
        <v>0.62927790718509224</v>
      </c>
      <c r="W182" s="30">
        <f t="shared" si="119"/>
        <v>1.2585558143701845</v>
      </c>
      <c r="X182" s="30">
        <f t="shared" si="119"/>
        <v>2.517111628740369</v>
      </c>
      <c r="Y182" s="30">
        <f t="shared" si="119"/>
        <v>5.034223257480738</v>
      </c>
      <c r="Z182" s="30">
        <f t="shared" si="119"/>
        <v>10.068446514961476</v>
      </c>
      <c r="AA182" s="30">
        <f t="shared" si="119"/>
        <v>20.136893029922952</v>
      </c>
      <c r="AB182" s="30">
        <f t="shared" si="119"/>
        <v>40.273786059845904</v>
      </c>
      <c r="AC182" s="30">
        <f t="shared" si="119"/>
        <v>80.547572119691807</v>
      </c>
      <c r="AD182" s="30">
        <f t="shared" si="119"/>
        <v>161.09514423938361</v>
      </c>
      <c r="AE182" s="30">
        <f t="shared" si="119"/>
        <v>201.3689302992295</v>
      </c>
      <c r="AF182" s="30">
        <f t="shared" si="119"/>
        <v>241.64271635907542</v>
      </c>
      <c r="AG182" s="30">
        <f t="shared" si="119"/>
        <v>281.91650241892131</v>
      </c>
      <c r="AH182" s="30">
        <f t="shared" si="119"/>
        <v>322.19028847876723</v>
      </c>
      <c r="AI182" s="30">
        <f t="shared" si="119"/>
        <v>402.73786059845901</v>
      </c>
      <c r="AJ182" s="30">
        <f t="shared" si="119"/>
        <v>483.28543271815084</v>
      </c>
      <c r="AK182" s="30">
        <f t="shared" si="119"/>
        <v>563.83300483784262</v>
      </c>
      <c r="AL182" s="30">
        <f t="shared" si="119"/>
        <v>644.38057695753446</v>
      </c>
      <c r="AM182" s="30">
        <f t="shared" si="119"/>
        <v>773.25669234904137</v>
      </c>
      <c r="AN182" s="30">
        <f t="shared" si="119"/>
        <v>902.13280774054829</v>
      </c>
      <c r="AO182" s="30">
        <f t="shared" si="119"/>
        <v>1031.0089231320551</v>
      </c>
      <c r="AP182" s="30">
        <f t="shared" si="119"/>
        <v>1159.8850385235621</v>
      </c>
      <c r="AQ182" s="30">
        <f t="shared" si="119"/>
        <v>1288.7611539150689</v>
      </c>
      <c r="AR182" s="30">
        <f t="shared" si="119"/>
        <v>1546.5133846980827</v>
      </c>
      <c r="AS182" s="30">
        <f t="shared" si="119"/>
        <v>1804.2656154810966</v>
      </c>
      <c r="AT182" s="30">
        <f t="shared" si="119"/>
        <v>2062.0178462641102</v>
      </c>
      <c r="AU182" s="30">
        <f t="shared" si="119"/>
        <v>2319.7700770471242</v>
      </c>
      <c r="AV182" s="30">
        <f t="shared" si="119"/>
        <v>2577.5223078301378</v>
      </c>
      <c r="AW182" s="30">
        <f t="shared" si="119"/>
        <v>3093.0267693961655</v>
      </c>
      <c r="AX182" s="30">
        <f t="shared" si="119"/>
        <v>3608.5312309621931</v>
      </c>
      <c r="AY182" s="30">
        <f t="shared" si="119"/>
        <v>4124.0356925282204</v>
      </c>
      <c r="AZ182" s="30">
        <f t="shared" si="119"/>
        <v>4639.5401540942485</v>
      </c>
      <c r="BA182" s="30">
        <f t="shared" si="119"/>
        <v>5155.0446156602757</v>
      </c>
      <c r="BB182" s="29">
        <f t="shared" si="119"/>
        <v>10310.089231320551</v>
      </c>
      <c r="BC182" s="30">
        <f t="shared" si="119"/>
        <v>20620.178462641103</v>
      </c>
      <c r="BD182" s="30">
        <f t="shared" si="119"/>
        <v>41240.356925282205</v>
      </c>
      <c r="BE182" s="30">
        <f t="shared" si="119"/>
        <v>82480.713850564411</v>
      </c>
      <c r="BF182" s="30">
        <f t="shared" si="119"/>
        <v>104008.78301379681</v>
      </c>
      <c r="BG182" s="71">
        <f t="shared" si="119"/>
        <v>104008.78301379681</v>
      </c>
      <c r="BH182" s="45"/>
    </row>
    <row r="183" spans="1:60" x14ac:dyDescent="0.25">
      <c r="A183" s="41" t="s">
        <v>18</v>
      </c>
      <c r="B183" s="6">
        <f>'Population by Age - Wikipedia'!D17</f>
        <v>0.13826223457843137</v>
      </c>
      <c r="C183" s="10">
        <f t="shared" si="109"/>
        <v>45704724.704536453</v>
      </c>
      <c r="D183" s="23">
        <f>'AU Infection Rate by Age'!C10</f>
        <v>0.2160903063967031</v>
      </c>
      <c r="E183" s="17"/>
      <c r="F183" s="10"/>
      <c r="G183" s="10"/>
      <c r="H183" s="10"/>
      <c r="I183" s="10"/>
      <c r="J183" s="10"/>
      <c r="K183" s="10"/>
      <c r="L183" s="10"/>
      <c r="M183" s="10"/>
      <c r="N183" s="10"/>
      <c r="O183" s="10"/>
      <c r="P183" s="20">
        <f t="shared" ref="P183:BG183" si="120">P$139*$D$183</f>
        <v>6.7528220748969714</v>
      </c>
      <c r="Q183" s="21">
        <f t="shared" si="120"/>
        <v>13.505644149793943</v>
      </c>
      <c r="R183" s="21">
        <f t="shared" si="120"/>
        <v>27.011288299587886</v>
      </c>
      <c r="S183" s="21">
        <f t="shared" si="120"/>
        <v>54.022576599175771</v>
      </c>
      <c r="T183" s="21">
        <f t="shared" si="120"/>
        <v>108.04515319835154</v>
      </c>
      <c r="U183" s="21">
        <f t="shared" si="120"/>
        <v>216.09030639670308</v>
      </c>
      <c r="V183" s="21">
        <f t="shared" si="120"/>
        <v>432.18061279340617</v>
      </c>
      <c r="W183" s="21">
        <f t="shared" si="120"/>
        <v>864.36122558681234</v>
      </c>
      <c r="X183" s="21">
        <f t="shared" si="120"/>
        <v>1728.7224511736247</v>
      </c>
      <c r="Y183" s="21">
        <f t="shared" si="120"/>
        <v>3457.4449023472494</v>
      </c>
      <c r="Z183" s="21">
        <f t="shared" si="120"/>
        <v>6914.8898046944987</v>
      </c>
      <c r="AA183" s="21">
        <f t="shared" si="120"/>
        <v>13829.779609388997</v>
      </c>
      <c r="AB183" s="21">
        <f t="shared" si="120"/>
        <v>27659.559218777995</v>
      </c>
      <c r="AC183" s="21">
        <f t="shared" si="120"/>
        <v>55319.11843755599</v>
      </c>
      <c r="AD183" s="21">
        <f t="shared" si="120"/>
        <v>110638.23687511198</v>
      </c>
      <c r="AE183" s="21">
        <f t="shared" si="120"/>
        <v>138297.79609388998</v>
      </c>
      <c r="AF183" s="21">
        <f t="shared" si="120"/>
        <v>165957.35531266799</v>
      </c>
      <c r="AG183" s="21">
        <f t="shared" si="120"/>
        <v>193616.91453144597</v>
      </c>
      <c r="AH183" s="21">
        <f t="shared" si="120"/>
        <v>221276.47375022396</v>
      </c>
      <c r="AI183" s="21">
        <f t="shared" si="120"/>
        <v>276595.59218777996</v>
      </c>
      <c r="AJ183" s="21">
        <f t="shared" si="120"/>
        <v>331914.71062533598</v>
      </c>
      <c r="AK183" s="21">
        <f t="shared" si="120"/>
        <v>387233.82906289195</v>
      </c>
      <c r="AL183" s="21">
        <f t="shared" si="120"/>
        <v>442552.94750044792</v>
      </c>
      <c r="AM183" s="21">
        <f t="shared" si="120"/>
        <v>531063.5370005375</v>
      </c>
      <c r="AN183" s="21">
        <f t="shared" si="120"/>
        <v>619574.12650062714</v>
      </c>
      <c r="AO183" s="21">
        <f t="shared" si="120"/>
        <v>708084.71600071667</v>
      </c>
      <c r="AP183" s="21">
        <f t="shared" si="120"/>
        <v>796595.30550080631</v>
      </c>
      <c r="AQ183" s="21">
        <f t="shared" si="120"/>
        <v>885105.89500089583</v>
      </c>
      <c r="AR183" s="21">
        <f t="shared" si="120"/>
        <v>1062127.074001075</v>
      </c>
      <c r="AS183" s="21">
        <f t="shared" si="120"/>
        <v>1239148.2530012543</v>
      </c>
      <c r="AT183" s="21">
        <f t="shared" si="120"/>
        <v>1416169.4320014333</v>
      </c>
      <c r="AU183" s="21">
        <f t="shared" si="120"/>
        <v>1593190.6110016126</v>
      </c>
      <c r="AV183" s="21">
        <f t="shared" si="120"/>
        <v>1770211.7900017917</v>
      </c>
      <c r="AW183" s="21">
        <f t="shared" si="120"/>
        <v>2124254.14800215</v>
      </c>
      <c r="AX183" s="21">
        <f t="shared" si="120"/>
        <v>2478296.5060025086</v>
      </c>
      <c r="AY183" s="21">
        <f t="shared" si="120"/>
        <v>2832338.8640028667</v>
      </c>
      <c r="AZ183" s="21">
        <f t="shared" si="120"/>
        <v>3186381.2220032252</v>
      </c>
      <c r="BA183" s="21">
        <f t="shared" si="120"/>
        <v>3540423.5800035833</v>
      </c>
      <c r="BB183" s="20">
        <f t="shared" si="120"/>
        <v>7080847.1600071667</v>
      </c>
      <c r="BC183" s="21">
        <f t="shared" si="120"/>
        <v>14161694.320014333</v>
      </c>
      <c r="BD183" s="21">
        <f t="shared" si="120"/>
        <v>28323388.640028667</v>
      </c>
      <c r="BE183" s="21">
        <f t="shared" si="120"/>
        <v>56646777.280057333</v>
      </c>
      <c r="BF183" s="21">
        <f t="shared" si="120"/>
        <v>71432000.179179356</v>
      </c>
      <c r="BG183" s="72">
        <f t="shared" si="120"/>
        <v>71432000.179179356</v>
      </c>
      <c r="BH183" s="45"/>
    </row>
    <row r="184" spans="1:60" x14ac:dyDescent="0.25">
      <c r="A184" s="41"/>
      <c r="B184" s="6"/>
      <c r="C184" s="10"/>
      <c r="D184" s="8"/>
      <c r="E184" s="27">
        <v>2E-3</v>
      </c>
      <c r="F184" s="10"/>
      <c r="G184" s="10"/>
      <c r="H184" s="10"/>
      <c r="I184" s="10"/>
      <c r="J184" s="10"/>
      <c r="K184" s="10"/>
      <c r="L184" s="10"/>
      <c r="M184" s="10"/>
      <c r="N184" s="10"/>
      <c r="O184" s="10"/>
      <c r="P184" s="29">
        <f t="shared" ref="P184:BG184" si="121">P$139*$D$183*$E$184</f>
        <v>1.3505644149793944E-2</v>
      </c>
      <c r="Q184" s="30">
        <f t="shared" si="121"/>
        <v>2.7011288299587887E-2</v>
      </c>
      <c r="R184" s="30">
        <f t="shared" si="121"/>
        <v>5.4022576599175774E-2</v>
      </c>
      <c r="S184" s="30">
        <f t="shared" si="121"/>
        <v>0.10804515319835155</v>
      </c>
      <c r="T184" s="30">
        <f t="shared" si="121"/>
        <v>0.2160903063967031</v>
      </c>
      <c r="U184" s="30">
        <f t="shared" si="121"/>
        <v>0.43218061279340619</v>
      </c>
      <c r="V184" s="30">
        <f t="shared" si="121"/>
        <v>0.86436122558681239</v>
      </c>
      <c r="W184" s="30">
        <f t="shared" si="121"/>
        <v>1.7287224511736248</v>
      </c>
      <c r="X184" s="30">
        <f t="shared" si="121"/>
        <v>3.4574449023472495</v>
      </c>
      <c r="Y184" s="30">
        <f t="shared" si="121"/>
        <v>6.9148898046944991</v>
      </c>
      <c r="Z184" s="30">
        <f t="shared" si="121"/>
        <v>13.829779609388998</v>
      </c>
      <c r="AA184" s="30">
        <f t="shared" si="121"/>
        <v>27.659559218777996</v>
      </c>
      <c r="AB184" s="30">
        <f t="shared" si="121"/>
        <v>55.319118437555993</v>
      </c>
      <c r="AC184" s="30">
        <f t="shared" si="121"/>
        <v>110.63823687511199</v>
      </c>
      <c r="AD184" s="30">
        <f t="shared" si="121"/>
        <v>221.27647375022397</v>
      </c>
      <c r="AE184" s="30">
        <f t="shared" si="121"/>
        <v>276.59559218777997</v>
      </c>
      <c r="AF184" s="30">
        <f t="shared" si="121"/>
        <v>331.914710625336</v>
      </c>
      <c r="AG184" s="30">
        <f t="shared" si="121"/>
        <v>387.23382906289197</v>
      </c>
      <c r="AH184" s="30">
        <f t="shared" si="121"/>
        <v>442.55294750044794</v>
      </c>
      <c r="AI184" s="30">
        <f t="shared" si="121"/>
        <v>553.19118437555994</v>
      </c>
      <c r="AJ184" s="30">
        <f t="shared" si="121"/>
        <v>663.829421250672</v>
      </c>
      <c r="AK184" s="30">
        <f t="shared" si="121"/>
        <v>774.46765812578394</v>
      </c>
      <c r="AL184" s="30">
        <f t="shared" si="121"/>
        <v>885.10589500089588</v>
      </c>
      <c r="AM184" s="30">
        <f t="shared" si="121"/>
        <v>1062.127074001075</v>
      </c>
      <c r="AN184" s="30">
        <f t="shared" si="121"/>
        <v>1239.1482530012543</v>
      </c>
      <c r="AO184" s="30">
        <f t="shared" si="121"/>
        <v>1416.1694320014333</v>
      </c>
      <c r="AP184" s="30">
        <f t="shared" si="121"/>
        <v>1593.1906110016128</v>
      </c>
      <c r="AQ184" s="30">
        <f t="shared" si="121"/>
        <v>1770.2117900017918</v>
      </c>
      <c r="AR184" s="30">
        <f t="shared" si="121"/>
        <v>2124.25414800215</v>
      </c>
      <c r="AS184" s="30">
        <f t="shared" si="121"/>
        <v>2478.2965060025085</v>
      </c>
      <c r="AT184" s="30">
        <f t="shared" si="121"/>
        <v>2832.3388640028666</v>
      </c>
      <c r="AU184" s="30">
        <f t="shared" si="121"/>
        <v>3186.3812220032255</v>
      </c>
      <c r="AV184" s="30">
        <f t="shared" si="121"/>
        <v>3540.4235800035835</v>
      </c>
      <c r="AW184" s="30">
        <f t="shared" si="121"/>
        <v>4248.5082960043001</v>
      </c>
      <c r="AX184" s="30">
        <f t="shared" si="121"/>
        <v>4956.593012005017</v>
      </c>
      <c r="AY184" s="30">
        <f t="shared" si="121"/>
        <v>5664.6777280057331</v>
      </c>
      <c r="AZ184" s="30">
        <f t="shared" si="121"/>
        <v>6372.762444006451</v>
      </c>
      <c r="BA184" s="30">
        <f t="shared" si="121"/>
        <v>7080.8471600071671</v>
      </c>
      <c r="BB184" s="29">
        <f t="shared" si="121"/>
        <v>14161.694320014334</v>
      </c>
      <c r="BC184" s="30">
        <f t="shared" si="121"/>
        <v>28323.388640028668</v>
      </c>
      <c r="BD184" s="30">
        <f t="shared" si="121"/>
        <v>56646.777280057337</v>
      </c>
      <c r="BE184" s="30">
        <f t="shared" si="121"/>
        <v>113293.55456011467</v>
      </c>
      <c r="BF184" s="30">
        <f t="shared" si="121"/>
        <v>142864.00035835872</v>
      </c>
      <c r="BG184" s="71">
        <f t="shared" si="121"/>
        <v>142864.00035835872</v>
      </c>
      <c r="BH184" s="45"/>
    </row>
    <row r="185" spans="1:60" x14ac:dyDescent="0.25">
      <c r="A185" s="42" t="s">
        <v>19</v>
      </c>
      <c r="B185" s="6">
        <f>'Population by Age - Wikipedia'!D13</f>
        <v>0.13835839467257338</v>
      </c>
      <c r="C185" s="10">
        <f t="shared" si="109"/>
        <v>45736511.914136559</v>
      </c>
      <c r="D185" s="23">
        <f>'AU Infection Rate by Age'!C11</f>
        <v>2.8847876724601325E-2</v>
      </c>
      <c r="E185" s="17"/>
      <c r="F185" s="10"/>
      <c r="G185" s="10"/>
      <c r="H185" s="10"/>
      <c r="I185" s="10"/>
      <c r="J185" s="10"/>
      <c r="K185" s="10"/>
      <c r="L185" s="10"/>
      <c r="M185" s="10"/>
      <c r="N185" s="10"/>
      <c r="O185" s="10"/>
      <c r="P185" s="20">
        <f t="shared" ref="P185:BG185" si="122">P$139*$D$185</f>
        <v>0.90149614764379138</v>
      </c>
      <c r="Q185" s="21">
        <f t="shared" si="122"/>
        <v>1.8029922952875828</v>
      </c>
      <c r="R185" s="21">
        <f t="shared" si="122"/>
        <v>3.6059845905751655</v>
      </c>
      <c r="S185" s="21">
        <f t="shared" si="122"/>
        <v>7.211969181150331</v>
      </c>
      <c r="T185" s="21">
        <f t="shared" si="122"/>
        <v>14.423938362300662</v>
      </c>
      <c r="U185" s="21">
        <f t="shared" si="122"/>
        <v>28.847876724601324</v>
      </c>
      <c r="V185" s="21">
        <f t="shared" si="122"/>
        <v>57.695753449202648</v>
      </c>
      <c r="W185" s="21">
        <f t="shared" si="122"/>
        <v>115.3915068984053</v>
      </c>
      <c r="X185" s="21">
        <f t="shared" si="122"/>
        <v>230.78301379681059</v>
      </c>
      <c r="Y185" s="21">
        <f t="shared" si="122"/>
        <v>461.56602759362119</v>
      </c>
      <c r="Z185" s="21">
        <f t="shared" si="122"/>
        <v>923.13205518724237</v>
      </c>
      <c r="AA185" s="21">
        <f t="shared" si="122"/>
        <v>1846.2641103744847</v>
      </c>
      <c r="AB185" s="21">
        <f t="shared" si="122"/>
        <v>3692.5282207489695</v>
      </c>
      <c r="AC185" s="21">
        <f t="shared" si="122"/>
        <v>7385.056441497939</v>
      </c>
      <c r="AD185" s="21">
        <f t="shared" si="122"/>
        <v>14770.112882995878</v>
      </c>
      <c r="AE185" s="21">
        <f t="shared" si="122"/>
        <v>18462.641103744849</v>
      </c>
      <c r="AF185" s="21">
        <f t="shared" si="122"/>
        <v>22155.169324493818</v>
      </c>
      <c r="AG185" s="21">
        <f t="shared" si="122"/>
        <v>25847.697545242787</v>
      </c>
      <c r="AH185" s="21">
        <f t="shared" si="122"/>
        <v>29540.225765991756</v>
      </c>
      <c r="AI185" s="21">
        <f t="shared" si="122"/>
        <v>36925.282207489698</v>
      </c>
      <c r="AJ185" s="21">
        <f t="shared" si="122"/>
        <v>44310.338648987636</v>
      </c>
      <c r="AK185" s="21">
        <f t="shared" si="122"/>
        <v>51695.395090485574</v>
      </c>
      <c r="AL185" s="21">
        <f t="shared" si="122"/>
        <v>59080.451531983512</v>
      </c>
      <c r="AM185" s="21">
        <f t="shared" si="122"/>
        <v>70896.541838380217</v>
      </c>
      <c r="AN185" s="21">
        <f t="shared" si="122"/>
        <v>82712.632144776915</v>
      </c>
      <c r="AO185" s="21">
        <f t="shared" si="122"/>
        <v>94528.722451173628</v>
      </c>
      <c r="AP185" s="21">
        <f t="shared" si="122"/>
        <v>106344.81275757033</v>
      </c>
      <c r="AQ185" s="21">
        <f t="shared" si="122"/>
        <v>118160.90306396702</v>
      </c>
      <c r="AR185" s="21">
        <f t="shared" si="122"/>
        <v>141793.08367676043</v>
      </c>
      <c r="AS185" s="21">
        <f t="shared" si="122"/>
        <v>165425.26428955383</v>
      </c>
      <c r="AT185" s="21">
        <f t="shared" si="122"/>
        <v>189057.44490234726</v>
      </c>
      <c r="AU185" s="21">
        <f t="shared" si="122"/>
        <v>212689.62551514065</v>
      </c>
      <c r="AV185" s="21">
        <f t="shared" si="122"/>
        <v>236321.80612793405</v>
      </c>
      <c r="AW185" s="21">
        <f t="shared" si="122"/>
        <v>283586.16735352087</v>
      </c>
      <c r="AX185" s="21">
        <f t="shared" si="122"/>
        <v>330850.52857910766</v>
      </c>
      <c r="AY185" s="21">
        <f t="shared" si="122"/>
        <v>378114.88980469451</v>
      </c>
      <c r="AZ185" s="21">
        <f t="shared" si="122"/>
        <v>425379.2510302813</v>
      </c>
      <c r="BA185" s="21">
        <f t="shared" si="122"/>
        <v>472643.61225586809</v>
      </c>
      <c r="BB185" s="20">
        <f t="shared" si="122"/>
        <v>945287.22451173619</v>
      </c>
      <c r="BC185" s="21">
        <f t="shared" si="122"/>
        <v>1890574.4490234724</v>
      </c>
      <c r="BD185" s="21">
        <f t="shared" si="122"/>
        <v>3781148.8980469448</v>
      </c>
      <c r="BE185" s="21">
        <f t="shared" si="122"/>
        <v>7562297.7960938895</v>
      </c>
      <c r="BF185" s="21">
        <f t="shared" si="122"/>
        <v>9536112.7934061997</v>
      </c>
      <c r="BG185" s="72">
        <f t="shared" si="122"/>
        <v>9536112.7934061997</v>
      </c>
      <c r="BH185" s="45"/>
    </row>
    <row r="186" spans="1:60" x14ac:dyDescent="0.25">
      <c r="A186" s="42"/>
      <c r="B186" s="6"/>
      <c r="C186" s="10"/>
      <c r="D186" s="8"/>
      <c r="E186" s="27">
        <v>2E-3</v>
      </c>
      <c r="F186" s="10"/>
      <c r="G186" s="10"/>
      <c r="H186" s="10"/>
      <c r="I186" s="10"/>
      <c r="J186" s="10"/>
      <c r="K186" s="10"/>
      <c r="L186" s="10"/>
      <c r="M186" s="10"/>
      <c r="N186" s="10"/>
      <c r="O186" s="10"/>
      <c r="P186" s="29">
        <f t="shared" ref="P186:BG186" si="123">P$139*$D$185*$E$186</f>
        <v>1.8029922952875828E-3</v>
      </c>
      <c r="Q186" s="30">
        <f t="shared" si="123"/>
        <v>3.6059845905751656E-3</v>
      </c>
      <c r="R186" s="30">
        <f t="shared" si="123"/>
        <v>7.2119691811503312E-3</v>
      </c>
      <c r="S186" s="30">
        <f t="shared" si="123"/>
        <v>1.4423938362300662E-2</v>
      </c>
      <c r="T186" s="30">
        <f t="shared" si="123"/>
        <v>2.8847876724601325E-2</v>
      </c>
      <c r="U186" s="30">
        <f t="shared" si="123"/>
        <v>5.769575344920265E-2</v>
      </c>
      <c r="V186" s="30">
        <f t="shared" si="123"/>
        <v>0.1153915068984053</v>
      </c>
      <c r="W186" s="30">
        <f t="shared" si="123"/>
        <v>0.2307830137968106</v>
      </c>
      <c r="X186" s="30">
        <f t="shared" si="123"/>
        <v>0.4615660275936212</v>
      </c>
      <c r="Y186" s="30">
        <f t="shared" si="123"/>
        <v>0.9231320551872424</v>
      </c>
      <c r="Z186" s="30">
        <f t="shared" si="123"/>
        <v>1.8462641103744848</v>
      </c>
      <c r="AA186" s="30">
        <f t="shared" si="123"/>
        <v>3.6925282207489696</v>
      </c>
      <c r="AB186" s="30">
        <f t="shared" si="123"/>
        <v>7.3850564414979392</v>
      </c>
      <c r="AC186" s="30">
        <f t="shared" si="123"/>
        <v>14.770112882995878</v>
      </c>
      <c r="AD186" s="30">
        <f t="shared" si="123"/>
        <v>29.540225765991757</v>
      </c>
      <c r="AE186" s="30">
        <f t="shared" si="123"/>
        <v>36.925282207489701</v>
      </c>
      <c r="AF186" s="30">
        <f t="shared" si="123"/>
        <v>44.310338648987639</v>
      </c>
      <c r="AG186" s="30">
        <f t="shared" si="123"/>
        <v>51.695395090485576</v>
      </c>
      <c r="AH186" s="30">
        <f t="shared" si="123"/>
        <v>59.080451531983513</v>
      </c>
      <c r="AI186" s="30">
        <f t="shared" si="123"/>
        <v>73.850564414979402</v>
      </c>
      <c r="AJ186" s="30">
        <f t="shared" si="123"/>
        <v>88.620677297975277</v>
      </c>
      <c r="AK186" s="30">
        <f t="shared" si="123"/>
        <v>103.39079018097115</v>
      </c>
      <c r="AL186" s="30">
        <f t="shared" si="123"/>
        <v>118.16090306396703</v>
      </c>
      <c r="AM186" s="30">
        <f t="shared" si="123"/>
        <v>141.79308367676043</v>
      </c>
      <c r="AN186" s="30">
        <f t="shared" si="123"/>
        <v>165.42526428955384</v>
      </c>
      <c r="AO186" s="30">
        <f t="shared" si="123"/>
        <v>189.05744490234727</v>
      </c>
      <c r="AP186" s="30">
        <f t="shared" si="123"/>
        <v>212.68962551514065</v>
      </c>
      <c r="AQ186" s="30">
        <f t="shared" si="123"/>
        <v>236.32180612793405</v>
      </c>
      <c r="AR186" s="30">
        <f t="shared" si="123"/>
        <v>283.58616735352086</v>
      </c>
      <c r="AS186" s="30">
        <f t="shared" si="123"/>
        <v>330.85052857910767</v>
      </c>
      <c r="AT186" s="30">
        <f t="shared" si="123"/>
        <v>378.11488980469454</v>
      </c>
      <c r="AU186" s="30">
        <f t="shared" si="123"/>
        <v>425.3792510302813</v>
      </c>
      <c r="AV186" s="30">
        <f t="shared" si="123"/>
        <v>472.64361225586811</v>
      </c>
      <c r="AW186" s="30">
        <f t="shared" si="123"/>
        <v>567.17233470704173</v>
      </c>
      <c r="AX186" s="30">
        <f t="shared" si="123"/>
        <v>661.70105715821535</v>
      </c>
      <c r="AY186" s="30">
        <f t="shared" si="123"/>
        <v>756.22977960938908</v>
      </c>
      <c r="AZ186" s="30">
        <f t="shared" si="123"/>
        <v>850.75850206056259</v>
      </c>
      <c r="BA186" s="30">
        <f t="shared" si="123"/>
        <v>945.28722451173621</v>
      </c>
      <c r="BB186" s="29">
        <f t="shared" si="123"/>
        <v>1890.5744490234724</v>
      </c>
      <c r="BC186" s="30">
        <f t="shared" si="123"/>
        <v>3781.1488980469449</v>
      </c>
      <c r="BD186" s="30">
        <f t="shared" si="123"/>
        <v>7562.2977960938897</v>
      </c>
      <c r="BE186" s="30">
        <f t="shared" si="123"/>
        <v>15124.595592187779</v>
      </c>
      <c r="BF186" s="30">
        <f t="shared" si="123"/>
        <v>19072.225586812401</v>
      </c>
      <c r="BG186" s="71">
        <f t="shared" si="123"/>
        <v>19072.225586812401</v>
      </c>
      <c r="BH186" s="45"/>
    </row>
    <row r="187" spans="1:60" x14ac:dyDescent="0.25">
      <c r="A187" s="42" t="s">
        <v>20</v>
      </c>
      <c r="B187" s="6">
        <f>'Population by Age - Wikipedia'!D9</f>
        <v>0.13133799200038965</v>
      </c>
      <c r="C187" s="10">
        <f t="shared" si="109"/>
        <v>43415808.994604804</v>
      </c>
      <c r="D187" s="23">
        <f>'AU Infection Rate by Age'!C12</f>
        <v>9.8548647195843032E-3</v>
      </c>
      <c r="E187" s="17"/>
      <c r="F187" s="10"/>
      <c r="G187" s="10"/>
      <c r="H187" s="10"/>
      <c r="I187" s="10"/>
      <c r="J187" s="10"/>
      <c r="K187" s="10"/>
      <c r="L187" s="10"/>
      <c r="M187" s="10"/>
      <c r="N187" s="10"/>
      <c r="O187" s="10"/>
      <c r="P187" s="20">
        <f t="shared" ref="P187:BG187" si="124">P$139*$D$187</f>
        <v>0.30796452248700945</v>
      </c>
      <c r="Q187" s="21">
        <f t="shared" si="124"/>
        <v>0.6159290449740189</v>
      </c>
      <c r="R187" s="21">
        <f t="shared" si="124"/>
        <v>1.2318580899480378</v>
      </c>
      <c r="S187" s="21">
        <f t="shared" si="124"/>
        <v>2.4637161798960756</v>
      </c>
      <c r="T187" s="21">
        <f t="shared" si="124"/>
        <v>4.9274323597921512</v>
      </c>
      <c r="U187" s="21">
        <f t="shared" si="124"/>
        <v>9.8548647195843024</v>
      </c>
      <c r="V187" s="21">
        <f t="shared" si="124"/>
        <v>19.709729439168605</v>
      </c>
      <c r="W187" s="21">
        <f t="shared" si="124"/>
        <v>39.41945887833721</v>
      </c>
      <c r="X187" s="21">
        <f t="shared" si="124"/>
        <v>78.838917756674419</v>
      </c>
      <c r="Y187" s="21">
        <f t="shared" si="124"/>
        <v>157.67783551334884</v>
      </c>
      <c r="Z187" s="21">
        <f t="shared" si="124"/>
        <v>315.35567102669768</v>
      </c>
      <c r="AA187" s="21">
        <f t="shared" si="124"/>
        <v>630.71134205339536</v>
      </c>
      <c r="AB187" s="21">
        <f t="shared" si="124"/>
        <v>1261.4226841067907</v>
      </c>
      <c r="AC187" s="21">
        <f t="shared" si="124"/>
        <v>2522.8453682135814</v>
      </c>
      <c r="AD187" s="21">
        <f t="shared" si="124"/>
        <v>5045.6907364271628</v>
      </c>
      <c r="AE187" s="21">
        <f t="shared" si="124"/>
        <v>6307.113420533954</v>
      </c>
      <c r="AF187" s="21">
        <f t="shared" si="124"/>
        <v>7568.5361046407452</v>
      </c>
      <c r="AG187" s="21">
        <f t="shared" si="124"/>
        <v>8829.9587887475354</v>
      </c>
      <c r="AH187" s="21">
        <f t="shared" si="124"/>
        <v>10091.381472854326</v>
      </c>
      <c r="AI187" s="21">
        <f t="shared" si="124"/>
        <v>12614.226841067908</v>
      </c>
      <c r="AJ187" s="21">
        <f t="shared" si="124"/>
        <v>15137.07220928149</v>
      </c>
      <c r="AK187" s="21">
        <f t="shared" si="124"/>
        <v>17659.917577495071</v>
      </c>
      <c r="AL187" s="21">
        <f t="shared" si="124"/>
        <v>20182.762945708651</v>
      </c>
      <c r="AM187" s="21">
        <f t="shared" si="124"/>
        <v>24219.315534850382</v>
      </c>
      <c r="AN187" s="21">
        <f t="shared" si="124"/>
        <v>28255.868123992113</v>
      </c>
      <c r="AO187" s="21">
        <f t="shared" si="124"/>
        <v>32292.420713133844</v>
      </c>
      <c r="AP187" s="21">
        <f t="shared" si="124"/>
        <v>36328.973302275575</v>
      </c>
      <c r="AQ187" s="21">
        <f t="shared" si="124"/>
        <v>40365.525891417303</v>
      </c>
      <c r="AR187" s="21">
        <f t="shared" si="124"/>
        <v>48438.631069700765</v>
      </c>
      <c r="AS187" s="21">
        <f t="shared" si="124"/>
        <v>56511.736247984227</v>
      </c>
      <c r="AT187" s="21">
        <f t="shared" si="124"/>
        <v>64584.841426267689</v>
      </c>
      <c r="AU187" s="21">
        <f t="shared" si="124"/>
        <v>72657.946604551151</v>
      </c>
      <c r="AV187" s="21">
        <f t="shared" si="124"/>
        <v>80731.051782834606</v>
      </c>
      <c r="AW187" s="21">
        <f t="shared" si="124"/>
        <v>96877.26213940153</v>
      </c>
      <c r="AX187" s="21">
        <f t="shared" si="124"/>
        <v>113023.47249596845</v>
      </c>
      <c r="AY187" s="21">
        <f t="shared" si="124"/>
        <v>129169.68285253538</v>
      </c>
      <c r="AZ187" s="21">
        <f t="shared" si="124"/>
        <v>145315.8932091023</v>
      </c>
      <c r="BA187" s="21">
        <f t="shared" si="124"/>
        <v>161462.10356566921</v>
      </c>
      <c r="BB187" s="20">
        <f t="shared" si="124"/>
        <v>322924.20713133842</v>
      </c>
      <c r="BC187" s="21">
        <f t="shared" si="124"/>
        <v>645848.41426267684</v>
      </c>
      <c r="BD187" s="21">
        <f t="shared" si="124"/>
        <v>1291696.8285253537</v>
      </c>
      <c r="BE187" s="21">
        <f t="shared" si="124"/>
        <v>2583393.6570507074</v>
      </c>
      <c r="BF187" s="21">
        <f t="shared" si="124"/>
        <v>3257678.2834617449</v>
      </c>
      <c r="BG187" s="72">
        <f t="shared" si="124"/>
        <v>3257678.2834617449</v>
      </c>
      <c r="BH187" s="45"/>
    </row>
    <row r="188" spans="1:60" x14ac:dyDescent="0.25">
      <c r="A188" s="42"/>
      <c r="B188" s="7"/>
      <c r="C188" s="11"/>
      <c r="D188" s="26"/>
      <c r="E188" s="28">
        <v>0</v>
      </c>
      <c r="F188" s="10"/>
      <c r="G188" s="10"/>
      <c r="H188" s="10"/>
      <c r="I188" s="10"/>
      <c r="J188" s="10"/>
      <c r="K188" s="10"/>
      <c r="L188" s="10"/>
      <c r="M188" s="10"/>
      <c r="N188" s="10"/>
      <c r="O188" s="10"/>
      <c r="P188" s="31">
        <f t="shared" ref="P188:BG188" si="125">P$139*$D$187*$E$188</f>
        <v>0</v>
      </c>
      <c r="Q188" s="32">
        <f t="shared" si="125"/>
        <v>0</v>
      </c>
      <c r="R188" s="32">
        <f t="shared" si="125"/>
        <v>0</v>
      </c>
      <c r="S188" s="32">
        <f t="shared" si="125"/>
        <v>0</v>
      </c>
      <c r="T188" s="32">
        <f t="shared" si="125"/>
        <v>0</v>
      </c>
      <c r="U188" s="32">
        <f t="shared" si="125"/>
        <v>0</v>
      </c>
      <c r="V188" s="32">
        <f t="shared" si="125"/>
        <v>0</v>
      </c>
      <c r="W188" s="32">
        <f t="shared" si="125"/>
        <v>0</v>
      </c>
      <c r="X188" s="32">
        <f t="shared" si="125"/>
        <v>0</v>
      </c>
      <c r="Y188" s="32">
        <f t="shared" si="125"/>
        <v>0</v>
      </c>
      <c r="Z188" s="32">
        <f t="shared" si="125"/>
        <v>0</v>
      </c>
      <c r="AA188" s="32">
        <f t="shared" si="125"/>
        <v>0</v>
      </c>
      <c r="AB188" s="32">
        <f t="shared" si="125"/>
        <v>0</v>
      </c>
      <c r="AC188" s="32">
        <f t="shared" si="125"/>
        <v>0</v>
      </c>
      <c r="AD188" s="32">
        <f t="shared" si="125"/>
        <v>0</v>
      </c>
      <c r="AE188" s="32">
        <f t="shared" si="125"/>
        <v>0</v>
      </c>
      <c r="AF188" s="32">
        <f t="shared" si="125"/>
        <v>0</v>
      </c>
      <c r="AG188" s="32">
        <f t="shared" si="125"/>
        <v>0</v>
      </c>
      <c r="AH188" s="32">
        <f t="shared" si="125"/>
        <v>0</v>
      </c>
      <c r="AI188" s="32">
        <f t="shared" si="125"/>
        <v>0</v>
      </c>
      <c r="AJ188" s="32">
        <f t="shared" si="125"/>
        <v>0</v>
      </c>
      <c r="AK188" s="32">
        <f t="shared" si="125"/>
        <v>0</v>
      </c>
      <c r="AL188" s="32">
        <f t="shared" si="125"/>
        <v>0</v>
      </c>
      <c r="AM188" s="32">
        <f t="shared" si="125"/>
        <v>0</v>
      </c>
      <c r="AN188" s="32">
        <f t="shared" si="125"/>
        <v>0</v>
      </c>
      <c r="AO188" s="32">
        <f t="shared" si="125"/>
        <v>0</v>
      </c>
      <c r="AP188" s="32">
        <f t="shared" si="125"/>
        <v>0</v>
      </c>
      <c r="AQ188" s="32">
        <f t="shared" si="125"/>
        <v>0</v>
      </c>
      <c r="AR188" s="32">
        <f t="shared" si="125"/>
        <v>0</v>
      </c>
      <c r="AS188" s="32">
        <f t="shared" si="125"/>
        <v>0</v>
      </c>
      <c r="AT188" s="32">
        <f t="shared" si="125"/>
        <v>0</v>
      </c>
      <c r="AU188" s="32">
        <f t="shared" si="125"/>
        <v>0</v>
      </c>
      <c r="AV188" s="32">
        <f t="shared" si="125"/>
        <v>0</v>
      </c>
      <c r="AW188" s="32">
        <f t="shared" si="125"/>
        <v>0</v>
      </c>
      <c r="AX188" s="32">
        <f t="shared" si="125"/>
        <v>0</v>
      </c>
      <c r="AY188" s="32">
        <f t="shared" si="125"/>
        <v>0</v>
      </c>
      <c r="AZ188" s="32">
        <f t="shared" si="125"/>
        <v>0</v>
      </c>
      <c r="BA188" s="32">
        <f t="shared" si="125"/>
        <v>0</v>
      </c>
      <c r="BB188" s="29">
        <f t="shared" si="125"/>
        <v>0</v>
      </c>
      <c r="BC188" s="30">
        <f t="shared" si="125"/>
        <v>0</v>
      </c>
      <c r="BD188" s="30">
        <f t="shared" si="125"/>
        <v>0</v>
      </c>
      <c r="BE188" s="30">
        <f t="shared" si="125"/>
        <v>0</v>
      </c>
      <c r="BF188" s="30">
        <f t="shared" si="125"/>
        <v>0</v>
      </c>
      <c r="BG188" s="71">
        <f t="shared" si="125"/>
        <v>0</v>
      </c>
      <c r="BH188" s="45"/>
    </row>
    <row r="189" spans="1:60" x14ac:dyDescent="0.25">
      <c r="A189" s="41" t="s">
        <v>39</v>
      </c>
      <c r="B189" s="14"/>
      <c r="C189" s="10"/>
      <c r="D189" s="10"/>
      <c r="E189" s="15"/>
      <c r="F189" s="10"/>
      <c r="G189" s="10"/>
      <c r="H189" s="10"/>
      <c r="I189" s="10"/>
      <c r="J189" s="10"/>
      <c r="K189" s="10"/>
      <c r="L189" s="10"/>
      <c r="M189" s="10"/>
      <c r="N189" s="10"/>
      <c r="O189" s="10"/>
      <c r="P189" s="18">
        <f t="shared" ref="P189:AP189" si="126">SUM(P171,P173,P175,P177,P179,P181,P183,P185,P187)</f>
        <v>31.249999999999996</v>
      </c>
      <c r="Q189" s="19">
        <f t="shared" si="126"/>
        <v>62.499999999999993</v>
      </c>
      <c r="R189" s="19">
        <f t="shared" si="126"/>
        <v>124.99999999999999</v>
      </c>
      <c r="S189" s="19">
        <f t="shared" si="126"/>
        <v>249.99999999999997</v>
      </c>
      <c r="T189" s="19">
        <f t="shared" si="126"/>
        <v>499.99999999999994</v>
      </c>
      <c r="U189" s="19">
        <f>SUM(U171,U173,U175,U177,U179,U181,U183,U185,U187)</f>
        <v>999.99999999999989</v>
      </c>
      <c r="V189" s="19">
        <f t="shared" si="126"/>
        <v>1999.9999999999998</v>
      </c>
      <c r="W189" s="19">
        <f t="shared" si="126"/>
        <v>3999.9999999999995</v>
      </c>
      <c r="X189" s="19">
        <f t="shared" si="126"/>
        <v>7999.9999999999991</v>
      </c>
      <c r="Y189" s="19">
        <f t="shared" si="126"/>
        <v>15999.999999999998</v>
      </c>
      <c r="Z189" s="19">
        <f t="shared" si="126"/>
        <v>31999.999999999996</v>
      </c>
      <c r="AA189" s="19">
        <f t="shared" si="126"/>
        <v>63999.999999999993</v>
      </c>
      <c r="AB189" s="19">
        <f t="shared" si="126"/>
        <v>127999.99999999999</v>
      </c>
      <c r="AC189" s="19">
        <f t="shared" si="126"/>
        <v>255999.99999999997</v>
      </c>
      <c r="AD189" s="19">
        <f t="shared" si="126"/>
        <v>511999.99999999994</v>
      </c>
      <c r="AE189" s="19">
        <f t="shared" ref="AE189:AG189" si="127">SUM(AE171,AE173,AE175,AE177,AE179,AE181,AE183,AE185,AE187)</f>
        <v>640000</v>
      </c>
      <c r="AF189" s="19">
        <f t="shared" si="127"/>
        <v>768000</v>
      </c>
      <c r="AG189" s="19">
        <f t="shared" si="127"/>
        <v>895999.99999999988</v>
      </c>
      <c r="AH189" s="19">
        <f t="shared" si="126"/>
        <v>1023999.9999999999</v>
      </c>
      <c r="AI189" s="19">
        <f t="shared" ref="AI189:AK189" si="128">SUM(AI171,AI173,AI175,AI177,AI179,AI181,AI183,AI185,AI187)</f>
        <v>1280000</v>
      </c>
      <c r="AJ189" s="19">
        <f t="shared" si="128"/>
        <v>1536000</v>
      </c>
      <c r="AK189" s="19">
        <f t="shared" si="128"/>
        <v>1791999.9999999998</v>
      </c>
      <c r="AL189" s="19">
        <f t="shared" si="126"/>
        <v>2047999.9999999998</v>
      </c>
      <c r="AM189" s="19">
        <f t="shared" si="126"/>
        <v>2457600</v>
      </c>
      <c r="AN189" s="19">
        <f t="shared" si="126"/>
        <v>2867200</v>
      </c>
      <c r="AO189" s="19">
        <f t="shared" si="126"/>
        <v>3276799.9999999995</v>
      </c>
      <c r="AP189" s="19">
        <f t="shared" si="126"/>
        <v>3686400</v>
      </c>
      <c r="AQ189" s="19">
        <f t="shared" ref="AQ189:BA190" si="129">SUM(AQ171,AQ173,AQ175,AQ177,AQ179,AQ181,AQ183,AQ185,AQ187)</f>
        <v>4095999.9999999995</v>
      </c>
      <c r="AR189" s="19">
        <f t="shared" ref="AR189:AU189" si="130">SUM(AR171,AR173,AR175,AR177,AR179,AR181,AR183,AR185,AR187)</f>
        <v>4915200</v>
      </c>
      <c r="AS189" s="19">
        <f t="shared" si="130"/>
        <v>5734400</v>
      </c>
      <c r="AT189" s="19">
        <f t="shared" si="130"/>
        <v>6553599.9999999991</v>
      </c>
      <c r="AU189" s="19">
        <f t="shared" si="130"/>
        <v>7372800</v>
      </c>
      <c r="AV189" s="19">
        <f t="shared" si="129"/>
        <v>8191999.9999999991</v>
      </c>
      <c r="AW189" s="19">
        <f t="shared" ref="AW189:AZ189" si="131">SUM(AW171,AW173,AW175,AW177,AW179,AW181,AW183,AW185,AW187)</f>
        <v>9830400</v>
      </c>
      <c r="AX189" s="19">
        <f t="shared" si="131"/>
        <v>11468800</v>
      </c>
      <c r="AY189" s="19">
        <f t="shared" si="131"/>
        <v>13107199.999999998</v>
      </c>
      <c r="AZ189" s="19">
        <f t="shared" si="131"/>
        <v>14745600</v>
      </c>
      <c r="BA189" s="19">
        <f t="shared" si="129"/>
        <v>16383999.999999998</v>
      </c>
      <c r="BB189" s="18">
        <f t="shared" ref="BB189:BG189" si="132">SUM(BB171,BB173,BB175,BB177,BB179,BB181,BB183,BB185,BB187)</f>
        <v>32767999.999999996</v>
      </c>
      <c r="BC189" s="19">
        <f t="shared" si="132"/>
        <v>65535999.999999993</v>
      </c>
      <c r="BD189" s="19">
        <f t="shared" si="132"/>
        <v>131071999.99999999</v>
      </c>
      <c r="BE189" s="19">
        <f t="shared" si="132"/>
        <v>262143999.99999997</v>
      </c>
      <c r="BF189" s="19">
        <f t="shared" si="132"/>
        <v>330565499.99999994</v>
      </c>
      <c r="BG189" s="60">
        <f t="shared" si="132"/>
        <v>330565499.99999994</v>
      </c>
      <c r="BH189" s="45"/>
    </row>
    <row r="190" spans="1:60" x14ac:dyDescent="0.25">
      <c r="A190" s="43" t="s">
        <v>38</v>
      </c>
      <c r="B190" s="44"/>
      <c r="C190" s="11"/>
      <c r="D190" s="11"/>
      <c r="E190" s="38"/>
      <c r="F190" s="11"/>
      <c r="G190" s="11"/>
      <c r="H190" s="11"/>
      <c r="I190" s="11"/>
      <c r="J190" s="11"/>
      <c r="K190" s="11"/>
      <c r="L190" s="11"/>
      <c r="M190" s="11"/>
      <c r="N190" s="11"/>
      <c r="O190" s="11"/>
      <c r="P190" s="31">
        <f>SUM(P172,P174,P176,P178,P180,P182,P184,P186,P188)</f>
        <v>0.69269060204264477</v>
      </c>
      <c r="Q190" s="32">
        <f>SUM(Q172,Q174,Q176,Q178,Q180,Q182,Q184,Q186,Q188)</f>
        <v>1.3853812040852895</v>
      </c>
      <c r="R190" s="32">
        <f t="shared" ref="R190:AP190" si="133">SUM(R172,R174,R176,R178,R180,R182,R184,R186,R188)</f>
        <v>2.7707624081705791</v>
      </c>
      <c r="S190" s="32">
        <f t="shared" si="133"/>
        <v>5.5415248163411581</v>
      </c>
      <c r="T190" s="32">
        <f t="shared" si="133"/>
        <v>11.083049632682316</v>
      </c>
      <c r="U190" s="32">
        <f t="shared" si="133"/>
        <v>22.166099265364632</v>
      </c>
      <c r="V190" s="32">
        <f t="shared" si="133"/>
        <v>44.332198530729265</v>
      </c>
      <c r="W190" s="32">
        <f t="shared" si="133"/>
        <v>88.66439706145853</v>
      </c>
      <c r="X190" s="32">
        <f t="shared" si="133"/>
        <v>177.32879412291706</v>
      </c>
      <c r="Y190" s="32">
        <f t="shared" si="133"/>
        <v>354.65758824583412</v>
      </c>
      <c r="Z190" s="32">
        <f t="shared" si="133"/>
        <v>709.31517649166824</v>
      </c>
      <c r="AA190" s="32">
        <f t="shared" si="133"/>
        <v>1418.6303529833365</v>
      </c>
      <c r="AB190" s="32">
        <f t="shared" si="133"/>
        <v>2837.260705966673</v>
      </c>
      <c r="AC190" s="32">
        <f t="shared" si="133"/>
        <v>5674.5214119333459</v>
      </c>
      <c r="AD190" s="32">
        <f t="shared" si="133"/>
        <v>11349.042823866692</v>
      </c>
      <c r="AE190" s="32">
        <f t="shared" ref="AE190:AG190" si="134">SUM(AE172,AE174,AE176,AE178,AE180,AE182,AE184,AE186,AE188)</f>
        <v>14186.303529833365</v>
      </c>
      <c r="AF190" s="32">
        <f t="shared" si="134"/>
        <v>17023.564235800037</v>
      </c>
      <c r="AG190" s="32">
        <f t="shared" si="134"/>
        <v>19860.824941766703</v>
      </c>
      <c r="AH190" s="32">
        <f t="shared" si="133"/>
        <v>22698.085647733384</v>
      </c>
      <c r="AI190" s="32">
        <f t="shared" ref="AI190:AK190" si="135">SUM(AI172,AI174,AI176,AI178,AI180,AI182,AI184,AI186,AI188)</f>
        <v>28372.60705966673</v>
      </c>
      <c r="AJ190" s="32">
        <f t="shared" si="135"/>
        <v>34047.128471600074</v>
      </c>
      <c r="AK190" s="32">
        <f t="shared" si="135"/>
        <v>39721.649883533406</v>
      </c>
      <c r="AL190" s="32">
        <f t="shared" si="133"/>
        <v>45396.171295466767</v>
      </c>
      <c r="AM190" s="32">
        <f t="shared" si="133"/>
        <v>54475.405554560122</v>
      </c>
      <c r="AN190" s="32">
        <f t="shared" si="133"/>
        <v>63554.639813653455</v>
      </c>
      <c r="AO190" s="32">
        <f t="shared" si="133"/>
        <v>72633.874072746825</v>
      </c>
      <c r="AP190" s="32">
        <f t="shared" si="133"/>
        <v>81713.108331840151</v>
      </c>
      <c r="AQ190" s="32">
        <f t="shared" si="129"/>
        <v>90792.342590933535</v>
      </c>
      <c r="AR190" s="32">
        <f t="shared" ref="AR190:AU190" si="136">SUM(AR172,AR174,AR176,AR178,AR180,AR182,AR184,AR186,AR188)</f>
        <v>108950.81110912024</v>
      </c>
      <c r="AS190" s="32">
        <f t="shared" si="136"/>
        <v>127109.27962730691</v>
      </c>
      <c r="AT190" s="32">
        <f t="shared" si="136"/>
        <v>145267.74814549365</v>
      </c>
      <c r="AU190" s="32">
        <f t="shared" si="136"/>
        <v>163426.2166636803</v>
      </c>
      <c r="AV190" s="32">
        <f t="shared" si="129"/>
        <v>181584.68518186707</v>
      </c>
      <c r="AW190" s="32">
        <f t="shared" ref="AW190:AZ190" si="137">SUM(AW172,AW174,AW176,AW178,AW180,AW182,AW184,AW186,AW188)</f>
        <v>217901.62221824049</v>
      </c>
      <c r="AX190" s="32">
        <f t="shared" si="137"/>
        <v>254218.55925461382</v>
      </c>
      <c r="AY190" s="32">
        <f t="shared" si="137"/>
        <v>290535.4962909873</v>
      </c>
      <c r="AZ190" s="32">
        <f t="shared" si="137"/>
        <v>326852.4333273606</v>
      </c>
      <c r="BA190" s="32">
        <f t="shared" si="129"/>
        <v>363169.37036373414</v>
      </c>
      <c r="BB190" s="31">
        <f t="shared" ref="BB190:BG190" si="138">SUM(BB172,BB174,BB176,BB178,BB180,BB182,BB184,BB186,BB188)</f>
        <v>726338.74072746828</v>
      </c>
      <c r="BC190" s="32">
        <f t="shared" si="138"/>
        <v>1452677.4814549366</v>
      </c>
      <c r="BD190" s="32">
        <f t="shared" si="138"/>
        <v>2905354.9629098731</v>
      </c>
      <c r="BE190" s="32">
        <f t="shared" si="138"/>
        <v>5810709.9258197462</v>
      </c>
      <c r="BF190" s="32">
        <f t="shared" si="138"/>
        <v>7327347.6867048908</v>
      </c>
      <c r="BG190" s="73">
        <f t="shared" si="138"/>
        <v>7327347.6867048908</v>
      </c>
      <c r="BH190" s="45"/>
    </row>
    <row r="191" spans="1:60" x14ac:dyDescent="0.25">
      <c r="A191" s="42"/>
      <c r="B191" s="14"/>
      <c r="C191" s="10"/>
      <c r="D191" s="10"/>
      <c r="E191" s="15"/>
      <c r="F191" s="10"/>
      <c r="G191" s="10"/>
      <c r="H191" s="10"/>
      <c r="I191" s="10"/>
      <c r="J191" s="10"/>
      <c r="K191" s="10"/>
      <c r="L191" s="10"/>
      <c r="M191" s="10"/>
      <c r="N191" s="10"/>
      <c r="O191" s="10"/>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row>
    <row r="192" spans="1:60" x14ac:dyDescent="0.25">
      <c r="A192" s="54" t="s">
        <v>50</v>
      </c>
      <c r="B192" s="14"/>
      <c r="C192" s="10"/>
      <c r="D192" s="10"/>
      <c r="E192" s="15"/>
      <c r="F192" s="10"/>
      <c r="G192" s="10"/>
      <c r="H192" s="10"/>
      <c r="I192" s="10"/>
      <c r="J192" s="10"/>
      <c r="K192" s="10"/>
      <c r="L192" s="10"/>
      <c r="M192" s="10"/>
      <c r="N192" s="10"/>
      <c r="O192" s="10"/>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row>
    <row r="193" spans="1:60" x14ac:dyDescent="0.25">
      <c r="A193" s="4"/>
      <c r="B193" s="9" t="s">
        <v>5</v>
      </c>
      <c r="C193" s="9" t="s">
        <v>3</v>
      </c>
      <c r="D193" s="9"/>
      <c r="E193" s="59" t="s">
        <v>2</v>
      </c>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5"/>
      <c r="BH193" s="47"/>
    </row>
    <row r="194" spans="1:60" x14ac:dyDescent="0.25">
      <c r="A194" s="48" t="s">
        <v>1</v>
      </c>
      <c r="B194" s="24">
        <v>0.36799999999999999</v>
      </c>
      <c r="C194" s="10">
        <f>$B$125 * B194</f>
        <v>121648104</v>
      </c>
      <c r="D194" s="16"/>
      <c r="E194" s="16"/>
      <c r="F194" s="16"/>
      <c r="G194" s="16"/>
      <c r="H194" s="16"/>
      <c r="I194" s="16"/>
      <c r="J194" s="16"/>
      <c r="K194" s="16"/>
      <c r="L194" s="16"/>
      <c r="M194" s="16"/>
      <c r="N194" s="16"/>
      <c r="O194" s="16"/>
      <c r="P194" s="18">
        <f t="shared" ref="P194:BG194" si="139">P$139*$B$194</f>
        <v>11.5</v>
      </c>
      <c r="Q194" s="19">
        <f t="shared" si="139"/>
        <v>23</v>
      </c>
      <c r="R194" s="19">
        <f t="shared" si="139"/>
        <v>46</v>
      </c>
      <c r="S194" s="19">
        <f t="shared" si="139"/>
        <v>92</v>
      </c>
      <c r="T194" s="19">
        <f t="shared" si="139"/>
        <v>184</v>
      </c>
      <c r="U194" s="19">
        <f t="shared" si="139"/>
        <v>368</v>
      </c>
      <c r="V194" s="19">
        <f t="shared" si="139"/>
        <v>736</v>
      </c>
      <c r="W194" s="19">
        <f t="shared" si="139"/>
        <v>1472</v>
      </c>
      <c r="X194" s="19">
        <f t="shared" si="139"/>
        <v>2944</v>
      </c>
      <c r="Y194" s="19">
        <f t="shared" si="139"/>
        <v>5888</v>
      </c>
      <c r="Z194" s="19">
        <f t="shared" si="139"/>
        <v>11776</v>
      </c>
      <c r="AA194" s="19">
        <f t="shared" si="139"/>
        <v>23552</v>
      </c>
      <c r="AB194" s="19">
        <f t="shared" si="139"/>
        <v>47104</v>
      </c>
      <c r="AC194" s="19">
        <f t="shared" si="139"/>
        <v>94208</v>
      </c>
      <c r="AD194" s="19">
        <f t="shared" si="139"/>
        <v>188416</v>
      </c>
      <c r="AE194" s="19">
        <f t="shared" si="139"/>
        <v>235520</v>
      </c>
      <c r="AF194" s="19">
        <f t="shared" si="139"/>
        <v>282624</v>
      </c>
      <c r="AG194" s="19">
        <f t="shared" si="139"/>
        <v>329728</v>
      </c>
      <c r="AH194" s="19">
        <f t="shared" si="139"/>
        <v>376832</v>
      </c>
      <c r="AI194" s="19">
        <f t="shared" si="139"/>
        <v>471040</v>
      </c>
      <c r="AJ194" s="19">
        <f t="shared" si="139"/>
        <v>565248</v>
      </c>
      <c r="AK194" s="19">
        <f t="shared" si="139"/>
        <v>659456</v>
      </c>
      <c r="AL194" s="19">
        <f t="shared" si="139"/>
        <v>753664</v>
      </c>
      <c r="AM194" s="19">
        <f t="shared" si="139"/>
        <v>904396.79999999993</v>
      </c>
      <c r="AN194" s="19">
        <f t="shared" si="139"/>
        <v>1055129.6000000001</v>
      </c>
      <c r="AO194" s="19">
        <f t="shared" si="139"/>
        <v>1205862.3999999999</v>
      </c>
      <c r="AP194" s="19">
        <f t="shared" si="139"/>
        <v>1356595.2</v>
      </c>
      <c r="AQ194" s="19">
        <f t="shared" si="139"/>
        <v>1507328</v>
      </c>
      <c r="AR194" s="19">
        <f t="shared" si="139"/>
        <v>1808793.5999999999</v>
      </c>
      <c r="AS194" s="19">
        <f t="shared" si="139"/>
        <v>2110259.2000000002</v>
      </c>
      <c r="AT194" s="19">
        <f t="shared" si="139"/>
        <v>2411724.7999999998</v>
      </c>
      <c r="AU194" s="19">
        <f t="shared" si="139"/>
        <v>2713190.3999999999</v>
      </c>
      <c r="AV194" s="19">
        <f t="shared" si="139"/>
        <v>3014656</v>
      </c>
      <c r="AW194" s="19">
        <f t="shared" si="139"/>
        <v>3617587.1999999997</v>
      </c>
      <c r="AX194" s="19">
        <f t="shared" si="139"/>
        <v>4220518.4000000004</v>
      </c>
      <c r="AY194" s="19">
        <f t="shared" si="139"/>
        <v>4823449.5999999996</v>
      </c>
      <c r="AZ194" s="19">
        <f t="shared" si="139"/>
        <v>5426380.7999999998</v>
      </c>
      <c r="BA194" s="19">
        <f t="shared" si="139"/>
        <v>6029312</v>
      </c>
      <c r="BB194" s="18">
        <f t="shared" si="139"/>
        <v>12058624</v>
      </c>
      <c r="BC194" s="19">
        <f t="shared" si="139"/>
        <v>24117248</v>
      </c>
      <c r="BD194" s="19">
        <f t="shared" si="139"/>
        <v>48234496</v>
      </c>
      <c r="BE194" s="19">
        <f t="shared" si="139"/>
        <v>96468992</v>
      </c>
      <c r="BF194" s="19">
        <f t="shared" si="139"/>
        <v>121648104</v>
      </c>
      <c r="BG194" s="60">
        <f t="shared" si="139"/>
        <v>121648104</v>
      </c>
      <c r="BH194" s="45"/>
    </row>
    <row r="195" spans="1:60" x14ac:dyDescent="0.25">
      <c r="A195" s="48"/>
      <c r="B195" s="16"/>
      <c r="C195" s="16"/>
      <c r="D195" s="25"/>
      <c r="E195" s="46">
        <v>0.105</v>
      </c>
      <c r="F195" s="16"/>
      <c r="G195" s="16"/>
      <c r="H195" s="16"/>
      <c r="I195" s="16"/>
      <c r="J195" s="16"/>
      <c r="K195" s="16"/>
      <c r="L195" s="16"/>
      <c r="M195" s="16"/>
      <c r="N195" s="16"/>
      <c r="O195" s="16"/>
      <c r="P195" s="29">
        <f>P194*$E$195</f>
        <v>1.2075</v>
      </c>
      <c r="Q195" s="30">
        <f t="shared" ref="Q195:AP195" si="140">Q194*$E$195</f>
        <v>2.415</v>
      </c>
      <c r="R195" s="30">
        <f t="shared" si="140"/>
        <v>4.83</v>
      </c>
      <c r="S195" s="30">
        <f t="shared" si="140"/>
        <v>9.66</v>
      </c>
      <c r="T195" s="30">
        <f t="shared" si="140"/>
        <v>19.32</v>
      </c>
      <c r="U195" s="30">
        <f t="shared" si="140"/>
        <v>38.64</v>
      </c>
      <c r="V195" s="30">
        <f t="shared" si="140"/>
        <v>77.28</v>
      </c>
      <c r="W195" s="30">
        <f t="shared" si="140"/>
        <v>154.56</v>
      </c>
      <c r="X195" s="30">
        <f t="shared" si="140"/>
        <v>309.12</v>
      </c>
      <c r="Y195" s="30">
        <f t="shared" si="140"/>
        <v>618.24</v>
      </c>
      <c r="Z195" s="30">
        <f t="shared" si="140"/>
        <v>1236.48</v>
      </c>
      <c r="AA195" s="30">
        <f t="shared" si="140"/>
        <v>2472.96</v>
      </c>
      <c r="AB195" s="30">
        <f t="shared" si="140"/>
        <v>4945.92</v>
      </c>
      <c r="AC195" s="30">
        <f t="shared" si="140"/>
        <v>9891.84</v>
      </c>
      <c r="AD195" s="30">
        <f t="shared" si="140"/>
        <v>19783.68</v>
      </c>
      <c r="AE195" s="30">
        <f t="shared" ref="AE195:AG195" si="141">AE194*$E$195</f>
        <v>24729.599999999999</v>
      </c>
      <c r="AF195" s="30">
        <f t="shared" si="141"/>
        <v>29675.52</v>
      </c>
      <c r="AG195" s="30">
        <f t="shared" si="141"/>
        <v>34621.440000000002</v>
      </c>
      <c r="AH195" s="30">
        <f t="shared" si="140"/>
        <v>39567.360000000001</v>
      </c>
      <c r="AI195" s="30">
        <f t="shared" ref="AI195:AK195" si="142">AI194*$E$195</f>
        <v>49459.199999999997</v>
      </c>
      <c r="AJ195" s="30">
        <f t="shared" si="142"/>
        <v>59351.040000000001</v>
      </c>
      <c r="AK195" s="30">
        <f t="shared" si="142"/>
        <v>69242.880000000005</v>
      </c>
      <c r="AL195" s="30">
        <f t="shared" si="140"/>
        <v>79134.720000000001</v>
      </c>
      <c r="AM195" s="30">
        <f t="shared" si="140"/>
        <v>94961.66399999999</v>
      </c>
      <c r="AN195" s="30">
        <f t="shared" si="140"/>
        <v>110788.60800000001</v>
      </c>
      <c r="AO195" s="30">
        <f t="shared" si="140"/>
        <v>126615.55199999998</v>
      </c>
      <c r="AP195" s="30">
        <f t="shared" si="140"/>
        <v>142442.49599999998</v>
      </c>
      <c r="AQ195" s="30">
        <f>AQ194*$E$195</f>
        <v>158269.44</v>
      </c>
      <c r="AR195" s="30">
        <f t="shared" ref="AR195:AU195" si="143">AR194*$E$195</f>
        <v>189923.32799999998</v>
      </c>
      <c r="AS195" s="30">
        <f t="shared" si="143"/>
        <v>221577.21600000001</v>
      </c>
      <c r="AT195" s="30">
        <f t="shared" si="143"/>
        <v>253231.10399999996</v>
      </c>
      <c r="AU195" s="30">
        <f t="shared" si="143"/>
        <v>284884.99199999997</v>
      </c>
      <c r="AV195" s="30">
        <f>AV194*$E$195</f>
        <v>316538.88</v>
      </c>
      <c r="AW195" s="30">
        <f t="shared" ref="AW195:AZ195" si="144">AW194*$E$195</f>
        <v>379846.65599999996</v>
      </c>
      <c r="AX195" s="30">
        <f t="shared" si="144"/>
        <v>443154.43200000003</v>
      </c>
      <c r="AY195" s="30">
        <f t="shared" si="144"/>
        <v>506462.20799999993</v>
      </c>
      <c r="AZ195" s="30">
        <f t="shared" si="144"/>
        <v>569769.98399999994</v>
      </c>
      <c r="BA195" s="30">
        <f>BA194*$E$195</f>
        <v>633077.76000000001</v>
      </c>
      <c r="BB195" s="29">
        <f t="shared" ref="BB195:BG195" si="145">BB194*$E$195</f>
        <v>1266155.52</v>
      </c>
      <c r="BC195" s="30">
        <f t="shared" si="145"/>
        <v>2532311.04</v>
      </c>
      <c r="BD195" s="30">
        <f t="shared" si="145"/>
        <v>5064622.0800000001</v>
      </c>
      <c r="BE195" s="30">
        <f t="shared" si="145"/>
        <v>10129244.16</v>
      </c>
      <c r="BF195" s="30">
        <f t="shared" si="145"/>
        <v>12773050.92</v>
      </c>
      <c r="BG195" s="71">
        <f t="shared" si="145"/>
        <v>12773050.92</v>
      </c>
      <c r="BH195" s="45"/>
    </row>
    <row r="196" spans="1:60" x14ac:dyDescent="0.25">
      <c r="A196" s="48" t="s">
        <v>4</v>
      </c>
      <c r="B196" s="24">
        <v>9.8000000000000004E-2</v>
      </c>
      <c r="C196" s="10">
        <f>$B$125 * B196</f>
        <v>32395419</v>
      </c>
      <c r="D196" s="47"/>
      <c r="E196" s="16"/>
      <c r="F196" s="16"/>
      <c r="G196" s="16"/>
      <c r="H196" s="16"/>
      <c r="I196" s="16"/>
      <c r="J196" s="16"/>
      <c r="K196" s="16"/>
      <c r="L196" s="16"/>
      <c r="M196" s="16"/>
      <c r="N196" s="16"/>
      <c r="O196" s="16"/>
      <c r="P196" s="20">
        <f t="shared" ref="P196:BG196" si="146">P$139*$B$196</f>
        <v>3.0625</v>
      </c>
      <c r="Q196" s="21">
        <f t="shared" si="146"/>
        <v>6.125</v>
      </c>
      <c r="R196" s="21">
        <f t="shared" si="146"/>
        <v>12.25</v>
      </c>
      <c r="S196" s="21">
        <f t="shared" si="146"/>
        <v>24.5</v>
      </c>
      <c r="T196" s="21">
        <f t="shared" si="146"/>
        <v>49</v>
      </c>
      <c r="U196" s="21">
        <f t="shared" si="146"/>
        <v>98</v>
      </c>
      <c r="V196" s="21">
        <f t="shared" si="146"/>
        <v>196</v>
      </c>
      <c r="W196" s="21">
        <f t="shared" si="146"/>
        <v>392</v>
      </c>
      <c r="X196" s="21">
        <f t="shared" si="146"/>
        <v>784</v>
      </c>
      <c r="Y196" s="21">
        <f t="shared" si="146"/>
        <v>1568</v>
      </c>
      <c r="Z196" s="21">
        <f t="shared" si="146"/>
        <v>3136</v>
      </c>
      <c r="AA196" s="21">
        <f t="shared" si="146"/>
        <v>6272</v>
      </c>
      <c r="AB196" s="21">
        <f t="shared" si="146"/>
        <v>12544</v>
      </c>
      <c r="AC196" s="21">
        <f t="shared" si="146"/>
        <v>25088</v>
      </c>
      <c r="AD196" s="21">
        <f t="shared" si="146"/>
        <v>50176</v>
      </c>
      <c r="AE196" s="21">
        <f t="shared" si="146"/>
        <v>62720</v>
      </c>
      <c r="AF196" s="21">
        <f t="shared" si="146"/>
        <v>75264</v>
      </c>
      <c r="AG196" s="21">
        <f t="shared" si="146"/>
        <v>87808</v>
      </c>
      <c r="AH196" s="21">
        <f t="shared" si="146"/>
        <v>100352</v>
      </c>
      <c r="AI196" s="21">
        <f t="shared" si="146"/>
        <v>125440</v>
      </c>
      <c r="AJ196" s="21">
        <f t="shared" si="146"/>
        <v>150528</v>
      </c>
      <c r="AK196" s="21">
        <f t="shared" si="146"/>
        <v>175616</v>
      </c>
      <c r="AL196" s="21">
        <f t="shared" si="146"/>
        <v>200704</v>
      </c>
      <c r="AM196" s="21">
        <f t="shared" si="146"/>
        <v>240844.80000000002</v>
      </c>
      <c r="AN196" s="21">
        <f t="shared" si="146"/>
        <v>280985.60000000003</v>
      </c>
      <c r="AO196" s="21">
        <f t="shared" si="146"/>
        <v>321126.40000000002</v>
      </c>
      <c r="AP196" s="21">
        <f t="shared" si="146"/>
        <v>361267.20000000001</v>
      </c>
      <c r="AQ196" s="21">
        <f t="shared" si="146"/>
        <v>401408</v>
      </c>
      <c r="AR196" s="21">
        <f t="shared" si="146"/>
        <v>481689.60000000003</v>
      </c>
      <c r="AS196" s="21">
        <f t="shared" si="146"/>
        <v>561971.20000000007</v>
      </c>
      <c r="AT196" s="21">
        <f t="shared" si="146"/>
        <v>642252.80000000005</v>
      </c>
      <c r="AU196" s="21">
        <f t="shared" si="146"/>
        <v>722534.40000000002</v>
      </c>
      <c r="AV196" s="21">
        <f t="shared" si="146"/>
        <v>802816</v>
      </c>
      <c r="AW196" s="21">
        <f t="shared" si="146"/>
        <v>963379.20000000007</v>
      </c>
      <c r="AX196" s="21">
        <f t="shared" si="146"/>
        <v>1123942.4000000001</v>
      </c>
      <c r="AY196" s="21">
        <f t="shared" si="146"/>
        <v>1284505.6000000001</v>
      </c>
      <c r="AZ196" s="21">
        <f t="shared" si="146"/>
        <v>1445068.8</v>
      </c>
      <c r="BA196" s="21">
        <f t="shared" si="146"/>
        <v>1605632</v>
      </c>
      <c r="BB196" s="20">
        <f t="shared" si="146"/>
        <v>3211264</v>
      </c>
      <c r="BC196" s="21">
        <f t="shared" si="146"/>
        <v>6422528</v>
      </c>
      <c r="BD196" s="21">
        <f t="shared" si="146"/>
        <v>12845056</v>
      </c>
      <c r="BE196" s="21">
        <f t="shared" si="146"/>
        <v>25690112</v>
      </c>
      <c r="BF196" s="21">
        <f t="shared" si="146"/>
        <v>32395419</v>
      </c>
      <c r="BG196" s="72">
        <f t="shared" si="146"/>
        <v>32395419</v>
      </c>
      <c r="BH196" s="45"/>
    </row>
    <row r="197" spans="1:60" x14ac:dyDescent="0.25">
      <c r="A197" s="48"/>
      <c r="B197" s="16"/>
      <c r="C197" s="16"/>
      <c r="D197" s="25"/>
      <c r="E197" s="46">
        <v>7.2999999999999995E-2</v>
      </c>
      <c r="F197" s="16"/>
      <c r="G197" s="16"/>
      <c r="H197" s="16"/>
      <c r="I197" s="16"/>
      <c r="J197" s="16"/>
      <c r="K197" s="16"/>
      <c r="L197" s="16"/>
      <c r="M197" s="16"/>
      <c r="N197" s="16"/>
      <c r="O197" s="16"/>
      <c r="P197" s="29">
        <f t="shared" ref="P197:AP197" si="147">P196*$E$197</f>
        <v>0.2235625</v>
      </c>
      <c r="Q197" s="30">
        <f t="shared" si="147"/>
        <v>0.44712499999999999</v>
      </c>
      <c r="R197" s="30">
        <f t="shared" si="147"/>
        <v>0.89424999999999999</v>
      </c>
      <c r="S197" s="30">
        <f t="shared" si="147"/>
        <v>1.7885</v>
      </c>
      <c r="T197" s="30">
        <f t="shared" si="147"/>
        <v>3.577</v>
      </c>
      <c r="U197" s="30">
        <f t="shared" si="147"/>
        <v>7.1539999999999999</v>
      </c>
      <c r="V197" s="30">
        <f t="shared" si="147"/>
        <v>14.308</v>
      </c>
      <c r="W197" s="30">
        <f t="shared" si="147"/>
        <v>28.616</v>
      </c>
      <c r="X197" s="30">
        <f t="shared" si="147"/>
        <v>57.231999999999999</v>
      </c>
      <c r="Y197" s="30">
        <f t="shared" si="147"/>
        <v>114.464</v>
      </c>
      <c r="Z197" s="30">
        <f t="shared" si="147"/>
        <v>228.928</v>
      </c>
      <c r="AA197" s="30">
        <f t="shared" si="147"/>
        <v>457.85599999999999</v>
      </c>
      <c r="AB197" s="30">
        <f t="shared" si="147"/>
        <v>915.71199999999999</v>
      </c>
      <c r="AC197" s="30">
        <f t="shared" si="147"/>
        <v>1831.424</v>
      </c>
      <c r="AD197" s="30">
        <f t="shared" si="147"/>
        <v>3662.848</v>
      </c>
      <c r="AE197" s="30">
        <f t="shared" ref="AE197:AG197" si="148">AE196*$E$197</f>
        <v>4578.5599999999995</v>
      </c>
      <c r="AF197" s="30">
        <f t="shared" si="148"/>
        <v>5494.2719999999999</v>
      </c>
      <c r="AG197" s="30">
        <f t="shared" si="148"/>
        <v>6409.9839999999995</v>
      </c>
      <c r="AH197" s="30">
        <f t="shared" si="147"/>
        <v>7325.6959999999999</v>
      </c>
      <c r="AI197" s="30">
        <f t="shared" ref="AI197:AK197" si="149">AI196*$E$197</f>
        <v>9157.119999999999</v>
      </c>
      <c r="AJ197" s="30">
        <f t="shared" si="149"/>
        <v>10988.544</v>
      </c>
      <c r="AK197" s="30">
        <f t="shared" si="149"/>
        <v>12819.967999999999</v>
      </c>
      <c r="AL197" s="30">
        <f t="shared" si="147"/>
        <v>14651.392</v>
      </c>
      <c r="AM197" s="30">
        <f t="shared" si="147"/>
        <v>17581.670399999999</v>
      </c>
      <c r="AN197" s="30">
        <f t="shared" si="147"/>
        <v>20511.948800000002</v>
      </c>
      <c r="AO197" s="30">
        <f t="shared" si="147"/>
        <v>23442.227200000001</v>
      </c>
      <c r="AP197" s="30">
        <f t="shared" si="147"/>
        <v>26372.5056</v>
      </c>
      <c r="AQ197" s="30">
        <f>AQ196*$E$197</f>
        <v>29302.784</v>
      </c>
      <c r="AR197" s="30">
        <f t="shared" ref="AR197:AU197" si="150">AR196*$E$197</f>
        <v>35163.340799999998</v>
      </c>
      <c r="AS197" s="30">
        <f t="shared" si="150"/>
        <v>41023.897600000004</v>
      </c>
      <c r="AT197" s="30">
        <f t="shared" si="150"/>
        <v>46884.454400000002</v>
      </c>
      <c r="AU197" s="30">
        <f t="shared" si="150"/>
        <v>52745.011200000001</v>
      </c>
      <c r="AV197" s="30">
        <f>AV196*$E$197</f>
        <v>58605.567999999999</v>
      </c>
      <c r="AW197" s="30">
        <f t="shared" ref="AW197:AZ197" si="151">AW196*$E$197</f>
        <v>70326.681599999996</v>
      </c>
      <c r="AX197" s="30">
        <f t="shared" si="151"/>
        <v>82047.795200000008</v>
      </c>
      <c r="AY197" s="30">
        <f t="shared" si="151"/>
        <v>93768.908800000005</v>
      </c>
      <c r="AZ197" s="30">
        <f t="shared" si="151"/>
        <v>105490.0224</v>
      </c>
      <c r="BA197" s="30">
        <f>BA196*$E$197</f>
        <v>117211.136</v>
      </c>
      <c r="BB197" s="29">
        <f t="shared" ref="BB197:BG197" si="152">BB196*$E$197</f>
        <v>234422.272</v>
      </c>
      <c r="BC197" s="30">
        <f t="shared" si="152"/>
        <v>468844.54399999999</v>
      </c>
      <c r="BD197" s="30">
        <f t="shared" si="152"/>
        <v>937689.08799999999</v>
      </c>
      <c r="BE197" s="30">
        <f t="shared" si="152"/>
        <v>1875378.176</v>
      </c>
      <c r="BF197" s="30">
        <f t="shared" si="152"/>
        <v>2364865.5869999998</v>
      </c>
      <c r="BG197" s="71">
        <f t="shared" si="152"/>
        <v>2364865.5869999998</v>
      </c>
      <c r="BH197" s="45"/>
    </row>
    <row r="198" spans="1:60" x14ac:dyDescent="0.25">
      <c r="A198" s="48" t="s">
        <v>6</v>
      </c>
      <c r="B198" s="24">
        <v>0.13400000000000001</v>
      </c>
      <c r="C198" s="10">
        <f>$B$125 * B198</f>
        <v>44295777</v>
      </c>
      <c r="D198" s="47"/>
      <c r="E198" s="16"/>
      <c r="F198" s="16"/>
      <c r="G198" s="16"/>
      <c r="H198" s="16"/>
      <c r="I198" s="16"/>
      <c r="J198" s="16"/>
      <c r="K198" s="16"/>
      <c r="L198" s="16"/>
      <c r="M198" s="16"/>
      <c r="N198" s="16"/>
      <c r="O198" s="16"/>
      <c r="P198" s="20">
        <f t="shared" ref="P198:BG198" si="153">P$139*$B$198</f>
        <v>4.1875</v>
      </c>
      <c r="Q198" s="21">
        <f t="shared" si="153"/>
        <v>8.375</v>
      </c>
      <c r="R198" s="21">
        <f t="shared" si="153"/>
        <v>16.75</v>
      </c>
      <c r="S198" s="21">
        <f t="shared" si="153"/>
        <v>33.5</v>
      </c>
      <c r="T198" s="21">
        <f t="shared" si="153"/>
        <v>67</v>
      </c>
      <c r="U198" s="21">
        <f t="shared" si="153"/>
        <v>134</v>
      </c>
      <c r="V198" s="21">
        <f t="shared" si="153"/>
        <v>268</v>
      </c>
      <c r="W198" s="21">
        <f t="shared" si="153"/>
        <v>536</v>
      </c>
      <c r="X198" s="21">
        <f t="shared" si="153"/>
        <v>1072</v>
      </c>
      <c r="Y198" s="21">
        <f t="shared" si="153"/>
        <v>2144</v>
      </c>
      <c r="Z198" s="21">
        <f t="shared" si="153"/>
        <v>4288</v>
      </c>
      <c r="AA198" s="21">
        <f t="shared" si="153"/>
        <v>8576</v>
      </c>
      <c r="AB198" s="21">
        <f t="shared" si="153"/>
        <v>17152</v>
      </c>
      <c r="AC198" s="21">
        <f t="shared" si="153"/>
        <v>34304</v>
      </c>
      <c r="AD198" s="21">
        <f t="shared" si="153"/>
        <v>68608</v>
      </c>
      <c r="AE198" s="21">
        <f t="shared" si="153"/>
        <v>85760</v>
      </c>
      <c r="AF198" s="21">
        <f t="shared" si="153"/>
        <v>102912</v>
      </c>
      <c r="AG198" s="21">
        <f t="shared" si="153"/>
        <v>120064</v>
      </c>
      <c r="AH198" s="21">
        <f t="shared" si="153"/>
        <v>137216</v>
      </c>
      <c r="AI198" s="21">
        <f t="shared" si="153"/>
        <v>171520</v>
      </c>
      <c r="AJ198" s="21">
        <f t="shared" si="153"/>
        <v>205824</v>
      </c>
      <c r="AK198" s="21">
        <f t="shared" si="153"/>
        <v>240128</v>
      </c>
      <c r="AL198" s="21">
        <f t="shared" si="153"/>
        <v>274432</v>
      </c>
      <c r="AM198" s="21">
        <f t="shared" si="153"/>
        <v>329318.40000000002</v>
      </c>
      <c r="AN198" s="21">
        <f t="shared" si="153"/>
        <v>384204.80000000005</v>
      </c>
      <c r="AO198" s="21">
        <f t="shared" si="153"/>
        <v>439091.20000000001</v>
      </c>
      <c r="AP198" s="21">
        <f t="shared" si="153"/>
        <v>493977.60000000003</v>
      </c>
      <c r="AQ198" s="21">
        <f t="shared" si="153"/>
        <v>548864</v>
      </c>
      <c r="AR198" s="21">
        <f t="shared" si="153"/>
        <v>658636.80000000005</v>
      </c>
      <c r="AS198" s="21">
        <f t="shared" si="153"/>
        <v>768409.60000000009</v>
      </c>
      <c r="AT198" s="21">
        <f t="shared" si="153"/>
        <v>878182.40000000002</v>
      </c>
      <c r="AU198" s="21">
        <f t="shared" si="153"/>
        <v>987955.20000000007</v>
      </c>
      <c r="AV198" s="21">
        <f t="shared" si="153"/>
        <v>1097728</v>
      </c>
      <c r="AW198" s="21">
        <f t="shared" si="153"/>
        <v>1317273.6000000001</v>
      </c>
      <c r="AX198" s="21">
        <f t="shared" si="153"/>
        <v>1536819.2000000002</v>
      </c>
      <c r="AY198" s="21">
        <f t="shared" si="153"/>
        <v>1756364.8</v>
      </c>
      <c r="AZ198" s="21">
        <f t="shared" si="153"/>
        <v>1975910.4000000001</v>
      </c>
      <c r="BA198" s="21">
        <f t="shared" si="153"/>
        <v>2195456</v>
      </c>
      <c r="BB198" s="20">
        <f t="shared" si="153"/>
        <v>4390912</v>
      </c>
      <c r="BC198" s="21">
        <f t="shared" si="153"/>
        <v>8781824</v>
      </c>
      <c r="BD198" s="21">
        <f t="shared" si="153"/>
        <v>17563648</v>
      </c>
      <c r="BE198" s="21">
        <f t="shared" si="153"/>
        <v>35127296</v>
      </c>
      <c r="BF198" s="21">
        <f t="shared" si="153"/>
        <v>44295777</v>
      </c>
      <c r="BG198" s="72">
        <f t="shared" si="153"/>
        <v>44295777</v>
      </c>
      <c r="BH198" s="45"/>
    </row>
    <row r="199" spans="1:60" x14ac:dyDescent="0.25">
      <c r="A199" s="48"/>
      <c r="B199" s="16"/>
      <c r="C199" s="16"/>
      <c r="D199" s="25"/>
      <c r="E199" s="46">
        <v>6.3E-2</v>
      </c>
      <c r="F199" s="16"/>
      <c r="G199" s="16"/>
      <c r="H199" s="16"/>
      <c r="I199" s="16"/>
      <c r="J199" s="16"/>
      <c r="K199" s="16"/>
      <c r="L199" s="16"/>
      <c r="M199" s="16"/>
      <c r="N199" s="16"/>
      <c r="O199" s="16"/>
      <c r="P199" s="29">
        <f t="shared" ref="P199:AP199" si="154">P198*$E$199</f>
        <v>0.26381250000000001</v>
      </c>
      <c r="Q199" s="30">
        <f t="shared" si="154"/>
        <v>0.52762500000000001</v>
      </c>
      <c r="R199" s="30">
        <f t="shared" si="154"/>
        <v>1.05525</v>
      </c>
      <c r="S199" s="30">
        <f t="shared" si="154"/>
        <v>2.1105</v>
      </c>
      <c r="T199" s="30">
        <f t="shared" si="154"/>
        <v>4.2210000000000001</v>
      </c>
      <c r="U199" s="30">
        <f t="shared" si="154"/>
        <v>8.4420000000000002</v>
      </c>
      <c r="V199" s="30">
        <f t="shared" si="154"/>
        <v>16.884</v>
      </c>
      <c r="W199" s="30">
        <f t="shared" si="154"/>
        <v>33.768000000000001</v>
      </c>
      <c r="X199" s="30">
        <f t="shared" si="154"/>
        <v>67.536000000000001</v>
      </c>
      <c r="Y199" s="30">
        <f t="shared" si="154"/>
        <v>135.072</v>
      </c>
      <c r="Z199" s="30">
        <f t="shared" si="154"/>
        <v>270.14400000000001</v>
      </c>
      <c r="AA199" s="30">
        <f t="shared" si="154"/>
        <v>540.28800000000001</v>
      </c>
      <c r="AB199" s="30">
        <f t="shared" si="154"/>
        <v>1080.576</v>
      </c>
      <c r="AC199" s="30">
        <f t="shared" si="154"/>
        <v>2161.152</v>
      </c>
      <c r="AD199" s="30">
        <f t="shared" si="154"/>
        <v>4322.3040000000001</v>
      </c>
      <c r="AE199" s="30">
        <f t="shared" ref="AE199:AG199" si="155">AE198*$E$199</f>
        <v>5402.88</v>
      </c>
      <c r="AF199" s="30">
        <f t="shared" si="155"/>
        <v>6483.4560000000001</v>
      </c>
      <c r="AG199" s="30">
        <f t="shared" si="155"/>
        <v>7564.0320000000002</v>
      </c>
      <c r="AH199" s="30">
        <f t="shared" si="154"/>
        <v>8644.6080000000002</v>
      </c>
      <c r="AI199" s="30">
        <f t="shared" ref="AI199:AK199" si="156">AI198*$E$199</f>
        <v>10805.76</v>
      </c>
      <c r="AJ199" s="30">
        <f t="shared" si="156"/>
        <v>12966.912</v>
      </c>
      <c r="AK199" s="30">
        <f t="shared" si="156"/>
        <v>15128.064</v>
      </c>
      <c r="AL199" s="30">
        <f t="shared" si="154"/>
        <v>17289.216</v>
      </c>
      <c r="AM199" s="30">
        <f t="shared" si="154"/>
        <v>20747.059200000003</v>
      </c>
      <c r="AN199" s="30">
        <f t="shared" si="154"/>
        <v>24204.902400000003</v>
      </c>
      <c r="AO199" s="30">
        <f t="shared" si="154"/>
        <v>27662.745600000002</v>
      </c>
      <c r="AP199" s="30">
        <f t="shared" si="154"/>
        <v>31120.588800000001</v>
      </c>
      <c r="AQ199" s="30">
        <f>AQ198*$E$199</f>
        <v>34578.432000000001</v>
      </c>
      <c r="AR199" s="30">
        <f t="shared" ref="AR199:AU199" si="157">AR198*$E$199</f>
        <v>41494.118400000007</v>
      </c>
      <c r="AS199" s="30">
        <f t="shared" si="157"/>
        <v>48409.804800000005</v>
      </c>
      <c r="AT199" s="30">
        <f t="shared" si="157"/>
        <v>55325.491200000004</v>
      </c>
      <c r="AU199" s="30">
        <f t="shared" si="157"/>
        <v>62241.177600000003</v>
      </c>
      <c r="AV199" s="30">
        <f>AV198*$E$199</f>
        <v>69156.864000000001</v>
      </c>
      <c r="AW199" s="30">
        <f t="shared" ref="AW199:AZ199" si="158">AW198*$E$199</f>
        <v>82988.236800000013</v>
      </c>
      <c r="AX199" s="30">
        <f t="shared" si="158"/>
        <v>96819.609600000011</v>
      </c>
      <c r="AY199" s="30">
        <f t="shared" si="158"/>
        <v>110650.98240000001</v>
      </c>
      <c r="AZ199" s="30">
        <f t="shared" si="158"/>
        <v>124482.35520000001</v>
      </c>
      <c r="BA199" s="30">
        <f>BA198*$E$199</f>
        <v>138313.728</v>
      </c>
      <c r="BB199" s="29">
        <f t="shared" ref="BB199:BG199" si="159">BB198*$E$199</f>
        <v>276627.45600000001</v>
      </c>
      <c r="BC199" s="30">
        <f t="shared" si="159"/>
        <v>553254.91200000001</v>
      </c>
      <c r="BD199" s="30">
        <f t="shared" si="159"/>
        <v>1106509.824</v>
      </c>
      <c r="BE199" s="30">
        <f t="shared" si="159"/>
        <v>2213019.648</v>
      </c>
      <c r="BF199" s="30">
        <f t="shared" si="159"/>
        <v>2790633.9509999999</v>
      </c>
      <c r="BG199" s="71">
        <f t="shared" si="159"/>
        <v>2790633.9509999999</v>
      </c>
      <c r="BH199" s="45"/>
    </row>
    <row r="200" spans="1:60" x14ac:dyDescent="0.25">
      <c r="A200" s="48" t="s">
        <v>7</v>
      </c>
      <c r="B200" s="24">
        <v>0.46</v>
      </c>
      <c r="C200" s="10">
        <f>$B$125 * B200</f>
        <v>152060130</v>
      </c>
      <c r="D200" s="47"/>
      <c r="E200" s="16"/>
      <c r="F200" s="16"/>
      <c r="G200" s="16"/>
      <c r="H200" s="16"/>
      <c r="I200" s="16"/>
      <c r="J200" s="16"/>
      <c r="K200" s="16"/>
      <c r="L200" s="16"/>
      <c r="M200" s="16"/>
      <c r="N200" s="16"/>
      <c r="O200" s="16"/>
      <c r="P200" s="20">
        <f t="shared" ref="P200:BG200" si="160">P$139*$B$200</f>
        <v>14.375</v>
      </c>
      <c r="Q200" s="21">
        <f t="shared" si="160"/>
        <v>28.75</v>
      </c>
      <c r="R200" s="21">
        <f t="shared" si="160"/>
        <v>57.5</v>
      </c>
      <c r="S200" s="21">
        <f t="shared" si="160"/>
        <v>115</v>
      </c>
      <c r="T200" s="21">
        <f t="shared" si="160"/>
        <v>230</v>
      </c>
      <c r="U200" s="21">
        <f t="shared" si="160"/>
        <v>460</v>
      </c>
      <c r="V200" s="21">
        <f t="shared" si="160"/>
        <v>920</v>
      </c>
      <c r="W200" s="21">
        <f t="shared" si="160"/>
        <v>1840</v>
      </c>
      <c r="X200" s="21">
        <f t="shared" si="160"/>
        <v>3680</v>
      </c>
      <c r="Y200" s="21">
        <f t="shared" si="160"/>
        <v>7360</v>
      </c>
      <c r="Z200" s="21">
        <f t="shared" si="160"/>
        <v>14720</v>
      </c>
      <c r="AA200" s="21">
        <f t="shared" si="160"/>
        <v>29440</v>
      </c>
      <c r="AB200" s="21">
        <f t="shared" si="160"/>
        <v>58880</v>
      </c>
      <c r="AC200" s="21">
        <f t="shared" si="160"/>
        <v>117760</v>
      </c>
      <c r="AD200" s="21">
        <f t="shared" si="160"/>
        <v>235520</v>
      </c>
      <c r="AE200" s="21">
        <f t="shared" si="160"/>
        <v>294400</v>
      </c>
      <c r="AF200" s="21">
        <f t="shared" si="160"/>
        <v>353280</v>
      </c>
      <c r="AG200" s="21">
        <f t="shared" si="160"/>
        <v>412160</v>
      </c>
      <c r="AH200" s="21">
        <f t="shared" si="160"/>
        <v>471040</v>
      </c>
      <c r="AI200" s="21">
        <f t="shared" si="160"/>
        <v>588800</v>
      </c>
      <c r="AJ200" s="21">
        <f t="shared" si="160"/>
        <v>706560</v>
      </c>
      <c r="AK200" s="21">
        <f t="shared" si="160"/>
        <v>824320</v>
      </c>
      <c r="AL200" s="21">
        <f t="shared" si="160"/>
        <v>942080</v>
      </c>
      <c r="AM200" s="21">
        <f t="shared" si="160"/>
        <v>1130496</v>
      </c>
      <c r="AN200" s="21">
        <f t="shared" si="160"/>
        <v>1318912</v>
      </c>
      <c r="AO200" s="21">
        <f t="shared" si="160"/>
        <v>1507328</v>
      </c>
      <c r="AP200" s="21">
        <f t="shared" si="160"/>
        <v>1695744</v>
      </c>
      <c r="AQ200" s="21">
        <f t="shared" si="160"/>
        <v>1884160</v>
      </c>
      <c r="AR200" s="21">
        <f t="shared" si="160"/>
        <v>2260992</v>
      </c>
      <c r="AS200" s="21">
        <f t="shared" si="160"/>
        <v>2637824</v>
      </c>
      <c r="AT200" s="21">
        <f t="shared" si="160"/>
        <v>3014656</v>
      </c>
      <c r="AU200" s="21">
        <f t="shared" si="160"/>
        <v>3391488</v>
      </c>
      <c r="AV200" s="21">
        <f t="shared" si="160"/>
        <v>3768320</v>
      </c>
      <c r="AW200" s="21">
        <f t="shared" si="160"/>
        <v>4521984</v>
      </c>
      <c r="AX200" s="21">
        <f t="shared" si="160"/>
        <v>5275648</v>
      </c>
      <c r="AY200" s="21">
        <f t="shared" si="160"/>
        <v>6029312</v>
      </c>
      <c r="AZ200" s="21">
        <f t="shared" si="160"/>
        <v>6782976</v>
      </c>
      <c r="BA200" s="21">
        <f t="shared" si="160"/>
        <v>7536640</v>
      </c>
      <c r="BB200" s="20">
        <f t="shared" si="160"/>
        <v>15073280</v>
      </c>
      <c r="BC200" s="21">
        <f t="shared" si="160"/>
        <v>30146560</v>
      </c>
      <c r="BD200" s="21">
        <f t="shared" si="160"/>
        <v>60293120</v>
      </c>
      <c r="BE200" s="21">
        <f t="shared" si="160"/>
        <v>120586240</v>
      </c>
      <c r="BF200" s="21">
        <f t="shared" si="160"/>
        <v>152060130</v>
      </c>
      <c r="BG200" s="72">
        <f t="shared" si="160"/>
        <v>152060130</v>
      </c>
      <c r="BH200" s="45"/>
    </row>
    <row r="201" spans="1:60" x14ac:dyDescent="0.25">
      <c r="A201" s="48"/>
      <c r="B201" s="16"/>
      <c r="C201" s="16"/>
      <c r="D201" s="25"/>
      <c r="E201" s="46">
        <v>0.06</v>
      </c>
      <c r="F201" s="16"/>
      <c r="G201" s="16"/>
      <c r="H201" s="16"/>
      <c r="I201" s="16"/>
      <c r="J201" s="16"/>
      <c r="K201" s="16"/>
      <c r="L201" s="16"/>
      <c r="M201" s="16"/>
      <c r="N201" s="16"/>
      <c r="O201" s="16"/>
      <c r="P201" s="29">
        <f t="shared" ref="P201:AP201" si="161">P200*$E$201</f>
        <v>0.86249999999999993</v>
      </c>
      <c r="Q201" s="30">
        <f t="shared" si="161"/>
        <v>1.7249999999999999</v>
      </c>
      <c r="R201" s="30">
        <f t="shared" si="161"/>
        <v>3.4499999999999997</v>
      </c>
      <c r="S201" s="30">
        <f t="shared" si="161"/>
        <v>6.8999999999999995</v>
      </c>
      <c r="T201" s="30">
        <f t="shared" si="161"/>
        <v>13.799999999999999</v>
      </c>
      <c r="U201" s="30">
        <f t="shared" si="161"/>
        <v>27.599999999999998</v>
      </c>
      <c r="V201" s="30">
        <f t="shared" si="161"/>
        <v>55.199999999999996</v>
      </c>
      <c r="W201" s="30">
        <f t="shared" si="161"/>
        <v>110.39999999999999</v>
      </c>
      <c r="X201" s="30">
        <f t="shared" si="161"/>
        <v>220.79999999999998</v>
      </c>
      <c r="Y201" s="30">
        <f t="shared" si="161"/>
        <v>441.59999999999997</v>
      </c>
      <c r="Z201" s="30">
        <f t="shared" si="161"/>
        <v>883.19999999999993</v>
      </c>
      <c r="AA201" s="30">
        <f t="shared" si="161"/>
        <v>1766.3999999999999</v>
      </c>
      <c r="AB201" s="30">
        <f t="shared" si="161"/>
        <v>3532.7999999999997</v>
      </c>
      <c r="AC201" s="30">
        <f t="shared" si="161"/>
        <v>7065.5999999999995</v>
      </c>
      <c r="AD201" s="30">
        <f t="shared" si="161"/>
        <v>14131.199999999999</v>
      </c>
      <c r="AE201" s="30">
        <f t="shared" ref="AE201:AG201" si="162">AE200*$E$201</f>
        <v>17664</v>
      </c>
      <c r="AF201" s="30">
        <f t="shared" si="162"/>
        <v>21196.799999999999</v>
      </c>
      <c r="AG201" s="30">
        <f t="shared" si="162"/>
        <v>24729.599999999999</v>
      </c>
      <c r="AH201" s="30">
        <f t="shared" si="161"/>
        <v>28262.399999999998</v>
      </c>
      <c r="AI201" s="30">
        <f t="shared" ref="AI201:AK201" si="163">AI200*$E$201</f>
        <v>35328</v>
      </c>
      <c r="AJ201" s="30">
        <f t="shared" si="163"/>
        <v>42393.599999999999</v>
      </c>
      <c r="AK201" s="30">
        <f t="shared" si="163"/>
        <v>49459.199999999997</v>
      </c>
      <c r="AL201" s="30">
        <f t="shared" si="161"/>
        <v>56524.799999999996</v>
      </c>
      <c r="AM201" s="30">
        <f t="shared" si="161"/>
        <v>67829.759999999995</v>
      </c>
      <c r="AN201" s="30">
        <f t="shared" si="161"/>
        <v>79134.720000000001</v>
      </c>
      <c r="AO201" s="30">
        <f t="shared" si="161"/>
        <v>90439.679999999993</v>
      </c>
      <c r="AP201" s="30">
        <f t="shared" si="161"/>
        <v>101744.64</v>
      </c>
      <c r="AQ201" s="30">
        <f>AQ200*$E$201</f>
        <v>113049.59999999999</v>
      </c>
      <c r="AR201" s="30">
        <f t="shared" ref="AR201:AU201" si="164">AR200*$E$201</f>
        <v>135659.51999999999</v>
      </c>
      <c r="AS201" s="30">
        <f t="shared" si="164"/>
        <v>158269.44</v>
      </c>
      <c r="AT201" s="30">
        <f t="shared" si="164"/>
        <v>180879.35999999999</v>
      </c>
      <c r="AU201" s="30">
        <f t="shared" si="164"/>
        <v>203489.28</v>
      </c>
      <c r="AV201" s="30">
        <f>AV200*$E$201</f>
        <v>226099.19999999998</v>
      </c>
      <c r="AW201" s="30">
        <f t="shared" ref="AW201:AZ201" si="165">AW200*$E$201</f>
        <v>271319.03999999998</v>
      </c>
      <c r="AX201" s="30">
        <f t="shared" si="165"/>
        <v>316538.88</v>
      </c>
      <c r="AY201" s="30">
        <f t="shared" si="165"/>
        <v>361758.71999999997</v>
      </c>
      <c r="AZ201" s="30">
        <f t="shared" si="165"/>
        <v>406978.56</v>
      </c>
      <c r="BA201" s="30">
        <f>BA200*$E$201</f>
        <v>452198.39999999997</v>
      </c>
      <c r="BB201" s="29">
        <f t="shared" ref="BB201:BG201" si="166">BB200*$E$201</f>
        <v>904396.79999999993</v>
      </c>
      <c r="BC201" s="30">
        <f t="shared" si="166"/>
        <v>1808793.5999999999</v>
      </c>
      <c r="BD201" s="30">
        <f t="shared" si="166"/>
        <v>3617587.1999999997</v>
      </c>
      <c r="BE201" s="30">
        <f t="shared" si="166"/>
        <v>7235174.3999999994</v>
      </c>
      <c r="BF201" s="30">
        <f t="shared" si="166"/>
        <v>9123607.7999999989</v>
      </c>
      <c r="BG201" s="71">
        <f t="shared" si="166"/>
        <v>9123607.7999999989</v>
      </c>
      <c r="BH201" s="45"/>
    </row>
    <row r="202" spans="1:60" x14ac:dyDescent="0.25">
      <c r="A202" s="48" t="s">
        <v>8</v>
      </c>
      <c r="B202" s="24">
        <v>4.3899999999999998E-3</v>
      </c>
      <c r="C202" s="10">
        <f>$B$125 * B202</f>
        <v>1451182.5449999999</v>
      </c>
      <c r="D202" s="47"/>
      <c r="E202" s="16"/>
      <c r="F202" s="16"/>
      <c r="G202" s="16"/>
      <c r="H202" s="16"/>
      <c r="I202" s="16"/>
      <c r="J202" s="16"/>
      <c r="K202" s="16"/>
      <c r="L202" s="16"/>
      <c r="M202" s="16"/>
      <c r="N202" s="16"/>
      <c r="O202" s="16"/>
      <c r="P202" s="20">
        <f t="shared" ref="P202:BG202" si="167">P$139*$B$202</f>
        <v>0.13718749999999999</v>
      </c>
      <c r="Q202" s="21">
        <f t="shared" si="167"/>
        <v>0.27437499999999998</v>
      </c>
      <c r="R202" s="21">
        <f t="shared" si="167"/>
        <v>0.54874999999999996</v>
      </c>
      <c r="S202" s="21">
        <f t="shared" si="167"/>
        <v>1.0974999999999999</v>
      </c>
      <c r="T202" s="21">
        <f t="shared" si="167"/>
        <v>2.1949999999999998</v>
      </c>
      <c r="U202" s="21">
        <f t="shared" si="167"/>
        <v>4.3899999999999997</v>
      </c>
      <c r="V202" s="21">
        <f t="shared" si="167"/>
        <v>8.7799999999999994</v>
      </c>
      <c r="W202" s="21">
        <f t="shared" si="167"/>
        <v>17.559999999999999</v>
      </c>
      <c r="X202" s="21">
        <f t="shared" si="167"/>
        <v>35.119999999999997</v>
      </c>
      <c r="Y202" s="21">
        <f t="shared" si="167"/>
        <v>70.239999999999995</v>
      </c>
      <c r="Z202" s="21">
        <f t="shared" si="167"/>
        <v>140.47999999999999</v>
      </c>
      <c r="AA202" s="21">
        <f t="shared" si="167"/>
        <v>280.95999999999998</v>
      </c>
      <c r="AB202" s="21">
        <f t="shared" si="167"/>
        <v>561.91999999999996</v>
      </c>
      <c r="AC202" s="21">
        <f t="shared" si="167"/>
        <v>1123.8399999999999</v>
      </c>
      <c r="AD202" s="21">
        <f t="shared" si="167"/>
        <v>2247.6799999999998</v>
      </c>
      <c r="AE202" s="21">
        <f t="shared" si="167"/>
        <v>2809.6</v>
      </c>
      <c r="AF202" s="21">
        <f t="shared" si="167"/>
        <v>3371.52</v>
      </c>
      <c r="AG202" s="21">
        <f t="shared" si="167"/>
        <v>3933.4399999999996</v>
      </c>
      <c r="AH202" s="21">
        <f t="shared" si="167"/>
        <v>4495.3599999999997</v>
      </c>
      <c r="AI202" s="21">
        <f t="shared" si="167"/>
        <v>5619.2</v>
      </c>
      <c r="AJ202" s="21">
        <f t="shared" si="167"/>
        <v>6743.04</v>
      </c>
      <c r="AK202" s="21">
        <f t="shared" si="167"/>
        <v>7866.8799999999992</v>
      </c>
      <c r="AL202" s="21">
        <f t="shared" si="167"/>
        <v>8990.7199999999993</v>
      </c>
      <c r="AM202" s="21">
        <f t="shared" si="167"/>
        <v>10788.864</v>
      </c>
      <c r="AN202" s="21">
        <f t="shared" si="167"/>
        <v>12587.008</v>
      </c>
      <c r="AO202" s="21">
        <f t="shared" si="167"/>
        <v>14385.152</v>
      </c>
      <c r="AP202" s="21">
        <f t="shared" si="167"/>
        <v>16183.295999999998</v>
      </c>
      <c r="AQ202" s="21">
        <f t="shared" si="167"/>
        <v>17981.439999999999</v>
      </c>
      <c r="AR202" s="21">
        <f t="shared" si="167"/>
        <v>21577.727999999999</v>
      </c>
      <c r="AS202" s="21">
        <f t="shared" si="167"/>
        <v>25174.016</v>
      </c>
      <c r="AT202" s="21">
        <f t="shared" si="167"/>
        <v>28770.304</v>
      </c>
      <c r="AU202" s="21">
        <f t="shared" si="167"/>
        <v>32366.591999999997</v>
      </c>
      <c r="AV202" s="21">
        <f t="shared" si="167"/>
        <v>35962.879999999997</v>
      </c>
      <c r="AW202" s="21">
        <f t="shared" si="167"/>
        <v>43155.455999999998</v>
      </c>
      <c r="AX202" s="21">
        <f t="shared" si="167"/>
        <v>50348.031999999999</v>
      </c>
      <c r="AY202" s="21">
        <f t="shared" si="167"/>
        <v>57540.608</v>
      </c>
      <c r="AZ202" s="21">
        <f t="shared" si="167"/>
        <v>64733.183999999994</v>
      </c>
      <c r="BA202" s="21">
        <f t="shared" si="167"/>
        <v>71925.759999999995</v>
      </c>
      <c r="BB202" s="20">
        <f t="shared" si="167"/>
        <v>143851.51999999999</v>
      </c>
      <c r="BC202" s="21">
        <f t="shared" si="167"/>
        <v>287703.03999999998</v>
      </c>
      <c r="BD202" s="21">
        <f t="shared" si="167"/>
        <v>575406.07999999996</v>
      </c>
      <c r="BE202" s="21">
        <f t="shared" si="167"/>
        <v>1150812.1599999999</v>
      </c>
      <c r="BF202" s="21">
        <f t="shared" si="167"/>
        <v>1451182.5449999999</v>
      </c>
      <c r="BG202" s="72">
        <f t="shared" si="167"/>
        <v>1451182.5449999999</v>
      </c>
      <c r="BH202" s="45"/>
    </row>
    <row r="203" spans="1:60" x14ac:dyDescent="0.25">
      <c r="A203" s="48"/>
      <c r="B203" s="16"/>
      <c r="C203" s="16"/>
      <c r="D203" s="25"/>
      <c r="E203" s="46">
        <v>5.6000000000000001E-2</v>
      </c>
      <c r="F203" s="16"/>
      <c r="G203" s="16"/>
      <c r="H203" s="16"/>
      <c r="I203" s="16"/>
      <c r="J203" s="16"/>
      <c r="K203" s="16"/>
      <c r="L203" s="16"/>
      <c r="M203" s="16"/>
      <c r="N203" s="16"/>
      <c r="O203" s="16"/>
      <c r="P203" s="29">
        <f t="shared" ref="P203:AP203" si="168">P202*$E$203</f>
        <v>7.6824999999999992E-3</v>
      </c>
      <c r="Q203" s="30">
        <f t="shared" si="168"/>
        <v>1.5364999999999998E-2</v>
      </c>
      <c r="R203" s="30">
        <f t="shared" si="168"/>
        <v>3.0729999999999997E-2</v>
      </c>
      <c r="S203" s="30">
        <f t="shared" si="168"/>
        <v>6.1459999999999994E-2</v>
      </c>
      <c r="T203" s="30">
        <f t="shared" si="168"/>
        <v>0.12291999999999999</v>
      </c>
      <c r="U203" s="30">
        <f t="shared" si="168"/>
        <v>0.24583999999999998</v>
      </c>
      <c r="V203" s="30">
        <f t="shared" si="168"/>
        <v>0.49167999999999995</v>
      </c>
      <c r="W203" s="30">
        <f t="shared" si="168"/>
        <v>0.9833599999999999</v>
      </c>
      <c r="X203" s="30">
        <f t="shared" si="168"/>
        <v>1.9667199999999998</v>
      </c>
      <c r="Y203" s="30">
        <f t="shared" si="168"/>
        <v>3.9334399999999996</v>
      </c>
      <c r="Z203" s="30">
        <f t="shared" si="168"/>
        <v>7.8668799999999992</v>
      </c>
      <c r="AA203" s="30">
        <f t="shared" si="168"/>
        <v>15.733759999999998</v>
      </c>
      <c r="AB203" s="30">
        <f t="shared" si="168"/>
        <v>31.467519999999997</v>
      </c>
      <c r="AC203" s="30">
        <f t="shared" si="168"/>
        <v>62.935039999999994</v>
      </c>
      <c r="AD203" s="30">
        <f t="shared" si="168"/>
        <v>125.87007999999999</v>
      </c>
      <c r="AE203" s="30">
        <f t="shared" ref="AE203:AG203" si="169">AE202*$E$203</f>
        <v>157.33760000000001</v>
      </c>
      <c r="AF203" s="30">
        <f t="shared" si="169"/>
        <v>188.80512000000002</v>
      </c>
      <c r="AG203" s="30">
        <f t="shared" si="169"/>
        <v>220.27264</v>
      </c>
      <c r="AH203" s="30">
        <f t="shared" si="168"/>
        <v>251.74015999999997</v>
      </c>
      <c r="AI203" s="30">
        <f t="shared" ref="AI203:AK203" si="170">AI202*$E$203</f>
        <v>314.67520000000002</v>
      </c>
      <c r="AJ203" s="30">
        <f t="shared" si="170"/>
        <v>377.61024000000003</v>
      </c>
      <c r="AK203" s="30">
        <f t="shared" si="170"/>
        <v>440.54527999999999</v>
      </c>
      <c r="AL203" s="30">
        <f t="shared" si="168"/>
        <v>503.48031999999995</v>
      </c>
      <c r="AM203" s="30">
        <f t="shared" si="168"/>
        <v>604.17638399999998</v>
      </c>
      <c r="AN203" s="30">
        <f t="shared" si="168"/>
        <v>704.87244799999996</v>
      </c>
      <c r="AO203" s="30">
        <f t="shared" si="168"/>
        <v>805.56851200000006</v>
      </c>
      <c r="AP203" s="30">
        <f t="shared" si="168"/>
        <v>906.26457599999992</v>
      </c>
      <c r="AQ203" s="30">
        <f>AQ202*$E$203</f>
        <v>1006.9606399999999</v>
      </c>
      <c r="AR203" s="30">
        <f t="shared" ref="AR203:AU203" si="171">AR202*$E$203</f>
        <v>1208.352768</v>
      </c>
      <c r="AS203" s="30">
        <f t="shared" si="171"/>
        <v>1409.7448959999999</v>
      </c>
      <c r="AT203" s="30">
        <f t="shared" si="171"/>
        <v>1611.1370240000001</v>
      </c>
      <c r="AU203" s="30">
        <f t="shared" si="171"/>
        <v>1812.5291519999998</v>
      </c>
      <c r="AV203" s="30">
        <f>AV202*$E$203</f>
        <v>2013.9212799999998</v>
      </c>
      <c r="AW203" s="30">
        <f t="shared" ref="AW203:AZ203" si="172">AW202*$E$203</f>
        <v>2416.7055359999999</v>
      </c>
      <c r="AX203" s="30">
        <f t="shared" si="172"/>
        <v>2819.4897919999999</v>
      </c>
      <c r="AY203" s="30">
        <f t="shared" si="172"/>
        <v>3222.2740480000002</v>
      </c>
      <c r="AZ203" s="30">
        <f t="shared" si="172"/>
        <v>3625.0583039999997</v>
      </c>
      <c r="BA203" s="30">
        <f>BA202*$E$203</f>
        <v>4027.8425599999996</v>
      </c>
      <c r="BB203" s="29">
        <f t="shared" ref="BB203:BG203" si="173">BB202*$E$203</f>
        <v>8055.6851199999992</v>
      </c>
      <c r="BC203" s="30">
        <f t="shared" si="173"/>
        <v>16111.370239999998</v>
      </c>
      <c r="BD203" s="30">
        <f t="shared" si="173"/>
        <v>32222.740479999997</v>
      </c>
      <c r="BE203" s="30">
        <f t="shared" si="173"/>
        <v>64445.480959999994</v>
      </c>
      <c r="BF203" s="30">
        <f t="shared" si="173"/>
        <v>81266.222519999996</v>
      </c>
      <c r="BG203" s="71">
        <f t="shared" si="173"/>
        <v>81266.222519999996</v>
      </c>
      <c r="BH203" s="45"/>
    </row>
    <row r="204" spans="1:60" x14ac:dyDescent="0.25">
      <c r="A204" s="48" t="s">
        <v>9</v>
      </c>
      <c r="B204" s="24">
        <v>0.155</v>
      </c>
      <c r="C204" s="10">
        <f>$B$125 * B204</f>
        <v>51237652.5</v>
      </c>
      <c r="D204" s="47"/>
      <c r="E204" s="16"/>
      <c r="F204" s="16"/>
      <c r="G204" s="16"/>
      <c r="H204" s="16"/>
      <c r="I204" s="16"/>
      <c r="J204" s="16"/>
      <c r="K204" s="16"/>
      <c r="L204" s="16"/>
      <c r="M204" s="16"/>
      <c r="N204" s="16"/>
      <c r="O204" s="16"/>
      <c r="P204" s="20">
        <f t="shared" ref="P204:BG204" si="174">P$139*$B$204</f>
        <v>4.84375</v>
      </c>
      <c r="Q204" s="21">
        <f t="shared" si="174"/>
        <v>9.6875</v>
      </c>
      <c r="R204" s="21">
        <f t="shared" si="174"/>
        <v>19.375</v>
      </c>
      <c r="S204" s="21">
        <f t="shared" si="174"/>
        <v>38.75</v>
      </c>
      <c r="T204" s="21">
        <f t="shared" si="174"/>
        <v>77.5</v>
      </c>
      <c r="U204" s="21">
        <f t="shared" si="174"/>
        <v>155</v>
      </c>
      <c r="V204" s="21">
        <f t="shared" si="174"/>
        <v>310</v>
      </c>
      <c r="W204" s="21">
        <f t="shared" si="174"/>
        <v>620</v>
      </c>
      <c r="X204" s="21">
        <f t="shared" si="174"/>
        <v>1240</v>
      </c>
      <c r="Y204" s="21">
        <f t="shared" si="174"/>
        <v>2480</v>
      </c>
      <c r="Z204" s="21">
        <f t="shared" si="174"/>
        <v>4960</v>
      </c>
      <c r="AA204" s="21">
        <f t="shared" si="174"/>
        <v>9920</v>
      </c>
      <c r="AB204" s="21">
        <f t="shared" si="174"/>
        <v>19840</v>
      </c>
      <c r="AC204" s="21">
        <f t="shared" si="174"/>
        <v>39680</v>
      </c>
      <c r="AD204" s="21">
        <f t="shared" si="174"/>
        <v>79360</v>
      </c>
      <c r="AE204" s="21">
        <f t="shared" si="174"/>
        <v>99200</v>
      </c>
      <c r="AF204" s="21">
        <f t="shared" si="174"/>
        <v>119040</v>
      </c>
      <c r="AG204" s="21">
        <f t="shared" si="174"/>
        <v>138880</v>
      </c>
      <c r="AH204" s="21">
        <f t="shared" si="174"/>
        <v>158720</v>
      </c>
      <c r="AI204" s="21">
        <f t="shared" si="174"/>
        <v>198400</v>
      </c>
      <c r="AJ204" s="21">
        <f t="shared" si="174"/>
        <v>238080</v>
      </c>
      <c r="AK204" s="21">
        <f t="shared" si="174"/>
        <v>277760</v>
      </c>
      <c r="AL204" s="21">
        <f t="shared" si="174"/>
        <v>317440</v>
      </c>
      <c r="AM204" s="21">
        <f t="shared" si="174"/>
        <v>380928</v>
      </c>
      <c r="AN204" s="21">
        <f t="shared" si="174"/>
        <v>444416</v>
      </c>
      <c r="AO204" s="21">
        <f t="shared" si="174"/>
        <v>507904</v>
      </c>
      <c r="AP204" s="21">
        <f t="shared" si="174"/>
        <v>571392</v>
      </c>
      <c r="AQ204" s="21">
        <f t="shared" si="174"/>
        <v>634880</v>
      </c>
      <c r="AR204" s="21">
        <f t="shared" si="174"/>
        <v>761856</v>
      </c>
      <c r="AS204" s="21">
        <f t="shared" si="174"/>
        <v>888832</v>
      </c>
      <c r="AT204" s="21">
        <f t="shared" si="174"/>
        <v>1015808</v>
      </c>
      <c r="AU204" s="21">
        <f t="shared" si="174"/>
        <v>1142784</v>
      </c>
      <c r="AV204" s="21">
        <f t="shared" si="174"/>
        <v>1269760</v>
      </c>
      <c r="AW204" s="21">
        <f t="shared" si="174"/>
        <v>1523712</v>
      </c>
      <c r="AX204" s="21">
        <f t="shared" si="174"/>
        <v>1777664</v>
      </c>
      <c r="AY204" s="21">
        <f t="shared" si="174"/>
        <v>2031616</v>
      </c>
      <c r="AZ204" s="21">
        <f t="shared" si="174"/>
        <v>2285568</v>
      </c>
      <c r="BA204" s="21">
        <f t="shared" si="174"/>
        <v>2539520</v>
      </c>
      <c r="BB204" s="20">
        <f t="shared" si="174"/>
        <v>5079040</v>
      </c>
      <c r="BC204" s="21">
        <f t="shared" si="174"/>
        <v>10158080</v>
      </c>
      <c r="BD204" s="21">
        <f t="shared" si="174"/>
        <v>20316160</v>
      </c>
      <c r="BE204" s="21">
        <f t="shared" si="174"/>
        <v>40632320</v>
      </c>
      <c r="BF204" s="21">
        <f t="shared" si="174"/>
        <v>51237652.5</v>
      </c>
      <c r="BG204" s="72">
        <f t="shared" si="174"/>
        <v>51237652.5</v>
      </c>
      <c r="BH204" s="45"/>
    </row>
    <row r="205" spans="1:60" x14ac:dyDescent="0.25">
      <c r="A205" s="37"/>
      <c r="B205" s="39"/>
      <c r="C205" s="39"/>
      <c r="D205" s="55"/>
      <c r="E205" s="56" t="s">
        <v>10</v>
      </c>
      <c r="F205" s="39"/>
      <c r="G205" s="39"/>
      <c r="H205" s="39"/>
      <c r="I205" s="39"/>
      <c r="J205" s="39"/>
      <c r="K205" s="39"/>
      <c r="L205" s="39"/>
      <c r="M205" s="39"/>
      <c r="N205" s="39"/>
      <c r="O205" s="39"/>
      <c r="P205" s="31" t="s">
        <v>10</v>
      </c>
      <c r="Q205" s="32" t="s">
        <v>10</v>
      </c>
      <c r="R205" s="32" t="s">
        <v>10</v>
      </c>
      <c r="S205" s="32" t="s">
        <v>10</v>
      </c>
      <c r="T205" s="32" t="s">
        <v>10</v>
      </c>
      <c r="U205" s="32" t="s">
        <v>10</v>
      </c>
      <c r="V205" s="32" t="s">
        <v>10</v>
      </c>
      <c r="W205" s="32" t="s">
        <v>10</v>
      </c>
      <c r="X205" s="32" t="s">
        <v>10</v>
      </c>
      <c r="Y205" s="32" t="s">
        <v>10</v>
      </c>
      <c r="Z205" s="32" t="s">
        <v>10</v>
      </c>
      <c r="AA205" s="32" t="s">
        <v>10</v>
      </c>
      <c r="AB205" s="32" t="s">
        <v>10</v>
      </c>
      <c r="AC205" s="32" t="s">
        <v>10</v>
      </c>
      <c r="AD205" s="32" t="s">
        <v>10</v>
      </c>
      <c r="AE205" s="32" t="s">
        <v>10</v>
      </c>
      <c r="AF205" s="32" t="s">
        <v>10</v>
      </c>
      <c r="AG205" s="32" t="s">
        <v>10</v>
      </c>
      <c r="AH205" s="32" t="s">
        <v>10</v>
      </c>
      <c r="AI205" s="32" t="s">
        <v>10</v>
      </c>
      <c r="AJ205" s="32" t="s">
        <v>10</v>
      </c>
      <c r="AK205" s="32" t="s">
        <v>10</v>
      </c>
      <c r="AL205" s="32" t="s">
        <v>10</v>
      </c>
      <c r="AM205" s="32" t="s">
        <v>10</v>
      </c>
      <c r="AN205" s="32" t="s">
        <v>10</v>
      </c>
      <c r="AO205" s="32" t="s">
        <v>10</v>
      </c>
      <c r="AP205" s="32" t="s">
        <v>10</v>
      </c>
      <c r="AQ205" s="32" t="s">
        <v>10</v>
      </c>
      <c r="AR205" s="32" t="s">
        <v>10</v>
      </c>
      <c r="AS205" s="32" t="s">
        <v>10</v>
      </c>
      <c r="AT205" s="32" t="s">
        <v>10</v>
      </c>
      <c r="AU205" s="32" t="s">
        <v>10</v>
      </c>
      <c r="AV205" s="32" t="s">
        <v>10</v>
      </c>
      <c r="AW205" s="32" t="s">
        <v>10</v>
      </c>
      <c r="AX205" s="32" t="s">
        <v>10</v>
      </c>
      <c r="AY205" s="32" t="s">
        <v>10</v>
      </c>
      <c r="AZ205" s="32" t="s">
        <v>10</v>
      </c>
      <c r="BA205" s="32" t="s">
        <v>10</v>
      </c>
      <c r="BB205" s="29" t="s">
        <v>10</v>
      </c>
      <c r="BC205" s="30" t="s">
        <v>10</v>
      </c>
      <c r="BD205" s="30" t="s">
        <v>10</v>
      </c>
      <c r="BE205" s="30" t="s">
        <v>10</v>
      </c>
      <c r="BF205" s="30" t="s">
        <v>10</v>
      </c>
      <c r="BG205" s="71" t="s">
        <v>10</v>
      </c>
      <c r="BH205" s="45"/>
    </row>
    <row r="206" spans="1:60" x14ac:dyDescent="0.25">
      <c r="A206" s="41"/>
      <c r="B206" s="16"/>
      <c r="C206" s="16"/>
      <c r="D206" s="47"/>
      <c r="E206" s="16"/>
      <c r="F206" s="16"/>
      <c r="G206" s="16"/>
      <c r="H206" s="16"/>
      <c r="I206" s="16"/>
      <c r="J206" s="16"/>
      <c r="K206" s="16"/>
      <c r="L206" s="16"/>
      <c r="M206" s="16"/>
      <c r="N206" s="16"/>
      <c r="O206" s="16"/>
      <c r="P206" s="20">
        <f>SUM(P194,P196,P198,P200,P202,P204)</f>
        <v>38.105937500000003</v>
      </c>
      <c r="Q206" s="21">
        <f t="shared" ref="Q206:AP206" si="175">SUM(Q194,Q196,Q198,Q200,Q202,Q204)</f>
        <v>76.211875000000006</v>
      </c>
      <c r="R206" s="21">
        <f t="shared" si="175"/>
        <v>152.42375000000001</v>
      </c>
      <c r="S206" s="21">
        <f t="shared" si="175"/>
        <v>304.84750000000003</v>
      </c>
      <c r="T206" s="21">
        <f t="shared" si="175"/>
        <v>609.69500000000005</v>
      </c>
      <c r="U206" s="21">
        <f t="shared" si="175"/>
        <v>1219.3900000000001</v>
      </c>
      <c r="V206" s="21">
        <f>SUM(V194,V196,V198,V200,V202,V204)</f>
        <v>2438.7800000000002</v>
      </c>
      <c r="W206" s="21">
        <f t="shared" si="175"/>
        <v>4877.5600000000004</v>
      </c>
      <c r="X206" s="21">
        <f t="shared" si="175"/>
        <v>9755.1200000000008</v>
      </c>
      <c r="Y206" s="21">
        <f t="shared" si="175"/>
        <v>19510.240000000002</v>
      </c>
      <c r="Z206" s="21">
        <f t="shared" si="175"/>
        <v>39020.480000000003</v>
      </c>
      <c r="AA206" s="21">
        <f t="shared" si="175"/>
        <v>78040.960000000006</v>
      </c>
      <c r="AB206" s="21">
        <f t="shared" si="175"/>
        <v>156081.92000000001</v>
      </c>
      <c r="AC206" s="21">
        <f t="shared" si="175"/>
        <v>312163.84000000003</v>
      </c>
      <c r="AD206" s="21">
        <f t="shared" si="175"/>
        <v>624327.68000000005</v>
      </c>
      <c r="AE206" s="21">
        <f t="shared" ref="AE206:AG206" si="176">SUM(AE194,AE196,AE198,AE200,AE202,AE204)</f>
        <v>780409.6</v>
      </c>
      <c r="AF206" s="21">
        <f t="shared" si="176"/>
        <v>936491.52000000002</v>
      </c>
      <c r="AG206" s="21">
        <f t="shared" si="176"/>
        <v>1092573.44</v>
      </c>
      <c r="AH206" s="21">
        <f t="shared" si="175"/>
        <v>1248655.3600000001</v>
      </c>
      <c r="AI206" s="21">
        <f t="shared" ref="AI206:AK206" si="177">SUM(AI194,AI196,AI198,AI200,AI202,AI204)</f>
        <v>1560819.2</v>
      </c>
      <c r="AJ206" s="21">
        <f t="shared" si="177"/>
        <v>1872983.04</v>
      </c>
      <c r="AK206" s="21">
        <f t="shared" si="177"/>
        <v>2185146.88</v>
      </c>
      <c r="AL206" s="21">
        <f t="shared" si="175"/>
        <v>2497310.7200000002</v>
      </c>
      <c r="AM206" s="21">
        <f t="shared" si="175"/>
        <v>2996772.8640000001</v>
      </c>
      <c r="AN206" s="21">
        <f t="shared" si="175"/>
        <v>3496235.0079999999</v>
      </c>
      <c r="AO206" s="21">
        <f t="shared" si="175"/>
        <v>3995697.1519999998</v>
      </c>
      <c r="AP206" s="21">
        <f t="shared" si="175"/>
        <v>4495159.2960000001</v>
      </c>
      <c r="AQ206" s="21">
        <f t="shared" ref="AQ206:BA207" si="178">SUM(AQ194,AQ196,AQ198,AQ200,AQ202,AQ204)</f>
        <v>4994621.4400000004</v>
      </c>
      <c r="AR206" s="21">
        <f t="shared" ref="AR206:AU206" si="179">SUM(AR194,AR196,AR198,AR200,AR202,AR204)</f>
        <v>5993545.7280000001</v>
      </c>
      <c r="AS206" s="21">
        <f t="shared" si="179"/>
        <v>6992470.0159999998</v>
      </c>
      <c r="AT206" s="21">
        <f t="shared" si="179"/>
        <v>7991394.3039999995</v>
      </c>
      <c r="AU206" s="21">
        <f t="shared" si="179"/>
        <v>8990318.5920000002</v>
      </c>
      <c r="AV206" s="21">
        <f t="shared" si="178"/>
        <v>9989242.8800000008</v>
      </c>
      <c r="AW206" s="21">
        <f t="shared" ref="AW206:AZ206" si="180">SUM(AW194,AW196,AW198,AW200,AW202,AW204)</f>
        <v>11987091.456</v>
      </c>
      <c r="AX206" s="21">
        <f t="shared" si="180"/>
        <v>13984940.032</v>
      </c>
      <c r="AY206" s="21">
        <f t="shared" si="180"/>
        <v>15982788.607999999</v>
      </c>
      <c r="AZ206" s="21">
        <f t="shared" si="180"/>
        <v>17980637.184</v>
      </c>
      <c r="BA206" s="21">
        <f t="shared" si="178"/>
        <v>19978485.760000002</v>
      </c>
      <c r="BB206" s="18">
        <f t="shared" ref="BB206:BG206" si="181">SUM(BB194,BB196,BB198,BB200,BB202,BB204)</f>
        <v>39956971.520000003</v>
      </c>
      <c r="BC206" s="19">
        <f t="shared" si="181"/>
        <v>79913943.040000007</v>
      </c>
      <c r="BD206" s="19">
        <f t="shared" si="181"/>
        <v>159827886.08000001</v>
      </c>
      <c r="BE206" s="19">
        <f t="shared" si="181"/>
        <v>319655772.16000003</v>
      </c>
      <c r="BF206" s="19">
        <f t="shared" si="181"/>
        <v>403088265.04500002</v>
      </c>
      <c r="BG206" s="60">
        <f t="shared" si="181"/>
        <v>403088265.04500002</v>
      </c>
      <c r="BH206" s="45"/>
    </row>
    <row r="207" spans="1:60" x14ac:dyDescent="0.25">
      <c r="A207" s="37" t="s">
        <v>40</v>
      </c>
      <c r="B207" s="39"/>
      <c r="C207" s="39"/>
      <c r="D207" s="39"/>
      <c r="E207" s="39"/>
      <c r="F207" s="39"/>
      <c r="G207" s="39"/>
      <c r="H207" s="39"/>
      <c r="I207" s="39"/>
      <c r="J207" s="39"/>
      <c r="K207" s="39"/>
      <c r="L207" s="39"/>
      <c r="M207" s="39"/>
      <c r="N207" s="39"/>
      <c r="O207" s="39"/>
      <c r="P207" s="31">
        <f>SUM(P195,P197,P199,P201,P203,P205)</f>
        <v>2.5650575</v>
      </c>
      <c r="Q207" s="32">
        <f t="shared" ref="Q207:AP207" si="182">SUM(Q195,Q197,Q199,Q201,Q203,Q205)</f>
        <v>5.130115</v>
      </c>
      <c r="R207" s="32">
        <f t="shared" si="182"/>
        <v>10.26023</v>
      </c>
      <c r="S207" s="32">
        <f t="shared" si="182"/>
        <v>20.52046</v>
      </c>
      <c r="T207" s="32">
        <f t="shared" si="182"/>
        <v>41.04092</v>
      </c>
      <c r="U207" s="32">
        <f t="shared" si="182"/>
        <v>82.08184</v>
      </c>
      <c r="V207" s="32">
        <f t="shared" si="182"/>
        <v>164.16368</v>
      </c>
      <c r="W207" s="32">
        <f t="shared" si="182"/>
        <v>328.32736</v>
      </c>
      <c r="X207" s="32">
        <f t="shared" si="182"/>
        <v>656.65472</v>
      </c>
      <c r="Y207" s="32">
        <f t="shared" si="182"/>
        <v>1313.30944</v>
      </c>
      <c r="Z207" s="32">
        <f t="shared" si="182"/>
        <v>2626.61888</v>
      </c>
      <c r="AA207" s="32">
        <f t="shared" si="182"/>
        <v>5253.23776</v>
      </c>
      <c r="AB207" s="32">
        <f t="shared" si="182"/>
        <v>10506.47552</v>
      </c>
      <c r="AC207" s="32">
        <f t="shared" si="182"/>
        <v>21012.95104</v>
      </c>
      <c r="AD207" s="32">
        <f t="shared" si="182"/>
        <v>42025.90208</v>
      </c>
      <c r="AE207" s="32">
        <f t="shared" ref="AE207:AG207" si="183">SUM(AE195,AE197,AE199,AE201,AE203,AE205)</f>
        <v>52532.377599999993</v>
      </c>
      <c r="AF207" s="32">
        <f t="shared" si="183"/>
        <v>63038.853119999992</v>
      </c>
      <c r="AG207" s="32">
        <f t="shared" si="183"/>
        <v>73545.328639999992</v>
      </c>
      <c r="AH207" s="32">
        <f t="shared" si="182"/>
        <v>84051.80416</v>
      </c>
      <c r="AI207" s="32">
        <f t="shared" ref="AI207:AK207" si="184">SUM(AI195,AI197,AI199,AI201,AI203,AI205)</f>
        <v>105064.75519999999</v>
      </c>
      <c r="AJ207" s="32">
        <f t="shared" si="184"/>
        <v>126077.70623999998</v>
      </c>
      <c r="AK207" s="32">
        <f t="shared" si="184"/>
        <v>147090.65727999998</v>
      </c>
      <c r="AL207" s="32">
        <f t="shared" si="182"/>
        <v>168103.60832</v>
      </c>
      <c r="AM207" s="32">
        <f t="shared" si="182"/>
        <v>201724.32998400001</v>
      </c>
      <c r="AN207" s="32">
        <f t="shared" si="182"/>
        <v>235345.05164800002</v>
      </c>
      <c r="AO207" s="32">
        <f t="shared" si="182"/>
        <v>268965.77331199998</v>
      </c>
      <c r="AP207" s="32">
        <f t="shared" si="182"/>
        <v>302586.49497599999</v>
      </c>
      <c r="AQ207" s="32">
        <f t="shared" si="178"/>
        <v>336207.21664</v>
      </c>
      <c r="AR207" s="32">
        <f t="shared" ref="AR207:AU207" si="185">SUM(AR195,AR197,AR199,AR201,AR203,AR205)</f>
        <v>403448.65996800002</v>
      </c>
      <c r="AS207" s="32">
        <f t="shared" si="185"/>
        <v>470690.10329600004</v>
      </c>
      <c r="AT207" s="32">
        <f t="shared" si="185"/>
        <v>537931.54662399995</v>
      </c>
      <c r="AU207" s="32">
        <f t="shared" si="185"/>
        <v>605172.98995199997</v>
      </c>
      <c r="AV207" s="32">
        <f t="shared" si="178"/>
        <v>672414.43328</v>
      </c>
      <c r="AW207" s="32">
        <f t="shared" ref="AW207:AZ207" si="186">SUM(AW195,AW197,AW199,AW201,AW203,AW205)</f>
        <v>806897.31993600004</v>
      </c>
      <c r="AX207" s="32">
        <f t="shared" si="186"/>
        <v>941380.20659200009</v>
      </c>
      <c r="AY207" s="32">
        <f t="shared" si="186"/>
        <v>1075863.0932479999</v>
      </c>
      <c r="AZ207" s="32">
        <f t="shared" si="186"/>
        <v>1210345.9799039999</v>
      </c>
      <c r="BA207" s="32">
        <f t="shared" si="178"/>
        <v>1344828.86656</v>
      </c>
      <c r="BB207" s="31">
        <f t="shared" ref="BB207:BG207" si="187">SUM(BB195,BB197,BB199,BB201,BB203,BB205)</f>
        <v>2689657.73312</v>
      </c>
      <c r="BC207" s="32">
        <f t="shared" si="187"/>
        <v>5379315.46624</v>
      </c>
      <c r="BD207" s="32">
        <f t="shared" si="187"/>
        <v>10758630.93248</v>
      </c>
      <c r="BE207" s="32">
        <f t="shared" si="187"/>
        <v>21517261.86496</v>
      </c>
      <c r="BF207" s="32">
        <f t="shared" si="187"/>
        <v>27133424.480520003</v>
      </c>
      <c r="BG207" s="73">
        <f t="shared" si="187"/>
        <v>27133424.480520003</v>
      </c>
      <c r="BH207" s="45"/>
    </row>
  </sheetData>
  <conditionalFormatting sqref="BH150 P150:BF150">
    <cfRule type="cellIs" dxfId="21" priority="31" operator="greaterThan">
      <formula>$C$129</formula>
    </cfRule>
  </conditionalFormatting>
  <conditionalFormatting sqref="P152:BF152">
    <cfRule type="cellIs" dxfId="20" priority="30" operator="greaterThan">
      <formula>$C$130</formula>
    </cfRule>
  </conditionalFormatting>
  <conditionalFormatting sqref="P171:BG171">
    <cfRule type="cellIs" dxfId="19" priority="29" operator="greaterThan">
      <formula>$C$171</formula>
    </cfRule>
  </conditionalFormatting>
  <conditionalFormatting sqref="P173:BG173">
    <cfRule type="cellIs" dxfId="18" priority="28" operator="greaterThan">
      <formula>$C$173</formula>
    </cfRule>
  </conditionalFormatting>
  <conditionalFormatting sqref="P175:BG175">
    <cfRule type="cellIs" dxfId="17" priority="27" operator="greaterThan">
      <formula>$C$175</formula>
    </cfRule>
  </conditionalFormatting>
  <conditionalFormatting sqref="P177:BG177">
    <cfRule type="cellIs" dxfId="16" priority="19" operator="greaterThan">
      <formula>$C$177</formula>
    </cfRule>
  </conditionalFormatting>
  <conditionalFormatting sqref="P179:BG179">
    <cfRule type="cellIs" dxfId="15" priority="18" operator="greaterThan">
      <formula>$C$179</formula>
    </cfRule>
  </conditionalFormatting>
  <conditionalFormatting sqref="P181:BG181">
    <cfRule type="cellIs" dxfId="14" priority="17" operator="greaterThan">
      <formula>$C$181</formula>
    </cfRule>
  </conditionalFormatting>
  <conditionalFormatting sqref="P183:BG183">
    <cfRule type="cellIs" dxfId="13" priority="16" operator="greaterThan">
      <formula>$C$183</formula>
    </cfRule>
  </conditionalFormatting>
  <conditionalFormatting sqref="P185:BG185">
    <cfRule type="cellIs" dxfId="12" priority="15" operator="greaterThan">
      <formula>$C$185</formula>
    </cfRule>
  </conditionalFormatting>
  <conditionalFormatting sqref="P187:BG187">
    <cfRule type="cellIs" dxfId="11" priority="14" operator="greaterThan">
      <formula>$C$187</formula>
    </cfRule>
  </conditionalFormatting>
  <conditionalFormatting sqref="P141:BG141">
    <cfRule type="cellIs" dxfId="10" priority="13" operator="equal">
      <formula>0</formula>
    </cfRule>
  </conditionalFormatting>
  <conditionalFormatting sqref="P148:BF148 P150:BF150 Q152:BF152">
    <cfRule type="cellIs" dxfId="9" priority="12" operator="equal">
      <formula>0</formula>
    </cfRule>
  </conditionalFormatting>
  <conditionalFormatting sqref="D171">
    <cfRule type="cellIs" dxfId="8" priority="9" operator="greaterThan">
      <formula>$B$171</formula>
    </cfRule>
  </conditionalFormatting>
  <conditionalFormatting sqref="D173">
    <cfRule type="cellIs" dxfId="7" priority="8" operator="greaterThan">
      <formula>$B$173</formula>
    </cfRule>
  </conditionalFormatting>
  <conditionalFormatting sqref="D175">
    <cfRule type="cellIs" dxfId="6" priority="7" operator="greaterThan">
      <formula>$B$175</formula>
    </cfRule>
  </conditionalFormatting>
  <conditionalFormatting sqref="D177">
    <cfRule type="cellIs" dxfId="5" priority="6" operator="greaterThan">
      <formula>$B$177</formula>
    </cfRule>
  </conditionalFormatting>
  <conditionalFormatting sqref="D179">
    <cfRule type="cellIs" dxfId="4" priority="5" operator="greaterThan">
      <formula>$B$179</formula>
    </cfRule>
  </conditionalFormatting>
  <conditionalFormatting sqref="D181">
    <cfRule type="cellIs" dxfId="3" priority="4" operator="greaterThan">
      <formula>$B$181</formula>
    </cfRule>
  </conditionalFormatting>
  <conditionalFormatting sqref="D183">
    <cfRule type="cellIs" dxfId="2" priority="3" operator="greaterThan">
      <formula>$B$183</formula>
    </cfRule>
  </conditionalFormatting>
  <conditionalFormatting sqref="D185">
    <cfRule type="cellIs" dxfId="1" priority="2" operator="greaterThan">
      <formula>$B$185</formula>
    </cfRule>
  </conditionalFormatting>
  <conditionalFormatting sqref="D187">
    <cfRule type="cellIs" dxfId="0" priority="1" operator="greaterThan">
      <formula>$B$187</formula>
    </cfRule>
  </conditionalFormatting>
  <hyperlinks>
    <hyperlink ref="E170" r:id="rId1" location="case-fatality-rate-of-covid-19-by-age" xr:uid="{0058192C-B05A-45D2-8597-C1F9B3D9241E}"/>
    <hyperlink ref="E193" r:id="rId2" location="case-fatality-rate-of-covid-19-by-preexisting-health-conditions" xr:uid="{110A2613-24A6-4768-B90C-571B307D13E2}"/>
    <hyperlink ref="B127"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Q18" sqref="Q18"/>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118</v>
      </c>
      <c r="C3" s="163">
        <f>Projections!B125</f>
        <v>330565500</v>
      </c>
      <c r="J3" s="2"/>
    </row>
    <row r="4" spans="2:10" x14ac:dyDescent="0.25">
      <c r="B4" s="180" t="s">
        <v>135</v>
      </c>
      <c r="C4" s="163">
        <f>Projections!P139</f>
        <v>31.25</v>
      </c>
      <c r="J4" s="2"/>
    </row>
    <row r="5" spans="2:10" x14ac:dyDescent="0.25">
      <c r="B5" s="180" t="s">
        <v>136</v>
      </c>
      <c r="C5" s="161">
        <f>Projections!P138</f>
        <v>43882</v>
      </c>
      <c r="J5" s="2"/>
    </row>
    <row r="6" spans="2:10" x14ac:dyDescent="0.25">
      <c r="B6" s="180" t="s">
        <v>119</v>
      </c>
      <c r="C6" s="163">
        <v>1010356</v>
      </c>
    </row>
    <row r="7" spans="2:10" x14ac:dyDescent="0.25">
      <c r="B7" s="180" t="s">
        <v>121</v>
      </c>
      <c r="C7" s="161">
        <f ca="1">NOW()</f>
        <v>43949.654994444441</v>
      </c>
    </row>
    <row r="8" spans="2:10" x14ac:dyDescent="0.25">
      <c r="B8" s="180" t="s">
        <v>137</v>
      </c>
      <c r="C8" s="162">
        <f ca="1">C7-C5</f>
        <v>67.6549944444414</v>
      </c>
    </row>
    <row r="9" spans="2:10" x14ac:dyDescent="0.25">
      <c r="B9" s="180" t="s">
        <v>120</v>
      </c>
      <c r="C9" s="164">
        <f ca="1">C8/(LOG(C6/C4)/LOG(2))</f>
        <v>4.5161594100540547</v>
      </c>
      <c r="D9" t="s">
        <v>98</v>
      </c>
      <c r="F9" t="s">
        <v>138</v>
      </c>
    </row>
    <row r="10" spans="2:10" x14ac:dyDescent="0.25">
      <c r="B10" s="180" t="s">
        <v>125</v>
      </c>
      <c r="C10" s="163">
        <f>Projections!C129</f>
        <v>793357.2</v>
      </c>
    </row>
    <row r="11" spans="2:10" x14ac:dyDescent="0.25">
      <c r="B11" s="181" t="s">
        <v>126</v>
      </c>
      <c r="C11" s="168">
        <f>Projections!C130</f>
        <v>114706.22850000001</v>
      </c>
    </row>
    <row r="12" spans="2:10" s="69" customFormat="1" x14ac:dyDescent="0.25">
      <c r="B12" s="62" t="s">
        <v>166</v>
      </c>
      <c r="C12" s="169">
        <f>C6/Projections!B127</f>
        <v>8419633.333333334</v>
      </c>
    </row>
    <row r="13" spans="2:10" s="69" customFormat="1" x14ac:dyDescent="0.25">
      <c r="B13" s="48" t="s">
        <v>167</v>
      </c>
      <c r="C13" s="170">
        <f ca="1">(C4/Projections!B127)*(2^(((C7-21)-C5)/C9))</f>
        <v>335361.43138257012</v>
      </c>
    </row>
    <row r="14" spans="2:10" s="69" customFormat="1" x14ac:dyDescent="0.25">
      <c r="B14" s="49" t="s">
        <v>168</v>
      </c>
      <c r="C14" s="151">
        <f ca="1">C12-C13</f>
        <v>8084271.9019507635</v>
      </c>
      <c r="E14" s="166"/>
      <c r="F14" s="167" t="s">
        <v>142</v>
      </c>
      <c r="G14" s="165"/>
    </row>
    <row r="15" spans="2:10" x14ac:dyDescent="0.25">
      <c r="B15" s="4" t="s">
        <v>139</v>
      </c>
      <c r="C15" s="64">
        <f>C6*Projections!B131</f>
        <v>818388.3600000001</v>
      </c>
      <c r="I15" s="160"/>
    </row>
    <row r="16" spans="2:10" x14ac:dyDescent="0.25">
      <c r="B16" s="41" t="s">
        <v>149</v>
      </c>
      <c r="C16" s="83">
        <f ca="1">(C4*Projections!B131)*(2^(((C7-21)-C5)/C9))</f>
        <v>32597.131130385817</v>
      </c>
      <c r="I16" s="160"/>
    </row>
    <row r="17" spans="2:9" x14ac:dyDescent="0.25">
      <c r="B17" s="41" t="s">
        <v>140</v>
      </c>
      <c r="C17" s="83">
        <f ca="1">C15-C16</f>
        <v>785791.22886961431</v>
      </c>
      <c r="F17" t="s">
        <v>143</v>
      </c>
      <c r="I17" s="160"/>
    </row>
    <row r="18" spans="2:9" x14ac:dyDescent="0.25">
      <c r="B18" s="4" t="s">
        <v>145</v>
      </c>
      <c r="C18" s="64">
        <f>C6*Projections!B132</f>
        <v>141449.84000000003</v>
      </c>
    </row>
    <row r="19" spans="2:9" x14ac:dyDescent="0.25">
      <c r="B19" s="41" t="s">
        <v>150</v>
      </c>
      <c r="C19" s="83">
        <f ca="1">(C4*Projections!B132)*(2^(((C7-49)-C5)/C9))</f>
        <v>76.638849659897915</v>
      </c>
    </row>
    <row r="20" spans="2:9" x14ac:dyDescent="0.25">
      <c r="B20" s="41" t="s">
        <v>144</v>
      </c>
      <c r="C20" s="83">
        <f ca="1">C18-C19</f>
        <v>141373.20115034012</v>
      </c>
      <c r="F20" t="s">
        <v>148</v>
      </c>
    </row>
    <row r="21" spans="2:9" x14ac:dyDescent="0.25">
      <c r="B21" s="4" t="s">
        <v>146</v>
      </c>
      <c r="C21" s="64">
        <f>C6*Projections!B133</f>
        <v>50517.8</v>
      </c>
      <c r="I21" s="160"/>
    </row>
    <row r="22" spans="2:9" x14ac:dyDescent="0.25">
      <c r="B22" s="41" t="s">
        <v>151</v>
      </c>
      <c r="C22" s="83">
        <f ca="1">(C4*Projections!B133)*(2^(((C7-49)-C5)/C9))</f>
        <v>27.371017735677828</v>
      </c>
      <c r="I22" s="160"/>
    </row>
    <row r="23" spans="2:9" x14ac:dyDescent="0.25">
      <c r="B23" s="41" t="s">
        <v>147</v>
      </c>
      <c r="C23" s="83">
        <f ca="1">C21-C22</f>
        <v>50490.428982264326</v>
      </c>
      <c r="I23" s="160"/>
    </row>
    <row r="24" spans="2:9" x14ac:dyDescent="0.25">
      <c r="B24" s="4" t="s">
        <v>152</v>
      </c>
      <c r="C24" s="64">
        <f>C6*Projections!B134</f>
        <v>55569.58</v>
      </c>
    </row>
    <row r="25" spans="2:9" x14ac:dyDescent="0.25">
      <c r="B25" s="37" t="s">
        <v>153</v>
      </c>
      <c r="C25" s="61">
        <f ca="1">(C4*Projections!B134)*(2^(((C7-42)-C5)/C9))</f>
        <v>88.161097088453218</v>
      </c>
      <c r="F25" t="s">
        <v>154</v>
      </c>
    </row>
    <row r="26" spans="2:9" x14ac:dyDescent="0.25">
      <c r="B26" s="41" t="s">
        <v>130</v>
      </c>
      <c r="C26" s="173">
        <f ca="1">C9*(LOG(C10/C21)/LOG(2))</f>
        <v>17.943183894381587</v>
      </c>
      <c r="D26" t="s">
        <v>98</v>
      </c>
      <c r="F26" s="69" t="s">
        <v>155</v>
      </c>
    </row>
    <row r="27" spans="2:9" x14ac:dyDescent="0.25">
      <c r="B27" s="37" t="s">
        <v>127</v>
      </c>
      <c r="C27" s="172">
        <f ca="1">C7+C26</f>
        <v>43967.59817833882</v>
      </c>
      <c r="F27" t="s">
        <v>156</v>
      </c>
    </row>
    <row r="28" spans="2:9" x14ac:dyDescent="0.25">
      <c r="B28" s="4" t="s">
        <v>131</v>
      </c>
      <c r="C28" s="171">
        <f ca="1">C9*(LOG(C11/C21)/LOG(2))</f>
        <v>5.3429779360165677</v>
      </c>
      <c r="D28" t="s">
        <v>98</v>
      </c>
    </row>
    <row r="29" spans="2:9" x14ac:dyDescent="0.25">
      <c r="B29" s="37" t="s">
        <v>128</v>
      </c>
      <c r="C29" s="172">
        <f ca="1">C7+C28</f>
        <v>43954.997972380457</v>
      </c>
      <c r="F29" t="s">
        <v>156</v>
      </c>
    </row>
    <row r="30" spans="2:9" x14ac:dyDescent="0.25">
      <c r="B30" s="4" t="s">
        <v>132</v>
      </c>
      <c r="C30" s="171">
        <f ca="1">C9*(LOG((C3*0.6)/C12)/LOG(2))</f>
        <v>20.584967796542188</v>
      </c>
      <c r="D30" t="s">
        <v>98</v>
      </c>
    </row>
    <row r="31" spans="2:9" x14ac:dyDescent="0.25">
      <c r="B31" s="37" t="s">
        <v>129</v>
      </c>
      <c r="C31" s="172">
        <f ca="1">C7+C30</f>
        <v>43970.239962240987</v>
      </c>
    </row>
    <row r="34" spans="2:6" x14ac:dyDescent="0.25">
      <c r="B34" s="4" t="s">
        <v>133</v>
      </c>
      <c r="C34" s="161">
        <f ca="1">C7+30</f>
        <v>43979.654994444441</v>
      </c>
      <c r="F34" t="s">
        <v>169</v>
      </c>
    </row>
    <row r="35" spans="2:6" x14ac:dyDescent="0.25">
      <c r="B35" s="41" t="s">
        <v>134</v>
      </c>
      <c r="C35" s="83">
        <f ca="1">C6*(2^((C34-C7)/C9))</f>
        <v>100962531.37868232</v>
      </c>
      <c r="F35" t="s">
        <v>141</v>
      </c>
    </row>
    <row r="36" spans="2:6" x14ac:dyDescent="0.25">
      <c r="B36" s="41" t="s">
        <v>190</v>
      </c>
      <c r="C36" s="83">
        <f ca="1">C35/Projections!B127</f>
        <v>841354428.15568602</v>
      </c>
    </row>
    <row r="37" spans="2:6" x14ac:dyDescent="0.25">
      <c r="B37" s="41" t="s">
        <v>74</v>
      </c>
      <c r="C37" s="83">
        <f ca="1">C35*Projections!B131</f>
        <v>81779650.416732684</v>
      </c>
    </row>
    <row r="38" spans="2:6" x14ac:dyDescent="0.25">
      <c r="B38" s="41" t="s">
        <v>122</v>
      </c>
      <c r="C38" s="83">
        <f ca="1">C35*Projections!B132</f>
        <v>14134754.393015526</v>
      </c>
    </row>
    <row r="39" spans="2:6" x14ac:dyDescent="0.25">
      <c r="B39" s="41" t="s">
        <v>123</v>
      </c>
      <c r="C39" s="83">
        <f ca="1">C35*Projections!B133</f>
        <v>5048126.5689341165</v>
      </c>
    </row>
    <row r="40" spans="2:6" x14ac:dyDescent="0.25">
      <c r="B40" s="37" t="s">
        <v>124</v>
      </c>
      <c r="C40" s="61">
        <f ca="1">C35*Projections!B134</f>
        <v>5552939.2258275272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5" t="s">
        <v>185</v>
      </c>
      <c r="B2" s="229"/>
      <c r="C2" s="76"/>
    </row>
    <row r="3" spans="1:4" ht="30" x14ac:dyDescent="0.25">
      <c r="A3" s="295"/>
      <c r="B3" s="229" t="s">
        <v>186</v>
      </c>
      <c r="C3" s="76"/>
    </row>
    <row r="4" spans="1:4" x14ac:dyDescent="0.25">
      <c r="A4" s="294" t="s">
        <v>47</v>
      </c>
      <c r="B4" s="232">
        <v>308745538</v>
      </c>
      <c r="C4" s="76"/>
    </row>
    <row r="5" spans="1:4" x14ac:dyDescent="0.25">
      <c r="A5" s="294"/>
      <c r="B5" s="230">
        <v>1</v>
      </c>
      <c r="C5" s="76"/>
    </row>
    <row r="6" spans="1:4" x14ac:dyDescent="0.25">
      <c r="A6" s="294" t="s">
        <v>21</v>
      </c>
      <c r="B6" s="232">
        <v>20201362</v>
      </c>
      <c r="C6" s="76"/>
    </row>
    <row r="7" spans="1:4" x14ac:dyDescent="0.25">
      <c r="A7" s="294"/>
      <c r="B7" s="231">
        <f>B6/$B$4</f>
        <v>6.5430458139932701E-2</v>
      </c>
      <c r="C7" s="77"/>
    </row>
    <row r="8" spans="1:4" x14ac:dyDescent="0.25">
      <c r="A8" s="294" t="s">
        <v>22</v>
      </c>
      <c r="B8" s="232">
        <v>20348657</v>
      </c>
      <c r="C8" s="76"/>
    </row>
    <row r="9" spans="1:4" x14ac:dyDescent="0.25">
      <c r="A9" s="294"/>
      <c r="B9" s="231">
        <f>B8/$B$4</f>
        <v>6.590753386045696E-2</v>
      </c>
      <c r="C9" s="232">
        <f>B6+B8</f>
        <v>40550019</v>
      </c>
      <c r="D9" s="1">
        <f>C9/$B$4</f>
        <v>0.13133799200038965</v>
      </c>
    </row>
    <row r="10" spans="1:4" x14ac:dyDescent="0.25">
      <c r="A10" s="294" t="s">
        <v>23</v>
      </c>
      <c r="B10" s="232">
        <v>20677194</v>
      </c>
      <c r="C10" s="76"/>
    </row>
    <row r="11" spans="1:4" x14ac:dyDescent="0.25">
      <c r="A11" s="294"/>
      <c r="B11" s="231">
        <f>B10/$B$4</f>
        <v>6.6971636688074182E-2</v>
      </c>
      <c r="C11" s="76"/>
    </row>
    <row r="12" spans="1:4" x14ac:dyDescent="0.25">
      <c r="A12" s="294" t="s">
        <v>24</v>
      </c>
      <c r="B12" s="232">
        <v>22040343</v>
      </c>
      <c r="C12" s="76"/>
    </row>
    <row r="13" spans="1:4" x14ac:dyDescent="0.25">
      <c r="A13" s="294"/>
      <c r="B13" s="231">
        <f>B12/$B$4</f>
        <v>7.13867579844992E-2</v>
      </c>
      <c r="C13" s="232">
        <f>B10+B12</f>
        <v>42717537</v>
      </c>
      <c r="D13" s="1">
        <f>C13/$B$4</f>
        <v>0.13835839467257338</v>
      </c>
    </row>
    <row r="14" spans="1:4" x14ac:dyDescent="0.25">
      <c r="A14" s="294" t="s">
        <v>25</v>
      </c>
      <c r="B14" s="232">
        <v>21585999</v>
      </c>
      <c r="C14" s="76"/>
    </row>
    <row r="15" spans="1:4" x14ac:dyDescent="0.25">
      <c r="A15" s="294"/>
      <c r="B15" s="231">
        <f>B14/$B$4</f>
        <v>6.9915177203305853E-2</v>
      </c>
      <c r="C15" s="76"/>
    </row>
    <row r="16" spans="1:4" x14ac:dyDescent="0.25">
      <c r="A16" s="294" t="s">
        <v>26</v>
      </c>
      <c r="B16" s="232">
        <v>21101849</v>
      </c>
      <c r="C16" s="76"/>
    </row>
    <row r="17" spans="1:4" x14ac:dyDescent="0.25">
      <c r="A17" s="294"/>
      <c r="B17" s="231">
        <f>B16/$B$4</f>
        <v>6.8347057375125531E-2</v>
      </c>
      <c r="C17" s="232">
        <f>B14+B16</f>
        <v>42687848</v>
      </c>
      <c r="D17" s="1">
        <f>C17/$B$4</f>
        <v>0.13826223457843137</v>
      </c>
    </row>
    <row r="18" spans="1:4" x14ac:dyDescent="0.25">
      <c r="A18" s="294" t="s">
        <v>27</v>
      </c>
      <c r="B18" s="232">
        <v>19962099</v>
      </c>
      <c r="C18" s="76"/>
    </row>
    <row r="19" spans="1:4" x14ac:dyDescent="0.25">
      <c r="A19" s="294"/>
      <c r="B19" s="231">
        <f>B18/$B$4</f>
        <v>6.465550604977488E-2</v>
      </c>
      <c r="C19" s="77"/>
    </row>
    <row r="20" spans="1:4" x14ac:dyDescent="0.25">
      <c r="A20" s="294" t="s">
        <v>28</v>
      </c>
      <c r="B20" s="232">
        <v>20179642</v>
      </c>
      <c r="C20" s="76"/>
    </row>
    <row r="21" spans="1:4" x14ac:dyDescent="0.25">
      <c r="A21" s="294"/>
      <c r="B21" s="231">
        <f>B20/$B$4</f>
        <v>6.5360108945121009E-2</v>
      </c>
      <c r="C21" s="232">
        <f>B18+B20</f>
        <v>40141741</v>
      </c>
      <c r="D21" s="1">
        <f>C21/$B$4</f>
        <v>0.13001561499489589</v>
      </c>
    </row>
    <row r="22" spans="1:4" x14ac:dyDescent="0.25">
      <c r="A22" s="294" t="s">
        <v>29</v>
      </c>
      <c r="B22" s="232">
        <v>20890964</v>
      </c>
      <c r="C22" s="76"/>
    </row>
    <row r="23" spans="1:4" x14ac:dyDescent="0.25">
      <c r="A23" s="294"/>
      <c r="B23" s="231">
        <f>B22/$B$4</f>
        <v>6.7664019163898012E-2</v>
      </c>
      <c r="C23" s="76"/>
    </row>
    <row r="24" spans="1:4" x14ac:dyDescent="0.25">
      <c r="A24" s="294" t="s">
        <v>30</v>
      </c>
      <c r="B24" s="232">
        <v>22708591</v>
      </c>
      <c r="C24" s="76"/>
    </row>
    <row r="25" spans="1:4" x14ac:dyDescent="0.25">
      <c r="A25" s="294"/>
      <c r="B25" s="231">
        <f>B24/$B$4</f>
        <v>7.3551155255885833E-2</v>
      </c>
      <c r="C25" s="232">
        <f>B22+B24</f>
        <v>43599555</v>
      </c>
      <c r="D25" s="1">
        <f>C25/$B$4</f>
        <v>0.14121517441978385</v>
      </c>
    </row>
    <row r="26" spans="1:4" x14ac:dyDescent="0.25">
      <c r="A26" s="294" t="s">
        <v>31</v>
      </c>
      <c r="B26" s="232">
        <v>22298125</v>
      </c>
      <c r="C26" s="76"/>
    </row>
    <row r="27" spans="1:4" x14ac:dyDescent="0.25">
      <c r="A27" s="294"/>
      <c r="B27" s="231">
        <f>B26/$B$4</f>
        <v>7.2221691508299629E-2</v>
      </c>
      <c r="C27" s="76"/>
    </row>
    <row r="28" spans="1:4" x14ac:dyDescent="0.25">
      <c r="A28" s="294" t="s">
        <v>32</v>
      </c>
      <c r="B28" s="232">
        <v>19664805</v>
      </c>
      <c r="C28" s="76"/>
    </row>
    <row r="29" spans="1:4" x14ac:dyDescent="0.25">
      <c r="A29" s="294"/>
      <c r="B29" s="231">
        <f>B28/$B$4</f>
        <v>6.3692596587420158E-2</v>
      </c>
      <c r="C29" s="232">
        <f>B26+B28</f>
        <v>41962930</v>
      </c>
      <c r="D29" s="1">
        <f>C29/$B$4</f>
        <v>0.13591428809571979</v>
      </c>
    </row>
    <row r="30" spans="1:4" x14ac:dyDescent="0.25">
      <c r="A30" s="294" t="s">
        <v>33</v>
      </c>
      <c r="B30" s="232">
        <v>16817924</v>
      </c>
      <c r="C30" s="76"/>
    </row>
    <row r="31" spans="1:4" x14ac:dyDescent="0.25">
      <c r="A31" s="294"/>
      <c r="B31" s="231">
        <f>B30/$B$4</f>
        <v>5.4471796123576693E-2</v>
      </c>
      <c r="C31" s="77"/>
    </row>
    <row r="32" spans="1:4" x14ac:dyDescent="0.25">
      <c r="A32" s="294" t="s">
        <v>34</v>
      </c>
      <c r="B32" s="232">
        <v>12435263</v>
      </c>
      <c r="C32" s="76"/>
    </row>
    <row r="33" spans="1:4" x14ac:dyDescent="0.25">
      <c r="A33" s="294"/>
      <c r="B33" s="231">
        <f>B32/$B$4</f>
        <v>4.027673753782314E-2</v>
      </c>
      <c r="C33" s="232">
        <f>B30+B32</f>
        <v>29253187</v>
      </c>
      <c r="D33" s="1">
        <f>C33/$B$4</f>
        <v>9.4748533661399834E-2</v>
      </c>
    </row>
    <row r="34" spans="1:4" x14ac:dyDescent="0.25">
      <c r="A34" s="294" t="s">
        <v>35</v>
      </c>
      <c r="B34" s="232">
        <v>9278166</v>
      </c>
      <c r="C34" s="76"/>
    </row>
    <row r="35" spans="1:4" x14ac:dyDescent="0.25">
      <c r="A35" s="294"/>
      <c r="B35" s="231">
        <f>B34/$B$4</f>
        <v>3.0051174375190486E-2</v>
      </c>
      <c r="C35" s="76"/>
    </row>
    <row r="36" spans="1:4" x14ac:dyDescent="0.25">
      <c r="A36" s="294" t="s">
        <v>36</v>
      </c>
      <c r="B36" s="232">
        <v>7317795</v>
      </c>
      <c r="C36" s="76"/>
    </row>
    <row r="37" spans="1:4" x14ac:dyDescent="0.25">
      <c r="A37" s="294"/>
      <c r="B37" s="231">
        <f>B36/$B$4</f>
        <v>2.370170285667416E-2</v>
      </c>
      <c r="C37" s="232">
        <f>B34+B36</f>
        <v>16595961</v>
      </c>
      <c r="D37" s="1">
        <f>C37/$B$4</f>
        <v>5.3752877231864643E-2</v>
      </c>
    </row>
    <row r="38" spans="1:4" x14ac:dyDescent="0.25">
      <c r="A38" s="294" t="s">
        <v>37</v>
      </c>
      <c r="B38" s="232">
        <v>5743327</v>
      </c>
      <c r="C38" s="76"/>
    </row>
    <row r="39" spans="1:4" x14ac:dyDescent="0.25">
      <c r="A39" s="294"/>
      <c r="B39" s="231">
        <f>B38/$B$4</f>
        <v>1.8602137660690663E-2</v>
      </c>
      <c r="C39" s="76"/>
    </row>
    <row r="40" spans="1:4" x14ac:dyDescent="0.25">
      <c r="A40" s="294" t="s">
        <v>184</v>
      </c>
      <c r="B40" s="232">
        <v>5493433</v>
      </c>
      <c r="C40" s="76"/>
    </row>
    <row r="41" spans="1:4" x14ac:dyDescent="0.25">
      <c r="A41" s="294"/>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187</v>
      </c>
    </row>
    <row r="2" spans="1:3" x14ac:dyDescent="0.25">
      <c r="A2" t="s">
        <v>188</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2020-04-28T05:43:12Z</dcterms:modified>
</cp:coreProperties>
</file>